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showInkAnnotation="0" codeName="ThisWorkbook"/>
  <mc:AlternateContent xmlns:mc="http://schemas.openxmlformats.org/markup-compatibility/2006">
    <mc:Choice Requires="x15">
      <x15ac:absPath xmlns:x15ac="http://schemas.microsoft.com/office/spreadsheetml/2010/11/ac" url="C:\Users\pined\Documents\DOCUMENTOS 2021\ACUÑA HECTOR PPTO 2022\Presentación de Formatos y Directivas\Regiones\Madre de Dios\"/>
    </mc:Choice>
  </mc:AlternateContent>
  <xr:revisionPtr revIDLastSave="0" documentId="8_{843AFA2F-7B9B-471A-95C5-905574FF3310}" xr6:coauthVersionLast="47" xr6:coauthVersionMax="47" xr10:uidLastSave="{00000000-0000-0000-0000-000000000000}"/>
  <bookViews>
    <workbookView xWindow="-120" yWindow="-120" windowWidth="20730" windowHeight="11160" tabRatio="883" xr2:uid="{00000000-000D-0000-FFFF-FFFF00000000}"/>
  </bookViews>
  <sheets>
    <sheet name="Índice" sheetId="55" r:id="rId1"/>
    <sheet name="F-01" sheetId="87" r:id="rId2"/>
    <sheet name="F-02" sheetId="73" r:id="rId3"/>
    <sheet name="F-03" sheetId="81" r:id="rId4"/>
    <sheet name="F-04" sheetId="30" r:id="rId5"/>
    <sheet name="F-05" sheetId="76" r:id="rId6"/>
    <sheet name="F-06" sheetId="57" r:id="rId7"/>
    <sheet name="F-07" sheetId="9" r:id="rId8"/>
    <sheet name="F-08" sheetId="21" r:id="rId9"/>
    <sheet name="F-09" sheetId="88" r:id="rId10"/>
    <sheet name="F-10" sheetId="89" r:id="rId11"/>
    <sheet name="F-11" sheetId="90" r:id="rId12"/>
    <sheet name="F-12" sheetId="33" r:id="rId13"/>
    <sheet name="F-13" sheetId="84" r:id="rId14"/>
    <sheet name="F-14" sheetId="85" r:id="rId15"/>
    <sheet name="F-15" sheetId="39" r:id="rId16"/>
    <sheet name="F-16" sheetId="83" r:id="rId17"/>
    <sheet name="F-17" sheetId="82" r:id="rId18"/>
    <sheet name="F-18" sheetId="86" r:id="rId19"/>
    <sheet name="Hoja2" sheetId="80" r:id="rId20"/>
    <sheet name="Hoja1" sheetId="78" state="hidden" r:id="rId21"/>
  </sheets>
  <definedNames>
    <definedName name="_xlnm._FilterDatabase" localSheetId="13" hidden="1">'F-13'!$A$5:$N$69</definedName>
    <definedName name="_xlnm.Print_Area" localSheetId="1">'F-01'!$A$1:$N$15</definedName>
    <definedName name="_xlnm.Print_Area" localSheetId="6">'F-06'!$A$1:$N$51</definedName>
    <definedName name="_xlnm.Print_Area" localSheetId="7">'F-07'!$A$1:$Q$25</definedName>
    <definedName name="_xlnm.Print_Area" localSheetId="8">'F-08'!$A$1:$R$109</definedName>
    <definedName name="_xlnm.Print_Area" localSheetId="9">'F-09'!$A$1:$W$158</definedName>
    <definedName name="_xlnm.Print_Area" localSheetId="10">'F-10'!$A$1:$I$24</definedName>
    <definedName name="_xlnm.Print_Area" localSheetId="12">'F-12'!$A$1:$J$38</definedName>
    <definedName name="_xlnm.Print_Area" localSheetId="13">'F-13'!$A$1:$N$69</definedName>
    <definedName name="_xlnm.Print_Area" localSheetId="14">'F-14'!$A$1:$J$13</definedName>
    <definedName name="_xlnm.Print_Area" localSheetId="15">'F-15'!$A$1:$H$21</definedName>
    <definedName name="_xlnm.Print_Area" localSheetId="16">'F-16'!$A$1:$H$31</definedName>
    <definedName name="_xlnm.Print_Area" localSheetId="17">'F-17'!$A$1:$P$69</definedName>
    <definedName name="_xlnm.Print_Area" localSheetId="18">'F-18'!$A$1:$L$19</definedName>
    <definedName name="_xlnm.Print_Area" localSheetId="0">Índice!$A$1:$E$35</definedName>
    <definedName name="dd" localSheetId="2">#REF!</definedName>
    <definedName name="dd" localSheetId="3">#REF!</definedName>
    <definedName name="dd" localSheetId="5">#REF!</definedName>
    <definedName name="dd">#REF!</definedName>
    <definedName name="DIRECREC" localSheetId="1">#REF!</definedName>
    <definedName name="DIRECREC" localSheetId="2">#REF!</definedName>
    <definedName name="DIRECREC" localSheetId="3">#REF!</definedName>
    <definedName name="DIRECREC" localSheetId="5">#REF!</definedName>
    <definedName name="DIRECREC" localSheetId="6">#REF!</definedName>
    <definedName name="DIRECREC" localSheetId="9">#REF!</definedName>
    <definedName name="DIRECREC" localSheetId="18">#REF!</definedName>
    <definedName name="DIRECREC">#REF!</definedName>
    <definedName name="DONAC" localSheetId="1">#REF!</definedName>
    <definedName name="DONAC" localSheetId="2">#REF!</definedName>
    <definedName name="DONAC" localSheetId="3">#REF!</definedName>
    <definedName name="DONAC" localSheetId="5">#REF!</definedName>
    <definedName name="DONAC" localSheetId="6">#REF!</definedName>
    <definedName name="DONAC" localSheetId="9">#REF!</definedName>
    <definedName name="DONAC" localSheetId="18">#REF!</definedName>
    <definedName name="DONAC">#REF!</definedName>
    <definedName name="EE" localSheetId="2">#REF!</definedName>
    <definedName name="EE" localSheetId="3">#REF!</definedName>
    <definedName name="EE" localSheetId="5">#REF!</definedName>
    <definedName name="EE">#REF!</definedName>
    <definedName name="RECORD" localSheetId="1">#REF!</definedName>
    <definedName name="RECORD" localSheetId="2">#REF!</definedName>
    <definedName name="RECORD" localSheetId="3">#REF!</definedName>
    <definedName name="RECORD" localSheetId="5">#REF!</definedName>
    <definedName name="RECORD" localSheetId="6">#REF!</definedName>
    <definedName name="RECORD" localSheetId="9">#REF!</definedName>
    <definedName name="RECORD" localSheetId="18">#REF!</definedName>
    <definedName name="RECORD">#REF!</definedName>
    <definedName name="RECPUB" localSheetId="1">#REF!</definedName>
    <definedName name="RECPUB" localSheetId="2">#REF!</definedName>
    <definedName name="RECPUB" localSheetId="3">#REF!</definedName>
    <definedName name="RECPUB" localSheetId="5">#REF!</definedName>
    <definedName name="RECPUB" localSheetId="6">#REF!</definedName>
    <definedName name="RECPUB" localSheetId="9">#REF!</definedName>
    <definedName name="RECPUB" localSheetId="18">#REF!</definedName>
    <definedName name="RECPUB">#REF!</definedName>
    <definedName name="_xlnm.Print_Titles" localSheetId="1">'F-01'!$3:$3</definedName>
    <definedName name="_xlnm.Print_Titles" localSheetId="9">'F-09'!$4:$5</definedName>
    <definedName name="_xlnm.Print_Titles" localSheetId="11">'F-11'!$4:$6</definedName>
    <definedName name="_xlnm.Print_Titles" localSheetId="13">'F-13'!$5:$5</definedName>
    <definedName name="_xlnm.Print_Titles" localSheetId="17">'F-17'!$4:$5</definedName>
    <definedName name="_xlnm.Print_Titles" localSheetId="0">Índice!$1:$1</definedName>
    <definedName name="XPRINT" localSheetId="1">#REF!</definedName>
    <definedName name="XPRINT" localSheetId="2">#REF!</definedName>
    <definedName name="XPRINT" localSheetId="3">#REF!</definedName>
    <definedName name="XPRINT" localSheetId="5">#REF!</definedName>
    <definedName name="XPRINT" localSheetId="6">#REF!</definedName>
    <definedName name="XPRINT" localSheetId="9">#REF!</definedName>
    <definedName name="XPRINT" localSheetId="18">#REF!</definedName>
    <definedName name="XPRINT">#REF!</definedName>
    <definedName name="XPRINT2" localSheetId="1">#REF!</definedName>
    <definedName name="XPRINT2" localSheetId="2">#REF!</definedName>
    <definedName name="XPRINT2" localSheetId="3">#REF!</definedName>
    <definedName name="XPRINT2" localSheetId="5">#REF!</definedName>
    <definedName name="XPRINT2" localSheetId="6">#REF!</definedName>
    <definedName name="XPRINT2" localSheetId="9">#REF!</definedName>
    <definedName name="XPRINT2" localSheetId="18">#REF!</definedName>
    <definedName name="XPRINT2">#REF!</definedName>
    <definedName name="XPRINT3" localSheetId="1">#REF!</definedName>
    <definedName name="XPRINT3" localSheetId="2">#REF!</definedName>
    <definedName name="XPRINT3" localSheetId="3">#REF!</definedName>
    <definedName name="XPRINT3" localSheetId="5">#REF!</definedName>
    <definedName name="XPRINT3" localSheetId="6">#REF!</definedName>
    <definedName name="XPRINT3" localSheetId="9">#REF!</definedName>
    <definedName name="XPRINT3" localSheetId="18">#REF!</definedName>
    <definedName name="XPRINT3">#REF!</definedName>
    <definedName name="XPRINT4" localSheetId="1">#REF!</definedName>
    <definedName name="XPRINT4" localSheetId="2">#REF!</definedName>
    <definedName name="XPRINT4" localSheetId="3">#REF!</definedName>
    <definedName name="XPRINT4" localSheetId="5">#REF!</definedName>
    <definedName name="XPRINT4" localSheetId="6">#REF!</definedName>
    <definedName name="XPRINT4" localSheetId="9">#REF!</definedName>
    <definedName name="XPRINT4" localSheetId="18">#REF!</definedName>
    <definedName name="XPRINT4">#REF!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9" i="89" l="1"/>
  <c r="I15" i="89"/>
  <c r="I11" i="89"/>
  <c r="I10" i="89"/>
  <c r="I6" i="89"/>
  <c r="Y164" i="90"/>
  <c r="X164" i="90"/>
  <c r="W164" i="90"/>
  <c r="V164" i="90"/>
  <c r="U164" i="90"/>
  <c r="T164" i="90"/>
  <c r="S164" i="90"/>
  <c r="Q164" i="90"/>
  <c r="J164" i="90"/>
  <c r="I164" i="90"/>
  <c r="H164" i="90"/>
  <c r="G164" i="90"/>
  <c r="F164" i="90"/>
  <c r="E164" i="90"/>
  <c r="D164" i="90"/>
  <c r="B164" i="90"/>
  <c r="AG158" i="90"/>
  <c r="AC158" i="90"/>
  <c r="Z158" i="90"/>
  <c r="AD158" i="90" s="1"/>
  <c r="R158" i="90"/>
  <c r="N158" i="90"/>
  <c r="C158" i="90"/>
  <c r="K158" i="90" s="1"/>
  <c r="O158" i="90" s="1"/>
  <c r="AG155" i="90"/>
  <c r="AC155" i="90"/>
  <c r="R155" i="90"/>
  <c r="Z155" i="90" s="1"/>
  <c r="AD155" i="90" s="1"/>
  <c r="N155" i="90"/>
  <c r="C155" i="90"/>
  <c r="K155" i="90" s="1"/>
  <c r="AG152" i="90"/>
  <c r="AC152" i="90"/>
  <c r="R152" i="90"/>
  <c r="Z152" i="90" s="1"/>
  <c r="AD152" i="90" s="1"/>
  <c r="N152" i="90"/>
  <c r="C152" i="90"/>
  <c r="K152" i="90" s="1"/>
  <c r="O152" i="90" s="1"/>
  <c r="AG151" i="90"/>
  <c r="AC151" i="90"/>
  <c r="R151" i="90"/>
  <c r="Z151" i="90" s="1"/>
  <c r="AD151" i="90" s="1"/>
  <c r="N151" i="90"/>
  <c r="C151" i="90"/>
  <c r="K151" i="90" s="1"/>
  <c r="AG150" i="90"/>
  <c r="AC150" i="90"/>
  <c r="Z150" i="90"/>
  <c r="R150" i="90"/>
  <c r="N150" i="90"/>
  <c r="C150" i="90"/>
  <c r="K150" i="90" s="1"/>
  <c r="O150" i="90" s="1"/>
  <c r="AG147" i="90"/>
  <c r="AC147" i="90"/>
  <c r="R147" i="90"/>
  <c r="Z147" i="90" s="1"/>
  <c r="AD147" i="90" s="1"/>
  <c r="N147" i="90"/>
  <c r="C147" i="90"/>
  <c r="K147" i="90" s="1"/>
  <c r="AG146" i="90"/>
  <c r="AC146" i="90"/>
  <c r="R146" i="90"/>
  <c r="Z146" i="90" s="1"/>
  <c r="N146" i="90"/>
  <c r="K146" i="90"/>
  <c r="C146" i="90"/>
  <c r="AG145" i="90"/>
  <c r="AC145" i="90"/>
  <c r="R145" i="90"/>
  <c r="Z145" i="90" s="1"/>
  <c r="AD145" i="90" s="1"/>
  <c r="O145" i="90"/>
  <c r="N145" i="90"/>
  <c r="C145" i="90"/>
  <c r="K145" i="90" s="1"/>
  <c r="AG144" i="90"/>
  <c r="AC144" i="90"/>
  <c r="R144" i="90"/>
  <c r="Z144" i="90" s="1"/>
  <c r="AD144" i="90" s="1"/>
  <c r="N144" i="90"/>
  <c r="C144" i="90"/>
  <c r="K144" i="90" s="1"/>
  <c r="AG143" i="90"/>
  <c r="AC143" i="90"/>
  <c r="R143" i="90"/>
  <c r="Z143" i="90" s="1"/>
  <c r="N143" i="90"/>
  <c r="C143" i="90"/>
  <c r="K143" i="90" s="1"/>
  <c r="O143" i="90" s="1"/>
  <c r="AG139" i="90"/>
  <c r="AC139" i="90"/>
  <c r="AB139" i="90"/>
  <c r="Z139" i="90"/>
  <c r="R139" i="90"/>
  <c r="M139" i="90"/>
  <c r="N139" i="90" s="1"/>
  <c r="C139" i="90"/>
  <c r="K139" i="90" s="1"/>
  <c r="AG138" i="90"/>
  <c r="AB138" i="90"/>
  <c r="AC138" i="90" s="1"/>
  <c r="R138" i="90"/>
  <c r="Z138" i="90" s="1"/>
  <c r="M138" i="90"/>
  <c r="N138" i="90" s="1"/>
  <c r="C138" i="90"/>
  <c r="K138" i="90" s="1"/>
  <c r="AG135" i="90"/>
  <c r="AC135" i="90"/>
  <c r="R135" i="90"/>
  <c r="Z135" i="90" s="1"/>
  <c r="N135" i="90"/>
  <c r="K135" i="90"/>
  <c r="O135" i="90" s="1"/>
  <c r="C135" i="90"/>
  <c r="AG134" i="90"/>
  <c r="AB134" i="90"/>
  <c r="AC134" i="90" s="1"/>
  <c r="R134" i="90"/>
  <c r="Z134" i="90" s="1"/>
  <c r="O134" i="90"/>
  <c r="M134" i="90"/>
  <c r="N134" i="90" s="1"/>
  <c r="C134" i="90"/>
  <c r="K134" i="90" s="1"/>
  <c r="AG132" i="90"/>
  <c r="AA132" i="90"/>
  <c r="AC132" i="90" s="1"/>
  <c r="Z132" i="90"/>
  <c r="AD132" i="90" s="1"/>
  <c r="N132" i="90"/>
  <c r="L132" i="90"/>
  <c r="K132" i="90"/>
  <c r="AG131" i="90"/>
  <c r="AB131" i="90"/>
  <c r="AC131" i="90" s="1"/>
  <c r="R131" i="90"/>
  <c r="Z131" i="90" s="1"/>
  <c r="M131" i="90"/>
  <c r="N131" i="90" s="1"/>
  <c r="C131" i="90"/>
  <c r="K131" i="90" s="1"/>
  <c r="AG130" i="90"/>
  <c r="AA130" i="90"/>
  <c r="AC130" i="90" s="1"/>
  <c r="Z130" i="90"/>
  <c r="L130" i="90"/>
  <c r="N130" i="90" s="1"/>
  <c r="K130" i="90"/>
  <c r="AG129" i="90"/>
  <c r="AC129" i="90"/>
  <c r="AD129" i="90" s="1"/>
  <c r="AB129" i="90"/>
  <c r="Z129" i="90"/>
  <c r="R129" i="90"/>
  <c r="M129" i="90"/>
  <c r="N129" i="90" s="1"/>
  <c r="C129" i="90"/>
  <c r="K129" i="90" s="1"/>
  <c r="O129" i="90" s="1"/>
  <c r="AG128" i="90"/>
  <c r="AC128" i="90"/>
  <c r="AB128" i="90"/>
  <c r="R128" i="90"/>
  <c r="Z128" i="90" s="1"/>
  <c r="M128" i="90"/>
  <c r="N128" i="90" s="1"/>
  <c r="C128" i="90"/>
  <c r="K128" i="90" s="1"/>
  <c r="O128" i="90" s="1"/>
  <c r="AG127" i="90"/>
  <c r="AC127" i="90"/>
  <c r="AD127" i="90" s="1"/>
  <c r="AA127" i="90"/>
  <c r="Z127" i="90"/>
  <c r="N127" i="90"/>
  <c r="L127" i="90"/>
  <c r="K127" i="90"/>
  <c r="AG125" i="90"/>
  <c r="AB125" i="90"/>
  <c r="AC125" i="90" s="1"/>
  <c r="Z125" i="90"/>
  <c r="M125" i="90"/>
  <c r="N125" i="90" s="1"/>
  <c r="K125" i="90"/>
  <c r="AG124" i="90"/>
  <c r="AA124" i="90"/>
  <c r="Z124" i="90"/>
  <c r="N124" i="90"/>
  <c r="O124" i="90" s="1"/>
  <c r="L124" i="90"/>
  <c r="L164" i="90" s="1"/>
  <c r="K124" i="90"/>
  <c r="AG119" i="90"/>
  <c r="AC119" i="90"/>
  <c r="R119" i="90"/>
  <c r="Z119" i="90" s="1"/>
  <c r="N119" i="90"/>
  <c r="C119" i="90"/>
  <c r="K119" i="90" s="1"/>
  <c r="O119" i="90" s="1"/>
  <c r="AG118" i="90"/>
  <c r="AD118" i="90"/>
  <c r="AC118" i="90"/>
  <c r="R118" i="90"/>
  <c r="Z118" i="90" s="1"/>
  <c r="N118" i="90"/>
  <c r="C118" i="90"/>
  <c r="K118" i="90" s="1"/>
  <c r="AG117" i="90"/>
  <c r="AC117" i="90"/>
  <c r="R117" i="90"/>
  <c r="Z117" i="90" s="1"/>
  <c r="N117" i="90"/>
  <c r="K117" i="90"/>
  <c r="C117" i="90"/>
  <c r="AG114" i="90"/>
  <c r="AC114" i="90"/>
  <c r="R114" i="90"/>
  <c r="Z114" i="90" s="1"/>
  <c r="AD114" i="90" s="1"/>
  <c r="O114" i="90"/>
  <c r="N114" i="90"/>
  <c r="C114" i="90"/>
  <c r="K114" i="90" s="1"/>
  <c r="AG111" i="90"/>
  <c r="AC111" i="90"/>
  <c r="R111" i="90"/>
  <c r="Z111" i="90" s="1"/>
  <c r="AD111" i="90" s="1"/>
  <c r="N111" i="90"/>
  <c r="C111" i="90"/>
  <c r="K111" i="90" s="1"/>
  <c r="O111" i="90" s="1"/>
  <c r="AG110" i="90"/>
  <c r="AC110" i="90"/>
  <c r="R110" i="90"/>
  <c r="Z110" i="90" s="1"/>
  <c r="AD110" i="90" s="1"/>
  <c r="AF110" i="90" s="1"/>
  <c r="N110" i="90"/>
  <c r="C110" i="90"/>
  <c r="K110" i="90" s="1"/>
  <c r="O110" i="90" s="1"/>
  <c r="AG107" i="90"/>
  <c r="AC107" i="90"/>
  <c r="Z107" i="90"/>
  <c r="N107" i="90"/>
  <c r="K107" i="90"/>
  <c r="O107" i="90" s="1"/>
  <c r="AG106" i="90"/>
  <c r="AC106" i="90"/>
  <c r="Z106" i="90"/>
  <c r="AD106" i="90" s="1"/>
  <c r="N106" i="90"/>
  <c r="K106" i="90"/>
  <c r="O106" i="90" s="1"/>
  <c r="AG105" i="90"/>
  <c r="AC105" i="90"/>
  <c r="R105" i="90"/>
  <c r="Z105" i="90" s="1"/>
  <c r="N105" i="90"/>
  <c r="C105" i="90"/>
  <c r="K105" i="90" s="1"/>
  <c r="O105" i="90" s="1"/>
  <c r="AG104" i="90"/>
  <c r="AC104" i="90"/>
  <c r="R104" i="90"/>
  <c r="Z104" i="90" s="1"/>
  <c r="N104" i="90"/>
  <c r="C104" i="90"/>
  <c r="K104" i="90" s="1"/>
  <c r="O104" i="90" s="1"/>
  <c r="AG103" i="90"/>
  <c r="AC103" i="90"/>
  <c r="R103" i="90"/>
  <c r="Z103" i="90" s="1"/>
  <c r="AD103" i="90" s="1"/>
  <c r="N103" i="90"/>
  <c r="C103" i="90"/>
  <c r="K103" i="90" s="1"/>
  <c r="AG102" i="90"/>
  <c r="AC102" i="90"/>
  <c r="R102" i="90"/>
  <c r="Z102" i="90" s="1"/>
  <c r="AD102" i="90" s="1"/>
  <c r="AF102" i="90" s="1"/>
  <c r="N102" i="90"/>
  <c r="C102" i="90"/>
  <c r="K102" i="90" s="1"/>
  <c r="O102" i="90" s="1"/>
  <c r="AG101" i="90"/>
  <c r="AC101" i="90"/>
  <c r="R101" i="90"/>
  <c r="Z101" i="90" s="1"/>
  <c r="N101" i="90"/>
  <c r="C101" i="90"/>
  <c r="K101" i="90" s="1"/>
  <c r="O101" i="90" s="1"/>
  <c r="AG100" i="90"/>
  <c r="AC100" i="90"/>
  <c r="R100" i="90"/>
  <c r="Z100" i="90" s="1"/>
  <c r="N100" i="90"/>
  <c r="O100" i="90" s="1"/>
  <c r="C100" i="90"/>
  <c r="K100" i="90" s="1"/>
  <c r="AG99" i="90"/>
  <c r="AC99" i="90"/>
  <c r="R99" i="90"/>
  <c r="Z99" i="90" s="1"/>
  <c r="AD99" i="90" s="1"/>
  <c r="N99" i="90"/>
  <c r="C99" i="90"/>
  <c r="K99" i="90" s="1"/>
  <c r="AG98" i="90"/>
  <c r="AC98" i="90"/>
  <c r="AD98" i="90" s="1"/>
  <c r="R98" i="90"/>
  <c r="Z98" i="90" s="1"/>
  <c r="N98" i="90"/>
  <c r="C98" i="90"/>
  <c r="K98" i="90" s="1"/>
  <c r="O98" i="90" s="1"/>
  <c r="AG97" i="90"/>
  <c r="AC97" i="90"/>
  <c r="R97" i="90"/>
  <c r="Z97" i="90" s="1"/>
  <c r="N97" i="90"/>
  <c r="C97" i="90"/>
  <c r="K97" i="90" s="1"/>
  <c r="O97" i="90" s="1"/>
  <c r="AG96" i="90"/>
  <c r="AC96" i="90"/>
  <c r="R96" i="90"/>
  <c r="Z96" i="90" s="1"/>
  <c r="AD96" i="90" s="1"/>
  <c r="N96" i="90"/>
  <c r="C96" i="90"/>
  <c r="K96" i="90" s="1"/>
  <c r="AG95" i="90"/>
  <c r="AC95" i="90"/>
  <c r="Z95" i="90"/>
  <c r="R95" i="90"/>
  <c r="N95" i="90"/>
  <c r="C95" i="90"/>
  <c r="K95" i="90" s="1"/>
  <c r="AG94" i="90"/>
  <c r="AD94" i="90"/>
  <c r="AF94" i="90" s="1"/>
  <c r="AC94" i="90"/>
  <c r="R94" i="90"/>
  <c r="Z94" i="90" s="1"/>
  <c r="N94" i="90"/>
  <c r="C94" i="90"/>
  <c r="K94" i="90" s="1"/>
  <c r="O94" i="90" s="1"/>
  <c r="AG93" i="90"/>
  <c r="AC93" i="90"/>
  <c r="Z93" i="90"/>
  <c r="AD93" i="90" s="1"/>
  <c r="AF93" i="90" s="1"/>
  <c r="R93" i="90"/>
  <c r="N93" i="90"/>
  <c r="K93" i="90"/>
  <c r="O93" i="90" s="1"/>
  <c r="C93" i="90"/>
  <c r="AG92" i="90"/>
  <c r="AC92" i="90"/>
  <c r="R92" i="90"/>
  <c r="Z92" i="90" s="1"/>
  <c r="AD92" i="90" s="1"/>
  <c r="O92" i="90"/>
  <c r="N92" i="90"/>
  <c r="C92" i="90"/>
  <c r="K92" i="90" s="1"/>
  <c r="AG91" i="90"/>
  <c r="AC91" i="90"/>
  <c r="R91" i="90"/>
  <c r="Z91" i="90" s="1"/>
  <c r="AD91" i="90" s="1"/>
  <c r="N91" i="90"/>
  <c r="C91" i="90"/>
  <c r="K91" i="90" s="1"/>
  <c r="AG90" i="90"/>
  <c r="AC90" i="90"/>
  <c r="R90" i="90"/>
  <c r="Z90" i="90" s="1"/>
  <c r="AD90" i="90" s="1"/>
  <c r="AF90" i="90" s="1"/>
  <c r="N90" i="90"/>
  <c r="C90" i="90"/>
  <c r="K90" i="90" s="1"/>
  <c r="O90" i="90" s="1"/>
  <c r="AG89" i="90"/>
  <c r="AC89" i="90"/>
  <c r="Z89" i="90"/>
  <c r="AD89" i="90" s="1"/>
  <c r="AF89" i="90" s="1"/>
  <c r="R89" i="90"/>
  <c r="N89" i="90"/>
  <c r="K89" i="90"/>
  <c r="O89" i="90" s="1"/>
  <c r="C89" i="90"/>
  <c r="AG85" i="90"/>
  <c r="AC85" i="90"/>
  <c r="Z85" i="90"/>
  <c r="AD85" i="90" s="1"/>
  <c r="N85" i="90"/>
  <c r="O85" i="90" s="1"/>
  <c r="K85" i="90"/>
  <c r="AG84" i="90"/>
  <c r="AC84" i="90"/>
  <c r="R84" i="90"/>
  <c r="Z84" i="90" s="1"/>
  <c r="AD84" i="90" s="1"/>
  <c r="N84" i="90"/>
  <c r="C84" i="90"/>
  <c r="K84" i="90" s="1"/>
  <c r="O84" i="90" s="1"/>
  <c r="AG83" i="90"/>
  <c r="AC83" i="90"/>
  <c r="R83" i="90"/>
  <c r="Z83" i="90" s="1"/>
  <c r="AD83" i="90" s="1"/>
  <c r="N83" i="90"/>
  <c r="C83" i="90"/>
  <c r="K83" i="90" s="1"/>
  <c r="AG82" i="90"/>
  <c r="AC82" i="90"/>
  <c r="R82" i="90"/>
  <c r="Z82" i="90" s="1"/>
  <c r="N82" i="90"/>
  <c r="C82" i="90"/>
  <c r="K82" i="90" s="1"/>
  <c r="O82" i="90" s="1"/>
  <c r="AG81" i="90"/>
  <c r="AC81" i="90"/>
  <c r="R81" i="90"/>
  <c r="Z81" i="90" s="1"/>
  <c r="N81" i="90"/>
  <c r="K81" i="90"/>
  <c r="C81" i="90"/>
  <c r="AG80" i="90"/>
  <c r="AC80" i="90"/>
  <c r="R80" i="90"/>
  <c r="Z80" i="90" s="1"/>
  <c r="AD80" i="90" s="1"/>
  <c r="N80" i="90"/>
  <c r="C80" i="90"/>
  <c r="K80" i="90" s="1"/>
  <c r="O80" i="90" s="1"/>
  <c r="AF80" i="90" s="1"/>
  <c r="AG79" i="90"/>
  <c r="AC79" i="90"/>
  <c r="R79" i="90"/>
  <c r="Z79" i="90" s="1"/>
  <c r="AD79" i="90" s="1"/>
  <c r="N79" i="90"/>
  <c r="C79" i="90"/>
  <c r="K79" i="90" s="1"/>
  <c r="O79" i="90" s="1"/>
  <c r="AG78" i="90"/>
  <c r="AC78" i="90"/>
  <c r="AD78" i="90" s="1"/>
  <c r="AF78" i="90" s="1"/>
  <c r="R78" i="90"/>
  <c r="Z78" i="90" s="1"/>
  <c r="N78" i="90"/>
  <c r="C78" i="90"/>
  <c r="K78" i="90" s="1"/>
  <c r="O78" i="90" s="1"/>
  <c r="AG77" i="90"/>
  <c r="AC77" i="90"/>
  <c r="Z77" i="90"/>
  <c r="AD77" i="90" s="1"/>
  <c r="N77" i="90"/>
  <c r="K77" i="90"/>
  <c r="O77" i="90" s="1"/>
  <c r="AG76" i="90"/>
  <c r="AC76" i="90"/>
  <c r="Z76" i="90"/>
  <c r="AD76" i="90" s="1"/>
  <c r="AF76" i="90" s="1"/>
  <c r="N76" i="90"/>
  <c r="K76" i="90"/>
  <c r="O76" i="90" s="1"/>
  <c r="AG75" i="90"/>
  <c r="AC75" i="90"/>
  <c r="Z75" i="90"/>
  <c r="AD75" i="90" s="1"/>
  <c r="N75" i="90"/>
  <c r="K75" i="90"/>
  <c r="AG74" i="90"/>
  <c r="AC74" i="90"/>
  <c r="Z74" i="90"/>
  <c r="N74" i="90"/>
  <c r="K74" i="90"/>
  <c r="O74" i="90" s="1"/>
  <c r="AG73" i="90"/>
  <c r="AC73" i="90"/>
  <c r="R73" i="90"/>
  <c r="Z73" i="90" s="1"/>
  <c r="AD73" i="90" s="1"/>
  <c r="N73" i="90"/>
  <c r="C73" i="90"/>
  <c r="K73" i="90" s="1"/>
  <c r="O73" i="90" s="1"/>
  <c r="AG72" i="90"/>
  <c r="AC72" i="90"/>
  <c r="R72" i="90"/>
  <c r="Z72" i="90" s="1"/>
  <c r="AD72" i="90" s="1"/>
  <c r="AF72" i="90" s="1"/>
  <c r="O72" i="90"/>
  <c r="N72" i="90"/>
  <c r="C72" i="90"/>
  <c r="K72" i="90" s="1"/>
  <c r="AG71" i="90"/>
  <c r="AC71" i="90"/>
  <c r="R71" i="90"/>
  <c r="Z71" i="90" s="1"/>
  <c r="AD71" i="90" s="1"/>
  <c r="N71" i="90"/>
  <c r="K71" i="90"/>
  <c r="C71" i="90"/>
  <c r="AG70" i="90"/>
  <c r="AC70" i="90"/>
  <c r="R70" i="90"/>
  <c r="Z70" i="90" s="1"/>
  <c r="N70" i="90"/>
  <c r="C70" i="90"/>
  <c r="K70" i="90" s="1"/>
  <c r="O70" i="90" s="1"/>
  <c r="AG69" i="90"/>
  <c r="AC69" i="90"/>
  <c r="R69" i="90"/>
  <c r="Z69" i="90" s="1"/>
  <c r="N69" i="90"/>
  <c r="C69" i="90"/>
  <c r="K69" i="90" s="1"/>
  <c r="O69" i="90" s="1"/>
  <c r="AG68" i="90"/>
  <c r="AC68" i="90"/>
  <c r="R68" i="90"/>
  <c r="Z68" i="90" s="1"/>
  <c r="AD68" i="90" s="1"/>
  <c r="N68" i="90"/>
  <c r="C68" i="90"/>
  <c r="K68" i="90" s="1"/>
  <c r="AG67" i="90"/>
  <c r="AC67" i="90"/>
  <c r="R67" i="90"/>
  <c r="Z67" i="90" s="1"/>
  <c r="AD67" i="90" s="1"/>
  <c r="N67" i="90"/>
  <c r="C67" i="90"/>
  <c r="K67" i="90" s="1"/>
  <c r="O67" i="90" s="1"/>
  <c r="AG66" i="90"/>
  <c r="AD66" i="90"/>
  <c r="AF66" i="90" s="1"/>
  <c r="AC66" i="90"/>
  <c r="R66" i="90"/>
  <c r="Z66" i="90" s="1"/>
  <c r="N66" i="90"/>
  <c r="C66" i="90"/>
  <c r="K66" i="90" s="1"/>
  <c r="O66" i="90" s="1"/>
  <c r="AG65" i="90"/>
  <c r="AC65" i="90"/>
  <c r="R65" i="90"/>
  <c r="Z65" i="90" s="1"/>
  <c r="N65" i="90"/>
  <c r="C65" i="90"/>
  <c r="K65" i="90" s="1"/>
  <c r="O65" i="90" s="1"/>
  <c r="AG64" i="90"/>
  <c r="AC64" i="90"/>
  <c r="AD64" i="90" s="1"/>
  <c r="AF64" i="90" s="1"/>
  <c r="R64" i="90"/>
  <c r="Z64" i="90" s="1"/>
  <c r="N64" i="90"/>
  <c r="C64" i="90"/>
  <c r="K64" i="90" s="1"/>
  <c r="O64" i="90" s="1"/>
  <c r="AG63" i="90"/>
  <c r="AC63" i="90"/>
  <c r="R63" i="90"/>
  <c r="Z63" i="90" s="1"/>
  <c r="AD63" i="90" s="1"/>
  <c r="N63" i="90"/>
  <c r="K63" i="90"/>
  <c r="C63" i="90"/>
  <c r="AG62" i="90"/>
  <c r="AC62" i="90"/>
  <c r="R62" i="90"/>
  <c r="Z62" i="90" s="1"/>
  <c r="N62" i="90"/>
  <c r="C62" i="90"/>
  <c r="K62" i="90" s="1"/>
  <c r="O62" i="90" s="1"/>
  <c r="AG61" i="90"/>
  <c r="AC61" i="90"/>
  <c r="R61" i="90"/>
  <c r="Z61" i="90" s="1"/>
  <c r="AD61" i="90" s="1"/>
  <c r="AF61" i="90" s="1"/>
  <c r="N61" i="90"/>
  <c r="C61" i="90"/>
  <c r="K61" i="90" s="1"/>
  <c r="O61" i="90" s="1"/>
  <c r="AG60" i="90"/>
  <c r="AD60" i="90"/>
  <c r="AC60" i="90"/>
  <c r="R60" i="90"/>
  <c r="Z60" i="90" s="1"/>
  <c r="N60" i="90"/>
  <c r="C60" i="90"/>
  <c r="K60" i="90" s="1"/>
  <c r="AG59" i="90"/>
  <c r="AC59" i="90"/>
  <c r="R59" i="90"/>
  <c r="Z59" i="90" s="1"/>
  <c r="AD59" i="90" s="1"/>
  <c r="N59" i="90"/>
  <c r="K59" i="90"/>
  <c r="C59" i="90"/>
  <c r="AG58" i="90"/>
  <c r="AC58" i="90"/>
  <c r="R58" i="90"/>
  <c r="Z58" i="90" s="1"/>
  <c r="AD58" i="90" s="1"/>
  <c r="N58" i="90"/>
  <c r="C58" i="90"/>
  <c r="K58" i="90" s="1"/>
  <c r="O58" i="90" s="1"/>
  <c r="AG57" i="90"/>
  <c r="AC57" i="90"/>
  <c r="Z57" i="90"/>
  <c r="AD57" i="90" s="1"/>
  <c r="R57" i="90"/>
  <c r="N57" i="90"/>
  <c r="C57" i="90"/>
  <c r="K57" i="90" s="1"/>
  <c r="O57" i="90" s="1"/>
  <c r="AG56" i="90"/>
  <c r="AC56" i="90"/>
  <c r="R56" i="90"/>
  <c r="Z56" i="90" s="1"/>
  <c r="N56" i="90"/>
  <c r="O56" i="90" s="1"/>
  <c r="C56" i="90"/>
  <c r="K56" i="90" s="1"/>
  <c r="AG52" i="90"/>
  <c r="AC52" i="90"/>
  <c r="R52" i="90"/>
  <c r="Z52" i="90" s="1"/>
  <c r="AD52" i="90" s="1"/>
  <c r="N52" i="90"/>
  <c r="K52" i="90"/>
  <c r="C52" i="90"/>
  <c r="AG51" i="90"/>
  <c r="AC51" i="90"/>
  <c r="R51" i="90"/>
  <c r="Z51" i="90" s="1"/>
  <c r="AD51" i="90" s="1"/>
  <c r="N51" i="90"/>
  <c r="C51" i="90"/>
  <c r="K51" i="90" s="1"/>
  <c r="O51" i="90" s="1"/>
  <c r="AG50" i="90"/>
  <c r="AC50" i="90"/>
  <c r="Z50" i="90"/>
  <c r="R50" i="90"/>
  <c r="N50" i="90"/>
  <c r="C50" i="90"/>
  <c r="K50" i="90" s="1"/>
  <c r="AG49" i="90"/>
  <c r="AC49" i="90"/>
  <c r="R49" i="90"/>
  <c r="Z49" i="90" s="1"/>
  <c r="O49" i="90"/>
  <c r="N49" i="90"/>
  <c r="C49" i="90"/>
  <c r="K49" i="90" s="1"/>
  <c r="AG48" i="90"/>
  <c r="AC48" i="90"/>
  <c r="Z48" i="90"/>
  <c r="AD48" i="90" s="1"/>
  <c r="R48" i="90"/>
  <c r="N48" i="90"/>
  <c r="K48" i="90"/>
  <c r="O48" i="90" s="1"/>
  <c r="C48" i="90"/>
  <c r="AG45" i="90"/>
  <c r="AC45" i="90"/>
  <c r="R45" i="90"/>
  <c r="Z45" i="90" s="1"/>
  <c r="O45" i="90"/>
  <c r="N45" i="90"/>
  <c r="C45" i="90"/>
  <c r="K45" i="90" s="1"/>
  <c r="AG44" i="90"/>
  <c r="AC44" i="90"/>
  <c r="R44" i="90"/>
  <c r="Z44" i="90" s="1"/>
  <c r="AD44" i="90" s="1"/>
  <c r="AF44" i="90" s="1"/>
  <c r="N44" i="90"/>
  <c r="K44" i="90"/>
  <c r="O44" i="90" s="1"/>
  <c r="C44" i="90"/>
  <c r="AG39" i="90"/>
  <c r="AD39" i="90"/>
  <c r="AC39" i="90"/>
  <c r="Z39" i="90"/>
  <c r="N39" i="90"/>
  <c r="K39" i="90"/>
  <c r="AG38" i="90"/>
  <c r="AD38" i="90"/>
  <c r="AC38" i="90"/>
  <c r="Z38" i="90"/>
  <c r="N38" i="90"/>
  <c r="K38" i="90"/>
  <c r="AG37" i="90"/>
  <c r="AC37" i="90"/>
  <c r="AD37" i="90" s="1"/>
  <c r="Z37" i="90"/>
  <c r="N37" i="90"/>
  <c r="K37" i="90"/>
  <c r="AG36" i="90"/>
  <c r="AC36" i="90"/>
  <c r="Z36" i="90"/>
  <c r="AD36" i="90" s="1"/>
  <c r="N36" i="90"/>
  <c r="O36" i="90" s="1"/>
  <c r="K36" i="90"/>
  <c r="AG33" i="90"/>
  <c r="AD33" i="90"/>
  <c r="AC33" i="90"/>
  <c r="Z33" i="90"/>
  <c r="N33" i="90"/>
  <c r="K33" i="90"/>
  <c r="AG32" i="90"/>
  <c r="AD32" i="90"/>
  <c r="AC32" i="90"/>
  <c r="Z32" i="90"/>
  <c r="N32" i="90"/>
  <c r="K32" i="90"/>
  <c r="AG31" i="90"/>
  <c r="AC31" i="90"/>
  <c r="AD31" i="90" s="1"/>
  <c r="Z31" i="90"/>
  <c r="N31" i="90"/>
  <c r="K31" i="90"/>
  <c r="AG30" i="90"/>
  <c r="AC30" i="90"/>
  <c r="Z30" i="90"/>
  <c r="AD30" i="90" s="1"/>
  <c r="N30" i="90"/>
  <c r="O30" i="90" s="1"/>
  <c r="K30" i="90"/>
  <c r="AG29" i="90"/>
  <c r="AD29" i="90"/>
  <c r="AC29" i="90"/>
  <c r="Z29" i="90"/>
  <c r="N29" i="90"/>
  <c r="K29" i="90"/>
  <c r="AG28" i="90"/>
  <c r="AD28" i="90"/>
  <c r="AC28" i="90"/>
  <c r="Z28" i="90"/>
  <c r="N28" i="90"/>
  <c r="K28" i="90"/>
  <c r="AG25" i="90"/>
  <c r="AC25" i="90"/>
  <c r="AD25" i="90" s="1"/>
  <c r="Z25" i="90"/>
  <c r="N25" i="90"/>
  <c r="K25" i="90"/>
  <c r="AG24" i="90"/>
  <c r="AC24" i="90"/>
  <c r="AD24" i="90" s="1"/>
  <c r="Z24" i="90"/>
  <c r="N24" i="90"/>
  <c r="O24" i="90" s="1"/>
  <c r="K24" i="90"/>
  <c r="AG23" i="90"/>
  <c r="AD23" i="90"/>
  <c r="AC23" i="90"/>
  <c r="Z23" i="90"/>
  <c r="N23" i="90"/>
  <c r="K23" i="90"/>
  <c r="AG22" i="90"/>
  <c r="AD22" i="90"/>
  <c r="AC22" i="90"/>
  <c r="Z22" i="90"/>
  <c r="N22" i="90"/>
  <c r="K22" i="90"/>
  <c r="AG21" i="90"/>
  <c r="AC21" i="90"/>
  <c r="AD21" i="90" s="1"/>
  <c r="Z21" i="90"/>
  <c r="N21" i="90"/>
  <c r="K21" i="90"/>
  <c r="AG20" i="90"/>
  <c r="AC20" i="90"/>
  <c r="AD20" i="90" s="1"/>
  <c r="Z20" i="90"/>
  <c r="N20" i="90"/>
  <c r="O20" i="90" s="1"/>
  <c r="K20" i="90"/>
  <c r="AI17" i="90"/>
  <c r="AG17" i="90"/>
  <c r="AC17" i="90"/>
  <c r="Z17" i="90"/>
  <c r="N17" i="90"/>
  <c r="K17" i="90"/>
  <c r="AI16" i="90"/>
  <c r="AG16" i="90"/>
  <c r="AC16" i="90"/>
  <c r="Z16" i="90"/>
  <c r="N16" i="90"/>
  <c r="K16" i="90"/>
  <c r="O16" i="90" s="1"/>
  <c r="AI15" i="90"/>
  <c r="AG15" i="90"/>
  <c r="AC15" i="90"/>
  <c r="Z15" i="90"/>
  <c r="N15" i="90"/>
  <c r="K15" i="90"/>
  <c r="AI14" i="90"/>
  <c r="AG14" i="90"/>
  <c r="AC14" i="90"/>
  <c r="Z14" i="90"/>
  <c r="N14" i="90"/>
  <c r="O14" i="90" s="1"/>
  <c r="K14" i="90"/>
  <c r="AI13" i="90"/>
  <c r="AG13" i="90"/>
  <c r="AC13" i="90"/>
  <c r="AD13" i="90" s="1"/>
  <c r="Z13" i="90"/>
  <c r="N13" i="90"/>
  <c r="O13" i="90" s="1"/>
  <c r="K13" i="90"/>
  <c r="AI12" i="90"/>
  <c r="AG12" i="90"/>
  <c r="AC12" i="90"/>
  <c r="Z12" i="90"/>
  <c r="N12" i="90"/>
  <c r="O12" i="90" s="1"/>
  <c r="K12" i="90"/>
  <c r="AC11" i="90"/>
  <c r="AD11" i="90" s="1"/>
  <c r="Z11" i="90"/>
  <c r="N11" i="90"/>
  <c r="O11" i="90" s="1"/>
  <c r="P11" i="90" s="1"/>
  <c r="AI11" i="90" s="1"/>
  <c r="K11" i="90"/>
  <c r="AC10" i="90"/>
  <c r="Z10" i="90"/>
  <c r="AD10" i="90" s="1"/>
  <c r="AE10" i="90" s="1"/>
  <c r="N10" i="90"/>
  <c r="K10" i="90"/>
  <c r="G22" i="89"/>
  <c r="F22" i="89"/>
  <c r="E22" i="89"/>
  <c r="D22" i="89"/>
  <c r="C22" i="89"/>
  <c r="B22" i="89"/>
  <c r="V153" i="88"/>
  <c r="H153" i="88"/>
  <c r="G153" i="88"/>
  <c r="F153" i="88"/>
  <c r="E153" i="88"/>
  <c r="W151" i="88"/>
  <c r="K151" i="88"/>
  <c r="U151" i="88" s="1"/>
  <c r="L150" i="88"/>
  <c r="W150" i="88" s="1"/>
  <c r="J150" i="88"/>
  <c r="K150" i="88" s="1"/>
  <c r="U150" i="88" s="1"/>
  <c r="W148" i="88"/>
  <c r="U148" i="88"/>
  <c r="K148" i="88"/>
  <c r="K147" i="88" s="1"/>
  <c r="U147" i="88" s="1"/>
  <c r="L147" i="88"/>
  <c r="W147" i="88" s="1"/>
  <c r="I147" i="88"/>
  <c r="I153" i="88" s="1"/>
  <c r="W145" i="88"/>
  <c r="K145" i="88"/>
  <c r="U145" i="88" s="1"/>
  <c r="W144" i="88"/>
  <c r="K144" i="88"/>
  <c r="U144" i="88" s="1"/>
  <c r="W143" i="88"/>
  <c r="K143" i="88"/>
  <c r="U143" i="88" s="1"/>
  <c r="L142" i="88"/>
  <c r="W142" i="88" s="1"/>
  <c r="D142" i="88"/>
  <c r="D153" i="88" s="1"/>
  <c r="W140" i="88"/>
  <c r="W139" i="88"/>
  <c r="W138" i="88"/>
  <c r="K138" i="88"/>
  <c r="K135" i="88" s="1"/>
  <c r="W137" i="88"/>
  <c r="W136" i="88"/>
  <c r="U135" i="88"/>
  <c r="L135" i="88"/>
  <c r="J135" i="88"/>
  <c r="W132" i="88"/>
  <c r="K132" i="88"/>
  <c r="N132" i="88" s="1"/>
  <c r="W131" i="88"/>
  <c r="K131" i="88"/>
  <c r="N131" i="88" s="1"/>
  <c r="L130" i="88"/>
  <c r="W130" i="88" s="1"/>
  <c r="C130" i="88"/>
  <c r="K130" i="88" s="1"/>
  <c r="N130" i="88" s="1"/>
  <c r="W128" i="88"/>
  <c r="K128" i="88"/>
  <c r="N128" i="88" s="1"/>
  <c r="W127" i="88"/>
  <c r="K127" i="88"/>
  <c r="L126" i="88"/>
  <c r="W126" i="88" s="1"/>
  <c r="C126" i="88"/>
  <c r="W125" i="88"/>
  <c r="K125" i="88"/>
  <c r="N125" i="88" s="1"/>
  <c r="W124" i="88"/>
  <c r="K124" i="88"/>
  <c r="N124" i="88" s="1"/>
  <c r="W123" i="88"/>
  <c r="K123" i="88"/>
  <c r="W122" i="88"/>
  <c r="K122" i="88"/>
  <c r="N122" i="88" s="1"/>
  <c r="W121" i="88"/>
  <c r="K121" i="88"/>
  <c r="N121" i="88" s="1"/>
  <c r="W120" i="88"/>
  <c r="K120" i="88"/>
  <c r="N120" i="88" s="1"/>
  <c r="L119" i="88"/>
  <c r="W119" i="88" s="1"/>
  <c r="C119" i="88"/>
  <c r="W118" i="88"/>
  <c r="K118" i="88"/>
  <c r="N118" i="88" s="1"/>
  <c r="W117" i="88"/>
  <c r="K117" i="88"/>
  <c r="N117" i="88" s="1"/>
  <c r="L116" i="88"/>
  <c r="W116" i="88" s="1"/>
  <c r="C116" i="88"/>
  <c r="K116" i="88" s="1"/>
  <c r="N116" i="88" s="1"/>
  <c r="W113" i="88"/>
  <c r="K113" i="88"/>
  <c r="M113" i="88" s="1"/>
  <c r="W112" i="88"/>
  <c r="K112" i="88"/>
  <c r="M112" i="88" s="1"/>
  <c r="W111" i="88"/>
  <c r="K111" i="88"/>
  <c r="M111" i="88" s="1"/>
  <c r="L110" i="88"/>
  <c r="B110" i="88"/>
  <c r="W108" i="88"/>
  <c r="W107" i="88" s="1"/>
  <c r="K108" i="88"/>
  <c r="K107" i="88" s="1"/>
  <c r="L107" i="88"/>
  <c r="B107" i="88"/>
  <c r="W105" i="88"/>
  <c r="K105" i="88"/>
  <c r="M105" i="88" s="1"/>
  <c r="W104" i="88"/>
  <c r="K104" i="88"/>
  <c r="M104" i="88" s="1"/>
  <c r="L103" i="88"/>
  <c r="B103" i="88"/>
  <c r="W101" i="88"/>
  <c r="K101" i="88"/>
  <c r="M101" i="88" s="1"/>
  <c r="L100" i="88"/>
  <c r="W100" i="88" s="1"/>
  <c r="K100" i="88"/>
  <c r="M100" i="88" s="1"/>
  <c r="W99" i="88"/>
  <c r="K99" i="88"/>
  <c r="M99" i="88" s="1"/>
  <c r="W98" i="88"/>
  <c r="K98" i="88"/>
  <c r="M98" i="88" s="1"/>
  <c r="W97" i="88"/>
  <c r="K97" i="88"/>
  <c r="M97" i="88" s="1"/>
  <c r="W96" i="88"/>
  <c r="K96" i="88"/>
  <c r="M96" i="88" s="1"/>
  <c r="W95" i="88"/>
  <c r="K95" i="88"/>
  <c r="M95" i="88" s="1"/>
  <c r="W94" i="88"/>
  <c r="K94" i="88"/>
  <c r="M94" i="88" s="1"/>
  <c r="W93" i="88"/>
  <c r="K93" i="88"/>
  <c r="M93" i="88" s="1"/>
  <c r="W92" i="88"/>
  <c r="K92" i="88"/>
  <c r="M92" i="88" s="1"/>
  <c r="W91" i="88"/>
  <c r="K91" i="88"/>
  <c r="M91" i="88" s="1"/>
  <c r="W90" i="88"/>
  <c r="K90" i="88"/>
  <c r="M90" i="88" s="1"/>
  <c r="W89" i="88"/>
  <c r="K89" i="88"/>
  <c r="M89" i="88" s="1"/>
  <c r="W88" i="88"/>
  <c r="K88" i="88"/>
  <c r="M88" i="88" s="1"/>
  <c r="W87" i="88"/>
  <c r="K87" i="88"/>
  <c r="W86" i="88"/>
  <c r="K86" i="88"/>
  <c r="M86" i="88" s="1"/>
  <c r="W85" i="88"/>
  <c r="K85" i="88"/>
  <c r="M85" i="88" s="1"/>
  <c r="W84" i="88"/>
  <c r="K84" i="88"/>
  <c r="M84" i="88" s="1"/>
  <c r="W83" i="88"/>
  <c r="K83" i="88"/>
  <c r="M83" i="88" s="1"/>
  <c r="B82" i="88"/>
  <c r="W80" i="88"/>
  <c r="K80" i="88"/>
  <c r="M80" i="88" s="1"/>
  <c r="W79" i="88"/>
  <c r="K79" i="88"/>
  <c r="M79" i="88" s="1"/>
  <c r="W78" i="88"/>
  <c r="K78" i="88"/>
  <c r="M78" i="88" s="1"/>
  <c r="W77" i="88"/>
  <c r="K77" i="88"/>
  <c r="M77" i="88" s="1"/>
  <c r="W76" i="88"/>
  <c r="K76" i="88"/>
  <c r="M76" i="88" s="1"/>
  <c r="W75" i="88"/>
  <c r="K75" i="88"/>
  <c r="M75" i="88" s="1"/>
  <c r="W74" i="88"/>
  <c r="K74" i="88"/>
  <c r="M74" i="88" s="1"/>
  <c r="W73" i="88"/>
  <c r="K73" i="88"/>
  <c r="M73" i="88" s="1"/>
  <c r="W72" i="88"/>
  <c r="K72" i="88"/>
  <c r="M72" i="88" s="1"/>
  <c r="W71" i="88"/>
  <c r="K71" i="88"/>
  <c r="M71" i="88" s="1"/>
  <c r="W70" i="88"/>
  <c r="K70" i="88"/>
  <c r="M70" i="88" s="1"/>
  <c r="W69" i="88"/>
  <c r="K69" i="88"/>
  <c r="M69" i="88" s="1"/>
  <c r="W68" i="88"/>
  <c r="K68" i="88"/>
  <c r="M68" i="88" s="1"/>
  <c r="W67" i="88"/>
  <c r="K67" i="88"/>
  <c r="M67" i="88" s="1"/>
  <c r="W66" i="88"/>
  <c r="K66" i="88"/>
  <c r="M66" i="88" s="1"/>
  <c r="W65" i="88"/>
  <c r="K65" i="88"/>
  <c r="M65" i="88" s="1"/>
  <c r="W64" i="88"/>
  <c r="K64" i="88"/>
  <c r="M64" i="88" s="1"/>
  <c r="W63" i="88"/>
  <c r="K63" i="88"/>
  <c r="M63" i="88" s="1"/>
  <c r="W62" i="88"/>
  <c r="K62" i="88"/>
  <c r="M62" i="88" s="1"/>
  <c r="W61" i="88"/>
  <c r="K61" i="88"/>
  <c r="M61" i="88" s="1"/>
  <c r="W60" i="88"/>
  <c r="K60" i="88"/>
  <c r="M60" i="88" s="1"/>
  <c r="W59" i="88"/>
  <c r="K59" i="88"/>
  <c r="M59" i="88" s="1"/>
  <c r="W58" i="88"/>
  <c r="K58" i="88"/>
  <c r="M58" i="88" s="1"/>
  <c r="W57" i="88"/>
  <c r="K57" i="88"/>
  <c r="M57" i="88" s="1"/>
  <c r="W56" i="88"/>
  <c r="K56" i="88"/>
  <c r="M56" i="88" s="1"/>
  <c r="W55" i="88"/>
  <c r="K55" i="88"/>
  <c r="M55" i="88" s="1"/>
  <c r="W54" i="88"/>
  <c r="K54" i="88"/>
  <c r="M54" i="88" s="1"/>
  <c r="W53" i="88"/>
  <c r="K53" i="88"/>
  <c r="M53" i="88" s="1"/>
  <c r="W52" i="88"/>
  <c r="K52" i="88"/>
  <c r="M52" i="88" s="1"/>
  <c r="W51" i="88"/>
  <c r="K51" i="88"/>
  <c r="M51" i="88" s="1"/>
  <c r="L50" i="88"/>
  <c r="B50" i="88"/>
  <c r="K50" i="88" s="1"/>
  <c r="M50" i="88" s="1"/>
  <c r="W47" i="88"/>
  <c r="K47" i="88"/>
  <c r="M47" i="88" s="1"/>
  <c r="W46" i="88"/>
  <c r="K46" i="88"/>
  <c r="M46" i="88" s="1"/>
  <c r="W45" i="88"/>
  <c r="K45" i="88"/>
  <c r="M45" i="88" s="1"/>
  <c r="W44" i="88"/>
  <c r="K44" i="88"/>
  <c r="M44" i="88" s="1"/>
  <c r="W43" i="88"/>
  <c r="K43" i="88"/>
  <c r="L42" i="88"/>
  <c r="B42" i="88"/>
  <c r="W40" i="88"/>
  <c r="K40" i="88"/>
  <c r="M40" i="88" s="1"/>
  <c r="W39" i="88"/>
  <c r="K39" i="88"/>
  <c r="M39" i="88" s="1"/>
  <c r="L38" i="88"/>
  <c r="B38" i="88"/>
  <c r="K38" i="88" s="1"/>
  <c r="M38" i="88" s="1"/>
  <c r="W35" i="88"/>
  <c r="K35" i="88"/>
  <c r="W34" i="88"/>
  <c r="K34" i="88"/>
  <c r="W33" i="88"/>
  <c r="K33" i="88"/>
  <c r="W32" i="88"/>
  <c r="K32" i="88"/>
  <c r="M31" i="88"/>
  <c r="L31" i="88"/>
  <c r="B31" i="88"/>
  <c r="W30" i="88"/>
  <c r="K30" i="88"/>
  <c r="W29" i="88"/>
  <c r="K29" i="88"/>
  <c r="W28" i="88"/>
  <c r="K28" i="88"/>
  <c r="W27" i="88"/>
  <c r="K27" i="88"/>
  <c r="W26" i="88"/>
  <c r="K26" i="88"/>
  <c r="W25" i="88"/>
  <c r="K25" i="88"/>
  <c r="M24" i="88"/>
  <c r="L24" i="88"/>
  <c r="B24" i="88"/>
  <c r="W23" i="88"/>
  <c r="K23" i="88"/>
  <c r="W22" i="88"/>
  <c r="K22" i="88"/>
  <c r="W21" i="88"/>
  <c r="K21" i="88"/>
  <c r="W20" i="88"/>
  <c r="K20" i="88"/>
  <c r="W19" i="88"/>
  <c r="K19" i="88"/>
  <c r="W18" i="88"/>
  <c r="K18" i="88"/>
  <c r="M17" i="88"/>
  <c r="L17" i="88"/>
  <c r="B17" i="88"/>
  <c r="W15" i="88"/>
  <c r="K15" i="88"/>
  <c r="W14" i="88"/>
  <c r="K14" i="88"/>
  <c r="W13" i="88"/>
  <c r="K13" i="88"/>
  <c r="W12" i="88"/>
  <c r="K12" i="88"/>
  <c r="W11" i="88"/>
  <c r="K11" i="88"/>
  <c r="W10" i="88"/>
  <c r="K10" i="88"/>
  <c r="W9" i="88"/>
  <c r="K9" i="88"/>
  <c r="W8" i="88"/>
  <c r="K8" i="88"/>
  <c r="M7" i="88"/>
  <c r="L7" i="88"/>
  <c r="B7" i="88"/>
  <c r="E13" i="85"/>
  <c r="F68" i="84"/>
  <c r="H24" i="83"/>
  <c r="G24" i="83"/>
  <c r="H19" i="83"/>
  <c r="G19" i="83"/>
  <c r="H11" i="83"/>
  <c r="G11" i="83"/>
  <c r="H7" i="83"/>
  <c r="G7" i="83"/>
  <c r="AF132" i="90" l="1"/>
  <c r="AF13" i="90"/>
  <c r="AD131" i="90"/>
  <c r="AF79" i="90"/>
  <c r="AF152" i="90"/>
  <c r="AF30" i="90"/>
  <c r="O139" i="90"/>
  <c r="O23" i="90"/>
  <c r="AF23" i="90" s="1"/>
  <c r="AF98" i="90"/>
  <c r="O117" i="90"/>
  <c r="AD128" i="90"/>
  <c r="AF128" i="90" s="1"/>
  <c r="O132" i="90"/>
  <c r="AD139" i="90"/>
  <c r="AD134" i="90"/>
  <c r="AF134" i="90" s="1"/>
  <c r="O10" i="90"/>
  <c r="P10" i="90" s="1"/>
  <c r="AG10" i="90" s="1"/>
  <c r="AG164" i="90" s="1"/>
  <c r="O21" i="90"/>
  <c r="AF21" i="90" s="1"/>
  <c r="O25" i="90"/>
  <c r="AF25" i="90" s="1"/>
  <c r="O31" i="90"/>
  <c r="AF31" i="90" s="1"/>
  <c r="O37" i="90"/>
  <c r="AF37" i="90" s="1"/>
  <c r="AD49" i="90"/>
  <c r="AF49" i="90" s="1"/>
  <c r="O68" i="90"/>
  <c r="AF68" i="90" s="1"/>
  <c r="O75" i="90"/>
  <c r="AF75" i="90" s="1"/>
  <c r="AD146" i="90"/>
  <c r="AF146" i="90" s="1"/>
  <c r="AF20" i="90"/>
  <c r="AF36" i="90"/>
  <c r="AD15" i="90"/>
  <c r="AD56" i="90"/>
  <c r="AF56" i="90" s="1"/>
  <c r="O63" i="90"/>
  <c r="AF63" i="90" s="1"/>
  <c r="O71" i="90"/>
  <c r="O81" i="90"/>
  <c r="AD82" i="90"/>
  <c r="AF82" i="90" s="1"/>
  <c r="AF85" i="90"/>
  <c r="AD100" i="90"/>
  <c r="AF100" i="90" s="1"/>
  <c r="AD104" i="90"/>
  <c r="AD107" i="90"/>
  <c r="AF107" i="90" s="1"/>
  <c r="AD117" i="90"/>
  <c r="AD125" i="90"/>
  <c r="AD135" i="90"/>
  <c r="AF135" i="90" s="1"/>
  <c r="O144" i="90"/>
  <c r="O151" i="90"/>
  <c r="AF151" i="90" s="1"/>
  <c r="O147" i="90"/>
  <c r="AF147" i="90" s="1"/>
  <c r="AF24" i="90"/>
  <c r="O130" i="90"/>
  <c r="AF92" i="90"/>
  <c r="O96" i="90"/>
  <c r="AF96" i="90" s="1"/>
  <c r="O17" i="90"/>
  <c r="AF17" i="90" s="1"/>
  <c r="O29" i="90"/>
  <c r="AF29" i="90" s="1"/>
  <c r="AD45" i="90"/>
  <c r="AF45" i="90" s="1"/>
  <c r="AF77" i="90"/>
  <c r="AA164" i="90"/>
  <c r="AF51" i="90"/>
  <c r="AF58" i="90"/>
  <c r="AF67" i="90"/>
  <c r="O118" i="90"/>
  <c r="AF118" i="90" s="1"/>
  <c r="AD119" i="90"/>
  <c r="AF119" i="90" s="1"/>
  <c r="AC124" i="90"/>
  <c r="AD124" i="90" s="1"/>
  <c r="AF124" i="90" s="1"/>
  <c r="O127" i="90"/>
  <c r="AF127" i="90" s="1"/>
  <c r="AD130" i="90"/>
  <c r="AF130" i="90" s="1"/>
  <c r="O138" i="90"/>
  <c r="O155" i="90"/>
  <c r="AF155" i="90" s="1"/>
  <c r="AD14" i="90"/>
  <c r="AF14" i="90" s="1"/>
  <c r="O33" i="90"/>
  <c r="AF33" i="90" s="1"/>
  <c r="O39" i="90"/>
  <c r="AF39" i="90" s="1"/>
  <c r="AF106" i="90"/>
  <c r="AD12" i="90"/>
  <c r="AF12" i="90" s="1"/>
  <c r="AD17" i="90"/>
  <c r="O22" i="90"/>
  <c r="AF22" i="90" s="1"/>
  <c r="O28" i="90"/>
  <c r="AF28" i="90" s="1"/>
  <c r="O32" i="90"/>
  <c r="AF32" i="90" s="1"/>
  <c r="O38" i="90"/>
  <c r="AF38" i="90" s="1"/>
  <c r="O60" i="90"/>
  <c r="AF60" i="90" s="1"/>
  <c r="AD62" i="90"/>
  <c r="AF62" i="90" s="1"/>
  <c r="AD70" i="90"/>
  <c r="AF70" i="90" s="1"/>
  <c r="AD143" i="90"/>
  <c r="AF143" i="90" s="1"/>
  <c r="O146" i="90"/>
  <c r="AD150" i="90"/>
  <c r="AF150" i="90" s="1"/>
  <c r="AF158" i="90"/>
  <c r="I22" i="89"/>
  <c r="W103" i="88"/>
  <c r="W7" i="88"/>
  <c r="W31" i="88"/>
  <c r="W24" i="88"/>
  <c r="K126" i="88"/>
  <c r="N126" i="88" s="1"/>
  <c r="W110" i="88"/>
  <c r="M103" i="88"/>
  <c r="M108" i="88"/>
  <c r="M107" i="88" s="1"/>
  <c r="K119" i="88"/>
  <c r="W135" i="88"/>
  <c r="B153" i="88"/>
  <c r="K24" i="88"/>
  <c r="K31" i="88"/>
  <c r="K42" i="88"/>
  <c r="W50" i="88"/>
  <c r="W82" i="88"/>
  <c r="N127" i="88"/>
  <c r="W17" i="88"/>
  <c r="K82" i="88"/>
  <c r="K142" i="88"/>
  <c r="U142" i="88" s="1"/>
  <c r="C153" i="88"/>
  <c r="K110" i="88"/>
  <c r="K17" i="88"/>
  <c r="W38" i="88"/>
  <c r="W42" i="88"/>
  <c r="K7" i="88"/>
  <c r="AF84" i="90"/>
  <c r="AF57" i="90"/>
  <c r="AF129" i="90"/>
  <c r="AF131" i="90"/>
  <c r="AF73" i="90"/>
  <c r="AF11" i="90"/>
  <c r="AE11" i="90"/>
  <c r="AG11" i="90" s="1"/>
  <c r="AF104" i="90"/>
  <c r="AF125" i="90"/>
  <c r="C164" i="90"/>
  <c r="O50" i="90"/>
  <c r="O52" i="90"/>
  <c r="AF52" i="90" s="1"/>
  <c r="AD65" i="90"/>
  <c r="AF65" i="90" s="1"/>
  <c r="AD74" i="90"/>
  <c r="AF74" i="90" s="1"/>
  <c r="O91" i="90"/>
  <c r="AF91" i="90" s="1"/>
  <c r="AD95" i="90"/>
  <c r="AF95" i="90" s="1"/>
  <c r="O99" i="90"/>
  <c r="AF99" i="90" s="1"/>
  <c r="AD101" i="90"/>
  <c r="AF101" i="90" s="1"/>
  <c r="O125" i="90"/>
  <c r="AF114" i="90"/>
  <c r="AF145" i="90"/>
  <c r="N164" i="90"/>
  <c r="O15" i="90"/>
  <c r="AF15" i="90" s="1"/>
  <c r="R164" i="90"/>
  <c r="AD50" i="90"/>
  <c r="AF50" i="90" s="1"/>
  <c r="O83" i="90"/>
  <c r="O103" i="90"/>
  <c r="AD105" i="90"/>
  <c r="AF105" i="90" s="1"/>
  <c r="AF71" i="90"/>
  <c r="AF111" i="90"/>
  <c r="AF144" i="90"/>
  <c r="K164" i="90"/>
  <c r="AD16" i="90"/>
  <c r="AF16" i="90" s="1"/>
  <c r="AD69" i="90"/>
  <c r="AF69" i="90" s="1"/>
  <c r="O95" i="90"/>
  <c r="AD97" i="90"/>
  <c r="AF97" i="90" s="1"/>
  <c r="O131" i="90"/>
  <c r="M164" i="90"/>
  <c r="Z164" i="90"/>
  <c r="AF83" i="90"/>
  <c r="AF103" i="90"/>
  <c r="AB164" i="90"/>
  <c r="AE164" i="90"/>
  <c r="AF48" i="90"/>
  <c r="O59" i="90"/>
  <c r="AF59" i="90" s="1"/>
  <c r="AD81" i="90"/>
  <c r="AF81" i="90" s="1"/>
  <c r="AD138" i="90"/>
  <c r="AF138" i="90" s="1"/>
  <c r="M110" i="88"/>
  <c r="K103" i="88"/>
  <c r="J153" i="88"/>
  <c r="L82" i="88"/>
  <c r="L153" i="88" s="1"/>
  <c r="M87" i="88"/>
  <c r="M82" i="88" s="1"/>
  <c r="N123" i="88"/>
  <c r="N119" i="88" s="1"/>
  <c r="M43" i="88"/>
  <c r="M42" i="88" s="1"/>
  <c r="E100" i="21"/>
  <c r="D100" i="21"/>
  <c r="F96" i="21"/>
  <c r="D96" i="21"/>
  <c r="L92" i="21"/>
  <c r="F92" i="21"/>
  <c r="E92" i="21"/>
  <c r="D92" i="21"/>
  <c r="L84" i="21"/>
  <c r="H84" i="21"/>
  <c r="F84" i="21"/>
  <c r="E84" i="21"/>
  <c r="D84" i="21"/>
  <c r="F80" i="21"/>
  <c r="D80" i="21"/>
  <c r="L76" i="21"/>
  <c r="F76" i="21"/>
  <c r="F72" i="21"/>
  <c r="F68" i="21"/>
  <c r="L64" i="21"/>
  <c r="F64" i="21"/>
  <c r="E64" i="21"/>
  <c r="D64" i="21"/>
  <c r="I60" i="21"/>
  <c r="F60" i="21"/>
  <c r="D60" i="21"/>
  <c r="F56" i="21"/>
  <c r="N52" i="21"/>
  <c r="L52" i="21"/>
  <c r="F52" i="21"/>
  <c r="D52" i="21"/>
  <c r="F48" i="21"/>
  <c r="D48" i="21"/>
  <c r="F32" i="21"/>
  <c r="D32" i="21"/>
  <c r="L44" i="21"/>
  <c r="F44" i="21"/>
  <c r="D44" i="21"/>
  <c r="F40" i="21"/>
  <c r="D40" i="21"/>
  <c r="I36" i="21"/>
  <c r="F36" i="21"/>
  <c r="D36" i="21"/>
  <c r="F24" i="21"/>
  <c r="E24" i="21"/>
  <c r="D24" i="21"/>
  <c r="N16" i="21"/>
  <c r="I16" i="21"/>
  <c r="L16" i="21"/>
  <c r="H16" i="21"/>
  <c r="F16" i="21"/>
  <c r="E16" i="21"/>
  <c r="D16" i="21"/>
  <c r="F106" i="21"/>
  <c r="F108" i="21" s="1"/>
  <c r="E105" i="21"/>
  <c r="D105" i="21"/>
  <c r="F105" i="21"/>
  <c r="H105" i="21"/>
  <c r="L105" i="21"/>
  <c r="N105" i="21" s="1"/>
  <c r="L106" i="21"/>
  <c r="N106" i="21" s="1"/>
  <c r="H106" i="21"/>
  <c r="E106" i="21"/>
  <c r="D106" i="21"/>
  <c r="L107" i="21"/>
  <c r="H107" i="21"/>
  <c r="F107" i="21"/>
  <c r="E107" i="21"/>
  <c r="D107" i="21"/>
  <c r="Q102" i="21"/>
  <c r="Q101" i="21"/>
  <c r="Q87" i="21"/>
  <c r="Q86" i="21"/>
  <c r="Q18" i="21"/>
  <c r="Q17" i="21"/>
  <c r="Q15" i="21"/>
  <c r="N103" i="21"/>
  <c r="N102" i="21"/>
  <c r="N101" i="21"/>
  <c r="N99" i="21"/>
  <c r="N98" i="21"/>
  <c r="N97" i="21"/>
  <c r="N95" i="21"/>
  <c r="N94" i="21"/>
  <c r="N93" i="21"/>
  <c r="N91" i="21"/>
  <c r="N92" i="21" s="1"/>
  <c r="N90" i="21"/>
  <c r="N89" i="21"/>
  <c r="N87" i="21"/>
  <c r="N86" i="21"/>
  <c r="N85" i="21"/>
  <c r="N83" i="21"/>
  <c r="N84" i="21" s="1"/>
  <c r="N82" i="21"/>
  <c r="N81" i="21"/>
  <c r="N79" i="21"/>
  <c r="N78" i="21"/>
  <c r="N77" i="21"/>
  <c r="N75" i="21"/>
  <c r="N76" i="21" s="1"/>
  <c r="N74" i="21"/>
  <c r="N73" i="21"/>
  <c r="N71" i="21"/>
  <c r="N70" i="21"/>
  <c r="N69" i="21"/>
  <c r="N67" i="21"/>
  <c r="N66" i="21"/>
  <c r="N65" i="21"/>
  <c r="N63" i="21"/>
  <c r="N64" i="21" s="1"/>
  <c r="N62" i="21"/>
  <c r="N61" i="21"/>
  <c r="N59" i="21"/>
  <c r="N58" i="21"/>
  <c r="N57" i="21"/>
  <c r="N55" i="21"/>
  <c r="N54" i="21"/>
  <c r="N53" i="21"/>
  <c r="N51" i="21"/>
  <c r="N50" i="21"/>
  <c r="N49" i="21"/>
  <c r="N47" i="21"/>
  <c r="N46" i="21"/>
  <c r="N45" i="21"/>
  <c r="N43" i="21"/>
  <c r="N44" i="21" s="1"/>
  <c r="N42" i="21"/>
  <c r="N41" i="21"/>
  <c r="N39" i="21"/>
  <c r="N38" i="21"/>
  <c r="N37" i="21"/>
  <c r="N35" i="21"/>
  <c r="N34" i="21"/>
  <c r="N33" i="21"/>
  <c r="N31" i="21"/>
  <c r="N30" i="21"/>
  <c r="N29" i="21"/>
  <c r="N27" i="21"/>
  <c r="N26" i="21"/>
  <c r="N25" i="21"/>
  <c r="N23" i="21"/>
  <c r="N22" i="21"/>
  <c r="N21" i="21"/>
  <c r="N19" i="21"/>
  <c r="N18" i="21"/>
  <c r="N17" i="21"/>
  <c r="N15" i="21"/>
  <c r="N14" i="21"/>
  <c r="N13" i="21"/>
  <c r="N11" i="21"/>
  <c r="N10" i="21"/>
  <c r="N9" i="21"/>
  <c r="I103" i="21"/>
  <c r="Q103" i="21" s="1"/>
  <c r="I102" i="21"/>
  <c r="I101" i="21"/>
  <c r="I99" i="21"/>
  <c r="Q99" i="21" s="1"/>
  <c r="Q100" i="21" s="1"/>
  <c r="I98" i="21"/>
  <c r="Q98" i="21" s="1"/>
  <c r="I97" i="21"/>
  <c r="Q97" i="21" s="1"/>
  <c r="I95" i="21"/>
  <c r="Q95" i="21" s="1"/>
  <c r="Q96" i="21" s="1"/>
  <c r="I94" i="21"/>
  <c r="Q94" i="21" s="1"/>
  <c r="I93" i="21"/>
  <c r="Q93" i="21" s="1"/>
  <c r="I91" i="21"/>
  <c r="I90" i="21"/>
  <c r="I92" i="21" s="1"/>
  <c r="I89" i="21"/>
  <c r="I87" i="21"/>
  <c r="I86" i="21"/>
  <c r="I85" i="21"/>
  <c r="Q85" i="21" s="1"/>
  <c r="I83" i="21"/>
  <c r="I84" i="21" s="1"/>
  <c r="I82" i="21"/>
  <c r="Q82" i="21" s="1"/>
  <c r="I81" i="21"/>
  <c r="Q81" i="21" s="1"/>
  <c r="I79" i="21"/>
  <c r="Q79" i="21" s="1"/>
  <c r="I77" i="21"/>
  <c r="I75" i="21"/>
  <c r="I74" i="21"/>
  <c r="I76" i="21" s="1"/>
  <c r="I73" i="21"/>
  <c r="Q73" i="21" s="1"/>
  <c r="I71" i="21"/>
  <c r="I72" i="21" s="1"/>
  <c r="I70" i="21"/>
  <c r="Q70" i="21" s="1"/>
  <c r="I69" i="21"/>
  <c r="I67" i="21"/>
  <c r="Q67" i="21" s="1"/>
  <c r="I66" i="21"/>
  <c r="I65" i="21"/>
  <c r="I63" i="21"/>
  <c r="I64" i="21" s="1"/>
  <c r="I62" i="21"/>
  <c r="Q62" i="21" s="1"/>
  <c r="I61" i="21"/>
  <c r="I59" i="21"/>
  <c r="Q59" i="21" s="1"/>
  <c r="I58" i="21"/>
  <c r="I57" i="21"/>
  <c r="I55" i="21"/>
  <c r="I56" i="21" s="1"/>
  <c r="I54" i="21"/>
  <c r="I53" i="21"/>
  <c r="I51" i="21"/>
  <c r="Q51" i="21" s="1"/>
  <c r="I50" i="21"/>
  <c r="I49" i="21"/>
  <c r="Q49" i="21" s="1"/>
  <c r="I47" i="21"/>
  <c r="I46" i="21"/>
  <c r="I48" i="21" s="1"/>
  <c r="I45" i="21"/>
  <c r="I43" i="21"/>
  <c r="I44" i="21" s="1"/>
  <c r="I42" i="21"/>
  <c r="I41" i="21"/>
  <c r="Q41" i="21" s="1"/>
  <c r="I39" i="21"/>
  <c r="I40" i="21" s="1"/>
  <c r="I38" i="21"/>
  <c r="Q38" i="21" s="1"/>
  <c r="I37" i="21"/>
  <c r="I35" i="21"/>
  <c r="I34" i="21"/>
  <c r="I33" i="21"/>
  <c r="I31" i="21"/>
  <c r="Q31" i="21" s="1"/>
  <c r="Q32" i="21" s="1"/>
  <c r="I30" i="21"/>
  <c r="Q30" i="21" s="1"/>
  <c r="I29" i="21"/>
  <c r="I27" i="21"/>
  <c r="Q27" i="21" s="1"/>
  <c r="I26" i="21"/>
  <c r="I25" i="21"/>
  <c r="I23" i="21"/>
  <c r="I22" i="21"/>
  <c r="I21" i="21"/>
  <c r="I19" i="21"/>
  <c r="Q19" i="21" s="1"/>
  <c r="I18" i="21"/>
  <c r="I17" i="21"/>
  <c r="I15" i="21"/>
  <c r="I14" i="21"/>
  <c r="I13" i="21"/>
  <c r="I11" i="21"/>
  <c r="I10" i="21"/>
  <c r="Q10" i="21" s="1"/>
  <c r="I9" i="21"/>
  <c r="Q9" i="21" s="1"/>
  <c r="N7" i="21"/>
  <c r="N6" i="21"/>
  <c r="N5" i="21"/>
  <c r="I6" i="21"/>
  <c r="I5" i="21"/>
  <c r="I7" i="21"/>
  <c r="H34" i="33"/>
  <c r="J34" i="33"/>
  <c r="J31" i="33"/>
  <c r="J30" i="33"/>
  <c r="J29" i="33"/>
  <c r="J28" i="33"/>
  <c r="J27" i="33"/>
  <c r="J26" i="33"/>
  <c r="J25" i="33"/>
  <c r="J24" i="33"/>
  <c r="J23" i="33"/>
  <c r="J22" i="33"/>
  <c r="J20" i="33"/>
  <c r="J19" i="33"/>
  <c r="J18" i="33"/>
  <c r="J17" i="33"/>
  <c r="J16" i="33"/>
  <c r="J15" i="33"/>
  <c r="J14" i="33"/>
  <c r="J13" i="33"/>
  <c r="J12" i="33"/>
  <c r="J11" i="33"/>
  <c r="J10" i="33"/>
  <c r="J9" i="33"/>
  <c r="J8" i="33"/>
  <c r="J7" i="33"/>
  <c r="J6" i="33"/>
  <c r="J32" i="33"/>
  <c r="H31" i="33"/>
  <c r="H30" i="33"/>
  <c r="H29" i="33"/>
  <c r="H28" i="33"/>
  <c r="H27" i="33"/>
  <c r="H26" i="33"/>
  <c r="H25" i="33"/>
  <c r="H24" i="33"/>
  <c r="H23" i="33"/>
  <c r="H22" i="33"/>
  <c r="H20" i="33"/>
  <c r="H19" i="33"/>
  <c r="H18" i="33"/>
  <c r="H17" i="33"/>
  <c r="H16" i="33"/>
  <c r="H15" i="33"/>
  <c r="H14" i="33"/>
  <c r="H13" i="33"/>
  <c r="H11" i="33"/>
  <c r="H10" i="33"/>
  <c r="H9" i="33"/>
  <c r="H8" i="33"/>
  <c r="H7" i="33"/>
  <c r="H6" i="33"/>
  <c r="H32" i="33"/>
  <c r="I32" i="33"/>
  <c r="I31" i="33"/>
  <c r="I30" i="33"/>
  <c r="I29" i="33"/>
  <c r="I28" i="33"/>
  <c r="I27" i="33"/>
  <c r="I26" i="33"/>
  <c r="I25" i="33"/>
  <c r="I24" i="33"/>
  <c r="I23" i="33"/>
  <c r="I22" i="33"/>
  <c r="I21" i="33"/>
  <c r="I20" i="33"/>
  <c r="I19" i="33"/>
  <c r="I18" i="33"/>
  <c r="I17" i="33"/>
  <c r="I16" i="33"/>
  <c r="I15" i="33"/>
  <c r="I14" i="33"/>
  <c r="I13" i="33"/>
  <c r="I12" i="33"/>
  <c r="I11" i="33"/>
  <c r="I10" i="33"/>
  <c r="I9" i="33"/>
  <c r="I8" i="33"/>
  <c r="I7" i="33"/>
  <c r="I6" i="33"/>
  <c r="G32" i="33"/>
  <c r="G31" i="33"/>
  <c r="G30" i="33"/>
  <c r="G29" i="33"/>
  <c r="G28" i="33"/>
  <c r="G27" i="33"/>
  <c r="G26" i="33"/>
  <c r="G25" i="33"/>
  <c r="G24" i="33"/>
  <c r="G23" i="33"/>
  <c r="G22" i="33"/>
  <c r="G21" i="33"/>
  <c r="G20" i="33"/>
  <c r="G19" i="33"/>
  <c r="G18" i="33"/>
  <c r="G17" i="33"/>
  <c r="G16" i="33"/>
  <c r="G15" i="33"/>
  <c r="G14" i="33"/>
  <c r="G13" i="33"/>
  <c r="G12" i="33"/>
  <c r="G11" i="33"/>
  <c r="G10" i="33"/>
  <c r="G9" i="33"/>
  <c r="G8" i="33"/>
  <c r="G7" i="33"/>
  <c r="G6" i="33"/>
  <c r="F34" i="33"/>
  <c r="E34" i="33"/>
  <c r="D34" i="33"/>
  <c r="C34" i="33"/>
  <c r="B34" i="33"/>
  <c r="O80" i="30"/>
  <c r="L80" i="30"/>
  <c r="H80" i="30"/>
  <c r="G80" i="30"/>
  <c r="F80" i="30"/>
  <c r="E80" i="30"/>
  <c r="D80" i="30"/>
  <c r="C80" i="30"/>
  <c r="P79" i="30"/>
  <c r="N79" i="30"/>
  <c r="I79" i="30"/>
  <c r="P78" i="30"/>
  <c r="N78" i="30"/>
  <c r="I78" i="30"/>
  <c r="P77" i="30"/>
  <c r="N77" i="30"/>
  <c r="I77" i="30"/>
  <c r="P76" i="30"/>
  <c r="N76" i="30"/>
  <c r="I76" i="30"/>
  <c r="P75" i="30"/>
  <c r="N75" i="30"/>
  <c r="I75" i="30"/>
  <c r="P74" i="30"/>
  <c r="N74" i="30"/>
  <c r="I74" i="30"/>
  <c r="P73" i="30"/>
  <c r="N73" i="30"/>
  <c r="I73" i="30"/>
  <c r="P72" i="30"/>
  <c r="N72" i="30"/>
  <c r="I72" i="30"/>
  <c r="O61" i="30"/>
  <c r="L61" i="30"/>
  <c r="H61" i="30"/>
  <c r="G61" i="30"/>
  <c r="F61" i="30"/>
  <c r="E61" i="30"/>
  <c r="D61" i="30"/>
  <c r="C61" i="30"/>
  <c r="P60" i="30"/>
  <c r="N60" i="30"/>
  <c r="I60" i="30"/>
  <c r="P59" i="30"/>
  <c r="N59" i="30"/>
  <c r="I59" i="30"/>
  <c r="P58" i="30"/>
  <c r="N58" i="30"/>
  <c r="I58" i="30"/>
  <c r="P57" i="30"/>
  <c r="N57" i="30"/>
  <c r="I57" i="30"/>
  <c r="P56" i="30"/>
  <c r="N56" i="30"/>
  <c r="I56" i="30"/>
  <c r="P55" i="30"/>
  <c r="N55" i="30"/>
  <c r="I55" i="30"/>
  <c r="P54" i="30"/>
  <c r="N54" i="30"/>
  <c r="I54" i="30"/>
  <c r="P53" i="30"/>
  <c r="N53" i="30"/>
  <c r="I53" i="30"/>
  <c r="O46" i="30"/>
  <c r="L46" i="30"/>
  <c r="H46" i="30"/>
  <c r="G46" i="30"/>
  <c r="F46" i="30"/>
  <c r="E46" i="30"/>
  <c r="D46" i="30"/>
  <c r="C46" i="30"/>
  <c r="P45" i="30"/>
  <c r="N45" i="30"/>
  <c r="I45" i="30"/>
  <c r="P44" i="30"/>
  <c r="N44" i="30"/>
  <c r="I44" i="30"/>
  <c r="P43" i="30"/>
  <c r="N43" i="30"/>
  <c r="I43" i="30"/>
  <c r="P42" i="30"/>
  <c r="N42" i="30"/>
  <c r="I42" i="30"/>
  <c r="P41" i="30"/>
  <c r="N41" i="30"/>
  <c r="I41" i="30"/>
  <c r="P40" i="30"/>
  <c r="N40" i="30"/>
  <c r="I40" i="30"/>
  <c r="P39" i="30"/>
  <c r="N39" i="30"/>
  <c r="I39" i="30"/>
  <c r="P38" i="30"/>
  <c r="N38" i="30"/>
  <c r="I38" i="30"/>
  <c r="O29" i="30"/>
  <c r="L29" i="30"/>
  <c r="H29" i="30"/>
  <c r="G29" i="30"/>
  <c r="F29" i="30"/>
  <c r="E29" i="30"/>
  <c r="D29" i="30"/>
  <c r="C29" i="30"/>
  <c r="P28" i="30"/>
  <c r="N28" i="30"/>
  <c r="I28" i="30"/>
  <c r="P27" i="30"/>
  <c r="N27" i="30"/>
  <c r="I27" i="30"/>
  <c r="P26" i="30"/>
  <c r="N26" i="30"/>
  <c r="I26" i="30"/>
  <c r="P25" i="30"/>
  <c r="N25" i="30"/>
  <c r="I25" i="30"/>
  <c r="P24" i="30"/>
  <c r="N24" i="30"/>
  <c r="I24" i="30"/>
  <c r="P23" i="30"/>
  <c r="N23" i="30"/>
  <c r="I23" i="30"/>
  <c r="P22" i="30"/>
  <c r="N22" i="30"/>
  <c r="I22" i="30"/>
  <c r="P21" i="30"/>
  <c r="N21" i="30"/>
  <c r="I21" i="30"/>
  <c r="L14" i="30"/>
  <c r="D260" i="81"/>
  <c r="C260" i="81"/>
  <c r="B260" i="81"/>
  <c r="D253" i="81"/>
  <c r="C253" i="81"/>
  <c r="B253" i="81"/>
  <c r="D243" i="81"/>
  <c r="C243" i="81"/>
  <c r="B243" i="81"/>
  <c r="D236" i="81"/>
  <c r="C236" i="81"/>
  <c r="B236" i="81"/>
  <c r="D231" i="81"/>
  <c r="C231" i="81"/>
  <c r="B231" i="81"/>
  <c r="D226" i="81"/>
  <c r="C226" i="81"/>
  <c r="B226" i="81"/>
  <c r="D219" i="81"/>
  <c r="C219" i="81"/>
  <c r="B219" i="81"/>
  <c r="D206" i="81"/>
  <c r="C206" i="81"/>
  <c r="B206" i="81"/>
  <c r="B213" i="81" s="1"/>
  <c r="D199" i="81"/>
  <c r="C199" i="81"/>
  <c r="B199" i="81"/>
  <c r="D189" i="81"/>
  <c r="C189" i="81"/>
  <c r="B189" i="81"/>
  <c r="D182" i="81"/>
  <c r="C182" i="81"/>
  <c r="B182" i="81"/>
  <c r="D177" i="81"/>
  <c r="C177" i="81"/>
  <c r="B177" i="81"/>
  <c r="D172" i="81"/>
  <c r="C172" i="81"/>
  <c r="B172" i="81"/>
  <c r="D165" i="81"/>
  <c r="C165" i="81"/>
  <c r="B165" i="81"/>
  <c r="D152" i="81"/>
  <c r="C152" i="81"/>
  <c r="B152" i="81"/>
  <c r="D145" i="81"/>
  <c r="C145" i="81"/>
  <c r="B145" i="81"/>
  <c r="D135" i="81"/>
  <c r="C135" i="81"/>
  <c r="B135" i="81"/>
  <c r="D128" i="81"/>
  <c r="C128" i="81"/>
  <c r="B128" i="81"/>
  <c r="D123" i="81"/>
  <c r="C123" i="81"/>
  <c r="B123" i="81"/>
  <c r="D118" i="81"/>
  <c r="C118" i="81"/>
  <c r="B118" i="81"/>
  <c r="D111" i="81"/>
  <c r="C111" i="81"/>
  <c r="B111" i="81"/>
  <c r="D98" i="81"/>
  <c r="C98" i="81"/>
  <c r="B98" i="81"/>
  <c r="D91" i="81"/>
  <c r="C91" i="81"/>
  <c r="B91" i="81"/>
  <c r="D81" i="81"/>
  <c r="C81" i="81"/>
  <c r="B81" i="81"/>
  <c r="D74" i="81"/>
  <c r="C74" i="81"/>
  <c r="B74" i="81"/>
  <c r="D69" i="81"/>
  <c r="C69" i="81"/>
  <c r="B69" i="81"/>
  <c r="D64" i="81"/>
  <c r="C64" i="81"/>
  <c r="B64" i="81"/>
  <c r="D57" i="81"/>
  <c r="C57" i="81"/>
  <c r="B57" i="81"/>
  <c r="D46" i="81"/>
  <c r="C46" i="81"/>
  <c r="B46" i="81"/>
  <c r="D39" i="81"/>
  <c r="C39" i="81"/>
  <c r="B39" i="81"/>
  <c r="D29" i="81"/>
  <c r="C29" i="81"/>
  <c r="B29" i="81"/>
  <c r="D22" i="81"/>
  <c r="C22" i="81"/>
  <c r="B22" i="81"/>
  <c r="D17" i="81"/>
  <c r="C17" i="81"/>
  <c r="B17" i="81"/>
  <c r="D12" i="81"/>
  <c r="C12" i="81"/>
  <c r="B12" i="81"/>
  <c r="D5" i="81"/>
  <c r="C5" i="81"/>
  <c r="B5" i="81"/>
  <c r="Q68" i="21" l="1"/>
  <c r="Q54" i="21"/>
  <c r="I32" i="21"/>
  <c r="I52" i="21"/>
  <c r="Q53" i="21"/>
  <c r="Q22" i="21"/>
  <c r="B196" i="81"/>
  <c r="Q45" i="21"/>
  <c r="Q66" i="21"/>
  <c r="Q14" i="21"/>
  <c r="Q16" i="21" s="1"/>
  <c r="Q25" i="21"/>
  <c r="Q57" i="21"/>
  <c r="D267" i="81"/>
  <c r="Q26" i="21"/>
  <c r="Q37" i="21"/>
  <c r="Q47" i="21"/>
  <c r="Q58" i="21"/>
  <c r="Q60" i="21" s="1"/>
  <c r="Q69" i="21"/>
  <c r="AF117" i="90"/>
  <c r="AC164" i="90"/>
  <c r="I96" i="21"/>
  <c r="Q23" i="21"/>
  <c r="Q24" i="21" s="1"/>
  <c r="Q77" i="21"/>
  <c r="Q46" i="21"/>
  <c r="I24" i="21"/>
  <c r="I100" i="21"/>
  <c r="AF10" i="90"/>
  <c r="AF164" i="90" s="1"/>
  <c r="AF139" i="90"/>
  <c r="Q11" i="21"/>
  <c r="Q33" i="21"/>
  <c r="Q65" i="21"/>
  <c r="Q34" i="21"/>
  <c r="Q55" i="21"/>
  <c r="Q89" i="21"/>
  <c r="I68" i="21"/>
  <c r="I34" i="33"/>
  <c r="Q35" i="21"/>
  <c r="Q36" i="21" s="1"/>
  <c r="Q29" i="21"/>
  <c r="Q39" i="21"/>
  <c r="Q40" i="21" s="1"/>
  <c r="Q61" i="21"/>
  <c r="Q71" i="21"/>
  <c r="Q72" i="21" s="1"/>
  <c r="H108" i="21"/>
  <c r="O164" i="90"/>
  <c r="W153" i="88"/>
  <c r="K153" i="88"/>
  <c r="U153" i="88" s="1"/>
  <c r="D108" i="21"/>
  <c r="L108" i="21"/>
  <c r="E108" i="21"/>
  <c r="Q7" i="21"/>
  <c r="Q5" i="21"/>
  <c r="Q6" i="21"/>
  <c r="Q54" i="30"/>
  <c r="Q79" i="30"/>
  <c r="Q38" i="30"/>
  <c r="Q53" i="30"/>
  <c r="Q58" i="30"/>
  <c r="Q77" i="30"/>
  <c r="Q72" i="30"/>
  <c r="P80" i="30"/>
  <c r="Q25" i="30"/>
  <c r="Q75" i="30"/>
  <c r="Q76" i="30"/>
  <c r="B267" i="81"/>
  <c r="C36" i="81"/>
  <c r="C88" i="81"/>
  <c r="B179" i="81"/>
  <c r="B233" i="81"/>
  <c r="D250" i="81"/>
  <c r="B36" i="81"/>
  <c r="C196" i="81"/>
  <c r="D105" i="81"/>
  <c r="D196" i="81"/>
  <c r="B142" i="81"/>
  <c r="C179" i="81"/>
  <c r="B53" i="81"/>
  <c r="B19" i="81"/>
  <c r="B125" i="81"/>
  <c r="C19" i="81"/>
  <c r="B105" i="81"/>
  <c r="D125" i="81"/>
  <c r="C233" i="81"/>
  <c r="B71" i="81"/>
  <c r="B88" i="81"/>
  <c r="D142" i="81"/>
  <c r="C250" i="81"/>
  <c r="C125" i="81"/>
  <c r="B159" i="81"/>
  <c r="D179" i="81"/>
  <c r="C267" i="81"/>
  <c r="C71" i="81"/>
  <c r="B250" i="81"/>
  <c r="D71" i="81"/>
  <c r="C142" i="81"/>
  <c r="AD164" i="90"/>
  <c r="P164" i="90"/>
  <c r="AI10" i="90"/>
  <c r="AI164" i="90" s="1"/>
  <c r="Q90" i="21"/>
  <c r="I78" i="21"/>
  <c r="Q78" i="21" s="1"/>
  <c r="Q80" i="21" s="1"/>
  <c r="Q74" i="21"/>
  <c r="Q50" i="21"/>
  <c r="Q52" i="21" s="1"/>
  <c r="Q42" i="21"/>
  <c r="Q21" i="21"/>
  <c r="Q13" i="21"/>
  <c r="I105" i="21"/>
  <c r="Q105" i="21" s="1"/>
  <c r="I106" i="21"/>
  <c r="Q106" i="21" s="1"/>
  <c r="N107" i="21"/>
  <c r="N108" i="21" s="1"/>
  <c r="I107" i="21"/>
  <c r="Q91" i="21"/>
  <c r="Q92" i="21" s="1"/>
  <c r="Q83" i="21"/>
  <c r="Q84" i="21" s="1"/>
  <c r="Q75" i="21"/>
  <c r="Q63" i="21"/>
  <c r="Q64" i="21" s="1"/>
  <c r="Q43" i="21"/>
  <c r="G34" i="33"/>
  <c r="Q78" i="30"/>
  <c r="Q74" i="30"/>
  <c r="N80" i="30"/>
  <c r="I80" i="30"/>
  <c r="Q55" i="30"/>
  <c r="Q60" i="30"/>
  <c r="P61" i="30"/>
  <c r="Q73" i="30"/>
  <c r="Q56" i="30"/>
  <c r="Q42" i="30"/>
  <c r="N61" i="30"/>
  <c r="Q59" i="30"/>
  <c r="Q57" i="30"/>
  <c r="Q45" i="30"/>
  <c r="Q40" i="30"/>
  <c r="I61" i="30"/>
  <c r="N46" i="30"/>
  <c r="Q41" i="30"/>
  <c r="Q43" i="30"/>
  <c r="P46" i="30"/>
  <c r="Q44" i="30"/>
  <c r="Q39" i="30"/>
  <c r="I46" i="30"/>
  <c r="Q28" i="30"/>
  <c r="Q23" i="30"/>
  <c r="Q24" i="30"/>
  <c r="P29" i="30"/>
  <c r="N29" i="30"/>
  <c r="Q21" i="30"/>
  <c r="Q27" i="30"/>
  <c r="Q26" i="30"/>
  <c r="Q22" i="30"/>
  <c r="I29" i="30"/>
  <c r="D233" i="81"/>
  <c r="C213" i="81"/>
  <c r="D213" i="81"/>
  <c r="C159" i="81"/>
  <c r="D159" i="81"/>
  <c r="D88" i="81"/>
  <c r="C105" i="81"/>
  <c r="D53" i="81"/>
  <c r="C53" i="81"/>
  <c r="D36" i="81"/>
  <c r="D19" i="81"/>
  <c r="D19" i="73"/>
  <c r="C19" i="73"/>
  <c r="B19" i="73"/>
  <c r="D13" i="73"/>
  <c r="C13" i="73"/>
  <c r="B13" i="73"/>
  <c r="D7" i="73"/>
  <c r="C7" i="73"/>
  <c r="B7" i="73"/>
  <c r="I80" i="21" l="1"/>
  <c r="Q44" i="21"/>
  <c r="Q56" i="21"/>
  <c r="Q76" i="21"/>
  <c r="Q48" i="21"/>
  <c r="Q107" i="21"/>
  <c r="I108" i="21"/>
  <c r="R82" i="21"/>
  <c r="R38" i="21"/>
  <c r="R70" i="21"/>
  <c r="R58" i="21"/>
  <c r="R22" i="21"/>
  <c r="R74" i="21"/>
  <c r="R30" i="21"/>
  <c r="R94" i="21"/>
  <c r="R46" i="21"/>
  <c r="R78" i="21"/>
  <c r="R66" i="21"/>
  <c r="R34" i="21"/>
  <c r="R54" i="21"/>
  <c r="R14" i="21"/>
  <c r="R90" i="21"/>
  <c r="R42" i="21"/>
  <c r="R98" i="21"/>
  <c r="R50" i="21"/>
  <c r="R62" i="21"/>
  <c r="R97" i="21"/>
  <c r="R49" i="21"/>
  <c r="R81" i="21"/>
  <c r="R37" i="21"/>
  <c r="R69" i="21"/>
  <c r="R57" i="21"/>
  <c r="R21" i="21"/>
  <c r="R41" i="21"/>
  <c r="R93" i="21"/>
  <c r="R45" i="21"/>
  <c r="R89" i="21"/>
  <c r="R77" i="21"/>
  <c r="R65" i="21"/>
  <c r="R33" i="21"/>
  <c r="R53" i="21"/>
  <c r="R13" i="21"/>
  <c r="R73" i="21"/>
  <c r="R61" i="21"/>
  <c r="R29" i="21"/>
  <c r="Q61" i="30"/>
  <c r="R59" i="30" s="1"/>
  <c r="Q80" i="30"/>
  <c r="R72" i="30" s="1"/>
  <c r="Q46" i="30"/>
  <c r="R44" i="30" s="1"/>
  <c r="Q29" i="30"/>
  <c r="R24" i="30" s="1"/>
  <c r="R71" i="21" l="1"/>
  <c r="R59" i="21"/>
  <c r="R23" i="21"/>
  <c r="Q108" i="21"/>
  <c r="R95" i="21"/>
  <c r="R47" i="21"/>
  <c r="R79" i="21"/>
  <c r="R35" i="21"/>
  <c r="R55" i="21"/>
  <c r="R15" i="21"/>
  <c r="R51" i="21"/>
  <c r="R91" i="21"/>
  <c r="R43" i="21"/>
  <c r="R75" i="21"/>
  <c r="R63" i="21"/>
  <c r="R31" i="21"/>
  <c r="R99" i="21"/>
  <c r="R83" i="21"/>
  <c r="R39" i="21"/>
  <c r="R58" i="30"/>
  <c r="R57" i="30"/>
  <c r="R54" i="30"/>
  <c r="R60" i="30"/>
  <c r="R56" i="30"/>
  <c r="R53" i="30"/>
  <c r="R55" i="30"/>
  <c r="R39" i="30"/>
  <c r="R78" i="30"/>
  <c r="R73" i="30"/>
  <c r="R75" i="30"/>
  <c r="R77" i="30"/>
  <c r="R76" i="30"/>
  <c r="R74" i="30"/>
  <c r="R79" i="30"/>
  <c r="R45" i="30"/>
  <c r="R43" i="30"/>
  <c r="R38" i="30"/>
  <c r="R42" i="30"/>
  <c r="R40" i="30"/>
  <c r="R41" i="30"/>
  <c r="R22" i="30"/>
  <c r="R27" i="30"/>
  <c r="R23" i="30"/>
  <c r="R25" i="30"/>
  <c r="R28" i="30"/>
  <c r="R21" i="30"/>
  <c r="R26" i="30"/>
  <c r="O17" i="9" l="1"/>
  <c r="M17" i="9"/>
  <c r="M13" i="9"/>
  <c r="M10" i="9"/>
  <c r="M8" i="9"/>
  <c r="M6" i="9"/>
  <c r="N24" i="9"/>
  <c r="L24" i="9"/>
  <c r="K24" i="9"/>
  <c r="J24" i="9"/>
  <c r="I24" i="9"/>
  <c r="G24" i="9"/>
  <c r="F24" i="9"/>
  <c r="E24" i="9"/>
  <c r="D24" i="9"/>
  <c r="C24" i="9"/>
  <c r="B24" i="9"/>
  <c r="H17" i="9"/>
  <c r="H13" i="9"/>
  <c r="P13" i="9" s="1"/>
  <c r="H10" i="9"/>
  <c r="P10" i="9" s="1"/>
  <c r="H8" i="9"/>
  <c r="P8" i="9" s="1"/>
  <c r="H6" i="9"/>
  <c r="D100" i="76"/>
  <c r="C100" i="76"/>
  <c r="B100" i="76"/>
  <c r="D65" i="76"/>
  <c r="C65" i="76"/>
  <c r="B65" i="76"/>
  <c r="D30" i="76"/>
  <c r="C30" i="76"/>
  <c r="B30" i="76"/>
  <c r="O14" i="30"/>
  <c r="P13" i="30"/>
  <c r="P12" i="30"/>
  <c r="P11" i="30"/>
  <c r="P10" i="30"/>
  <c r="P9" i="30"/>
  <c r="P8" i="30"/>
  <c r="P7" i="30"/>
  <c r="P6" i="30"/>
  <c r="N9" i="30"/>
  <c r="N8" i="30"/>
  <c r="N13" i="30"/>
  <c r="N12" i="30"/>
  <c r="N11" i="30"/>
  <c r="N10" i="30"/>
  <c r="N7" i="30"/>
  <c r="N6" i="30"/>
  <c r="H14" i="30"/>
  <c r="G14" i="30"/>
  <c r="F14" i="30"/>
  <c r="E14" i="30"/>
  <c r="D14" i="30"/>
  <c r="C14" i="30"/>
  <c r="I9" i="30"/>
  <c r="I8" i="30"/>
  <c r="I13" i="30"/>
  <c r="I12" i="30"/>
  <c r="I11" i="30"/>
  <c r="I10" i="30"/>
  <c r="I7" i="30"/>
  <c r="I6" i="30"/>
  <c r="N14" i="30" l="1"/>
  <c r="P14" i="30"/>
  <c r="Q9" i="30"/>
  <c r="Q11" i="30"/>
  <c r="I14" i="30"/>
  <c r="Q8" i="30"/>
  <c r="P17" i="9"/>
  <c r="P6" i="9"/>
  <c r="H24" i="9"/>
  <c r="O24" i="9"/>
  <c r="M24" i="9"/>
  <c r="Q7" i="30"/>
  <c r="Q12" i="30"/>
  <c r="Q10" i="30"/>
  <c r="Q13" i="30"/>
  <c r="Q6" i="30"/>
  <c r="P24" i="9" l="1"/>
  <c r="Q14" i="30"/>
  <c r="R10" i="30" s="1"/>
  <c r="R11" i="30" l="1"/>
  <c r="R7" i="30"/>
  <c r="R8" i="30"/>
  <c r="R6" i="30"/>
  <c r="R9" i="30"/>
  <c r="R12" i="30"/>
  <c r="R13" i="30"/>
  <c r="Q6" i="9"/>
  <c r="Q8" i="9"/>
  <c r="Q10" i="9"/>
  <c r="Q13" i="9"/>
  <c r="Q17"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pcuba</author>
  </authors>
  <commentList>
    <comment ref="D3" authorId="0" shapeId="0" xr:uid="{22D3DC48-F662-407B-8232-DF9ECDB6E759}">
      <text>
        <r>
          <rPr>
            <sz val="8"/>
            <color indexed="81"/>
            <rFont val="Tahoma"/>
            <family val="2"/>
          </rPr>
          <t xml:space="preserve">
Nombre del Indicador</t>
        </r>
      </text>
    </comment>
  </commentList>
</comments>
</file>

<file path=xl/sharedStrings.xml><?xml version="1.0" encoding="utf-8"?>
<sst xmlns="http://schemas.openxmlformats.org/spreadsheetml/2006/main" count="2169" uniqueCount="991">
  <si>
    <t>TOTAL</t>
  </si>
  <si>
    <t>RECURSOS PUBLICOS</t>
  </si>
  <si>
    <t>MONTO</t>
  </si>
  <si>
    <t>F-8</t>
  </si>
  <si>
    <t>PROFESIONALES</t>
  </si>
  <si>
    <t>TECNICOS</t>
  </si>
  <si>
    <t>AUXILIARES</t>
  </si>
  <si>
    <t>DIRECTIVOS/FUNCIONARIOS</t>
  </si>
  <si>
    <t>FUENTE DE FINANCIAMIENTO</t>
  </si>
  <si>
    <t xml:space="preserve"> REMUNERATIVA</t>
  </si>
  <si>
    <t>CATEGORIA</t>
  </si>
  <si>
    <t>PEA</t>
  </si>
  <si>
    <t>F-1</t>
  </si>
  <si>
    <t>SPA</t>
  </si>
  <si>
    <t>SPE</t>
  </si>
  <si>
    <t>STA</t>
  </si>
  <si>
    <t>STE</t>
  </si>
  <si>
    <t>SAA</t>
  </si>
  <si>
    <t>SAE</t>
  </si>
  <si>
    <t>S/.</t>
  </si>
  <si>
    <t>Est. %</t>
  </si>
  <si>
    <t>EST. %</t>
  </si>
  <si>
    <t>GASTOS CORRIENTES */</t>
  </si>
  <si>
    <t>TOTAL (A)</t>
  </si>
  <si>
    <t>OTROS</t>
  </si>
  <si>
    <t>COSTO ANUAL</t>
  </si>
  <si>
    <t>OBLIGACIONES DEL EMPLEADOR (CARGAS SOCIALES)</t>
  </si>
  <si>
    <t>GASTOS VARIABLES Y OCASIONALES</t>
  </si>
  <si>
    <t>PROPINAS</t>
  </si>
  <si>
    <t>PASAJES Y GASTOS DE TRANSPORTE</t>
  </si>
  <si>
    <t>TRANSFERENCIAS CAFAE</t>
  </si>
  <si>
    <t>RUBROS</t>
  </si>
  <si>
    <t>OTROS SERVICIOS DE TERCEROS</t>
  </si>
  <si>
    <t>SEGUROS</t>
  </si>
  <si>
    <t>NUEVOS SOLES</t>
  </si>
  <si>
    <t xml:space="preserve">SERVICIO DE CONSULTORIA </t>
  </si>
  <si>
    <t>CONSULTORIAS</t>
  </si>
  <si>
    <t xml:space="preserve">TOTAL </t>
  </si>
  <si>
    <t>1. RECURSOS ORDINARIOS</t>
  </si>
  <si>
    <t>2. RECURSOS DIRECTAM. RECAUD.</t>
  </si>
  <si>
    <t>3.- RECURSOS OPERACIONES</t>
  </si>
  <si>
    <t>4. DONACIONES Y TRANSFERENCIAS</t>
  </si>
  <si>
    <t>5. RECURSOS DETERMINADOS</t>
  </si>
  <si>
    <t xml:space="preserve">    - CONTRIBUCIONES A FONDOS</t>
  </si>
  <si>
    <t xml:space="preserve">    - FONDO DE COMPENCIÓN MUNICIPAL</t>
  </si>
  <si>
    <t xml:space="preserve">    - IMPUESTOS MUNICIPALES</t>
  </si>
  <si>
    <t xml:space="preserve">    - CANON  Y  SOBRECANON, REGALIAS</t>
  </si>
  <si>
    <t xml:space="preserve">       Y PARTICIPACIONES</t>
  </si>
  <si>
    <t>TOTAL    (*)</t>
  </si>
  <si>
    <t>OTROS (ESPECIFICAR) (**)</t>
  </si>
  <si>
    <t>(PIA) = Presupuesto Institucional de Apertura</t>
  </si>
  <si>
    <t>TIPO DE ESTUDIO Y/O INFORME (*)</t>
  </si>
  <si>
    <t>(*) EL PRODUCTO QUE SE ADQUIERE</t>
  </si>
  <si>
    <t>NIVELES REMUNERATIVOS</t>
  </si>
  <si>
    <t>(1)</t>
  </si>
  <si>
    <t>(2)</t>
  </si>
  <si>
    <t>(3)</t>
  </si>
  <si>
    <t>(4)</t>
  </si>
  <si>
    <t>(5)</t>
  </si>
  <si>
    <t>(6)</t>
  </si>
  <si>
    <t>CARRERA ADMINISTRATIVA</t>
  </si>
  <si>
    <t>……</t>
  </si>
  <si>
    <t>(7)</t>
  </si>
  <si>
    <t>ADQUISICIONES/CONTRATACIONES/OBRAS</t>
  </si>
  <si>
    <t>FECHA PROG. CONV.</t>
  </si>
  <si>
    <t xml:space="preserve">    - OTROS (ESPECIFICAR)</t>
  </si>
  <si>
    <t>TOTAL SECTOR</t>
  </si>
  <si>
    <t>PROYECTO</t>
  </si>
  <si>
    <t>CODIGO SNIP</t>
  </si>
  <si>
    <t>TIPO DE PROCESO DE SELECCIÓN</t>
  </si>
  <si>
    <t>ADQUISICIÓN</t>
  </si>
  <si>
    <t>OBSERVACIONES</t>
  </si>
  <si>
    <t>ESTADO DEL PROCESO</t>
  </si>
  <si>
    <t>PART. %</t>
  </si>
  <si>
    <t xml:space="preserve">       OFICIALES DE CREDITO</t>
  </si>
  <si>
    <t>SERVICIO DE DEUDA</t>
  </si>
  <si>
    <t>(**) PNUD, BONOS, etc.</t>
  </si>
  <si>
    <t xml:space="preserve"> </t>
  </si>
  <si>
    <t>TIPO DE CONTRATO</t>
  </si>
  <si>
    <t>CAS</t>
  </si>
  <si>
    <t>…</t>
  </si>
  <si>
    <t>PLIEGO</t>
  </si>
  <si>
    <t>UNIDAD EJECUTORA</t>
  </si>
  <si>
    <t>FUNCIÓN DESEMPEÑADA</t>
  </si>
  <si>
    <t>SUB TOTAL GASTOS CORRIENTES</t>
  </si>
  <si>
    <t>SUB TOTAL GASTOS DE CAPITAL</t>
  </si>
  <si>
    <t>SUB TOTAL SERVICIO DE DEUDA</t>
  </si>
  <si>
    <t>GASTOS DE CAPITAL</t>
  </si>
  <si>
    <t>1: Reserva de Contingencia</t>
  </si>
  <si>
    <t>2: Personal y Obligaciones Sociales</t>
  </si>
  <si>
    <t>3: Pensiones y Prestaciones Sociales</t>
  </si>
  <si>
    <t>4: Bienes y Servicios</t>
  </si>
  <si>
    <t>5: Donaciones y Transferencias</t>
  </si>
  <si>
    <t>6: Otros Gastos</t>
  </si>
  <si>
    <t>7: Donaciones y Transferencias</t>
  </si>
  <si>
    <t>8: Otros Gastos</t>
  </si>
  <si>
    <t>9: Adquisiciones de Activos No Financieros</t>
  </si>
  <si>
    <t>10: Adquisiciones de Activos Financieros</t>
  </si>
  <si>
    <t>11: Servicio de la Deuda</t>
  </si>
  <si>
    <t>GASTOS CORRIENTES</t>
  </si>
  <si>
    <t>(8)</t>
  </si>
  <si>
    <t>SUB TOTAL OTROS BENEFICIOS ... (no, mensuales, monto anual)</t>
  </si>
  <si>
    <t>ESPECIALIDAD (**)</t>
  </si>
  <si>
    <t>(**) LA ESPECIALIDAD TOMANDO ENCUENTA HACIENDO REFERENCIA UNA O MAS DE LAS 25 FUNCIONES DEL CLASIFICADOR FUNCIONAL PROGRAMATICO</t>
  </si>
  <si>
    <t xml:space="preserve">CONTRAPRESTACIÓN MENSUAL </t>
  </si>
  <si>
    <t>FUNCIONES</t>
  </si>
  <si>
    <t>PPTO (PIA)</t>
  </si>
  <si>
    <t>1 Legislativa</t>
  </si>
  <si>
    <t>2 Relaciones Exteriores</t>
  </si>
  <si>
    <t>3 Planeam. Gestión y Reserva</t>
  </si>
  <si>
    <t>Decreto Legislativo 728 (Regimen Privado)</t>
  </si>
  <si>
    <t>DNI</t>
  </si>
  <si>
    <t>Apellidos y Nombres</t>
  </si>
  <si>
    <t>Numero de contratos o renovaciones</t>
  </si>
  <si>
    <t>Meses Ejecutados</t>
  </si>
  <si>
    <t>Monto Ejecutado</t>
  </si>
  <si>
    <t>Fuente de Información</t>
  </si>
  <si>
    <t>7: Donaciones y Transferencias (de capital)</t>
  </si>
  <si>
    <t>5: Donaciones y Transferencias (corrientes)</t>
  </si>
  <si>
    <t>6: Otros Gastos (corrientes)</t>
  </si>
  <si>
    <t>8: Otros Gastos (de capital)</t>
  </si>
  <si>
    <t>TOTAL GASTOS UNIDAD EJECUTORA / ENTIDAD PÚBLICA</t>
  </si>
  <si>
    <t>CONTRATANTE</t>
  </si>
  <si>
    <t>CONTRATADO</t>
  </si>
  <si>
    <t>COSTO TOTAL EN PLANILLAS (*)</t>
  </si>
  <si>
    <t>Profesión</t>
  </si>
  <si>
    <t>Grado Academico</t>
  </si>
  <si>
    <t>PEA / Beneficiarios</t>
  </si>
  <si>
    <t>REMUNERACION MENSUAL (cada persona)</t>
  </si>
  <si>
    <t>CAFAE MENSUL (cada persona)</t>
  </si>
  <si>
    <t>AETA MENSUAL (cada persona)</t>
  </si>
  <si>
    <t>OTROS INGRESOS MENSUAL (cada persona)</t>
  </si>
  <si>
    <t>SUB TOTAL INGRESOS MENSUALES (cada persona)</t>
  </si>
  <si>
    <t>AGUINALDOS, GRAFICACIONES Y ESCOLARIDAD (anual cada persona)</t>
  </si>
  <si>
    <t>(9)</t>
  </si>
  <si>
    <t>TOTAL INGRESO ANUAL PEA</t>
  </si>
  <si>
    <t>TOTAL INGRESOS ANUAL POR PERSONA</t>
  </si>
  <si>
    <t>(10)</t>
  </si>
  <si>
    <t>DIFERENCIA INGRESO ANUAL PEA</t>
  </si>
  <si>
    <t xml:space="preserve">DIFERENCIA INGRESO ANUAL POR PERSONAL </t>
  </si>
  <si>
    <t>(**) Recursos Públicos / Recursos Ordinarios / Recursos Directamente Recaudados / Donaciones  y  Transferencias / Operaciones Oficiales de Crédito/ Recursos Determinados</t>
  </si>
  <si>
    <t>SECTOR O GOB. REGIONAL:</t>
  </si>
  <si>
    <t>FECHA DE SUSCRIPCION DEL CONTRATO</t>
  </si>
  <si>
    <t>FECHA DE VENCIMIENTO DEL PLAZO</t>
  </si>
  <si>
    <t>PLAZO DE EJEUCION DE OBRAS</t>
  </si>
  <si>
    <t>AMPLIACION DE PLAZO</t>
  </si>
  <si>
    <t>FECHA DE VENCIMIENTO DE PLAZO</t>
  </si>
  <si>
    <t>FECHA DE ENTREGA</t>
  </si>
  <si>
    <t>FECHA DE CONFORMIDAD DE OBRA</t>
  </si>
  <si>
    <t>VESTUARIO</t>
  </si>
  <si>
    <t>BONOS POR FUNCION JURIDICCIONAL Y FISCAL</t>
  </si>
  <si>
    <t>ESCOLARIDAD, AGUINALDO Y GRATIFICACIONES</t>
  </si>
  <si>
    <t>BONIFICACIÓN EXTRAORDINARIA (INACEPTACIÓN DE GRATIFICACIONES)</t>
  </si>
  <si>
    <t>DIETAS</t>
  </si>
  <si>
    <t>RETRIBUCIONES EN BIENES</t>
  </si>
  <si>
    <t>MOVILIDAD PARA TRASLADO DE TRABAJADORES</t>
  </si>
  <si>
    <t>PRODUCTIVIDAD</t>
  </si>
  <si>
    <t>SEGUROS (ESPECIFICAR)</t>
  </si>
  <si>
    <t>GASTOS POR ESTACIONAMIENTO DE VEHICULOS</t>
  </si>
  <si>
    <t>DIETA DE DIRECTORIO</t>
  </si>
  <si>
    <t>OTROS INGRESOS NO MENSUALES 
(anual cada personal)</t>
  </si>
  <si>
    <t>INCENTIVOS O PRODUCTIVIDAD (cada persona)</t>
  </si>
  <si>
    <t>MOVILIDAD</t>
  </si>
  <si>
    <t>RACIONAMIENTO</t>
  </si>
  <si>
    <t>BONOS</t>
  </si>
  <si>
    <t>(11)</t>
  </si>
  <si>
    <t>(12)</t>
  </si>
  <si>
    <t>(13)</t>
  </si>
  <si>
    <t>(14)</t>
  </si>
  <si>
    <t>(15)</t>
  </si>
  <si>
    <t>CONTRATISTA (RUC y Denominacion)</t>
  </si>
  <si>
    <t>MODALIDAD</t>
  </si>
  <si>
    <t>NUMERO DEL PROCESO</t>
  </si>
  <si>
    <t>PROGRAMAS SOCIALES</t>
  </si>
  <si>
    <t>JUNTOS</t>
  </si>
  <si>
    <t>SAMU</t>
  </si>
  <si>
    <t>SMN</t>
  </si>
  <si>
    <t>Mortalidad Materna</t>
  </si>
  <si>
    <t>Mortalidad Neonatal</t>
  </si>
  <si>
    <t>II.  GESTACIÓN</t>
  </si>
  <si>
    <t>PAN</t>
  </si>
  <si>
    <t>CUNA MAS</t>
  </si>
  <si>
    <t>Desnutrición Cronica</t>
  </si>
  <si>
    <t>Mortalidad Infantil</t>
  </si>
  <si>
    <t>Desarrollo cognitivo, lenguaje, socioemocional y motor</t>
  </si>
  <si>
    <t>PELA</t>
  </si>
  <si>
    <t>Logros de aprendizaje</t>
  </si>
  <si>
    <t>Cobertura escolar</t>
  </si>
  <si>
    <t>PELA Primaria</t>
  </si>
  <si>
    <t>PELA Secundaria</t>
  </si>
  <si>
    <t>Logros de aprindizaje</t>
  </si>
  <si>
    <t>Deserción escolar</t>
  </si>
  <si>
    <t>Jovenes a la obra</t>
  </si>
  <si>
    <t>Beca 18</t>
  </si>
  <si>
    <t>Acceso a la educación superior de calidad</t>
  </si>
  <si>
    <t>Educacion pertienente para el mercado laboral</t>
  </si>
  <si>
    <t>Pensión 65</t>
  </si>
  <si>
    <t>Asegurar las condiciones básicas para la subsistencia</t>
  </si>
  <si>
    <t>III.  De 0 a 2 AÑOS</t>
  </si>
  <si>
    <t>IV. DE 3 A 5 AÑOS</t>
  </si>
  <si>
    <t>V. DE 6 A 12 AÑOS</t>
  </si>
  <si>
    <t>VI. DE 13 A 17 AÑOS</t>
  </si>
  <si>
    <t>VII. DE 17 A 24 AÑOS</t>
  </si>
  <si>
    <t>VIII. DE 65 A MAS</t>
  </si>
  <si>
    <t>I.  DE GESTANTES A NIÑOS DE HASTA 14 AÑOS</t>
  </si>
  <si>
    <t>BENEFICIARIOS</t>
  </si>
  <si>
    <t>PRESUPUESTO PIA</t>
  </si>
  <si>
    <t>PRESUPUESTO PIM</t>
  </si>
  <si>
    <t>MONTO PRESUPUESTADO (*)</t>
  </si>
  <si>
    <t>0: Reserva de Contingencia</t>
  </si>
  <si>
    <t>1: Personal y Obligaciones Sociales</t>
  </si>
  <si>
    <t>2: Pensiones y Prestaciones Sociales</t>
  </si>
  <si>
    <t>3: Bienes y Servicios</t>
  </si>
  <si>
    <t>4: Donaciones y Transferencias</t>
  </si>
  <si>
    <t>5: Otros Gastos</t>
  </si>
  <si>
    <t>6: Adquisiciones de Activos No Financieros</t>
  </si>
  <si>
    <t>7: Adquisiciones de Activos Financieros</t>
  </si>
  <si>
    <t>8: Servicio de la Deuda</t>
  </si>
  <si>
    <t>4 Defensa y Seg. Nacional</t>
  </si>
  <si>
    <t>5 Orden Púb. y Seguridad</t>
  </si>
  <si>
    <t>6 Justicia</t>
  </si>
  <si>
    <t>7 Trabajo</t>
  </si>
  <si>
    <t>8 Comercio</t>
  </si>
  <si>
    <t>9 Turismo</t>
  </si>
  <si>
    <t>10 Agropecuaria</t>
  </si>
  <si>
    <t>11 Pesca</t>
  </si>
  <si>
    <t>12 Energía</t>
  </si>
  <si>
    <t>13 Mineria</t>
  </si>
  <si>
    <t>14 Industria</t>
  </si>
  <si>
    <t>15 Transporte</t>
  </si>
  <si>
    <t>16 Comunicaciones</t>
  </si>
  <si>
    <t>17 Ambiente</t>
  </si>
  <si>
    <t>18 aneamiento</t>
  </si>
  <si>
    <t>19 Vivienda y Des. Urbano</t>
  </si>
  <si>
    <t>20 Salud</t>
  </si>
  <si>
    <t>21 Cultura y Deporte</t>
  </si>
  <si>
    <t>22 Educación</t>
  </si>
  <si>
    <t>23 Protección Social</t>
  </si>
  <si>
    <t>24 Previsión Social</t>
  </si>
  <si>
    <t>25 Deuda Pública</t>
  </si>
  <si>
    <t>SUMINISTROS PARA MANTENIMIENTO Y REPARACION</t>
  </si>
  <si>
    <t>SERVICIOS BASICOS, COMUNICACIONES, PUBLICIDAD Y DIFUSION</t>
  </si>
  <si>
    <t>COMBUSTIBLE, CARBURANTES, LUBRICANTES Y AFINES</t>
  </si>
  <si>
    <t>SERVICIOS DE LIMPIEZA, SEGURIDAD Y VIGILANCIA</t>
  </si>
  <si>
    <t>SERVICIO DE MANTENIMIENTO, ACONDICIONAMIENTO Y REPARA</t>
  </si>
  <si>
    <t>ALQUILERES DE MUEBLES E INMUEBLES</t>
  </si>
  <si>
    <t>MATERIALES Y UTILES</t>
  </si>
  <si>
    <t>REPUESTOS Y ACCESORIOS</t>
  </si>
  <si>
    <t>SERVICIOS ADMINISTRATIVOS, FINANCIEROS Y DE SEGUROS</t>
  </si>
  <si>
    <t>ENSERES</t>
  </si>
  <si>
    <t>SERVICIOS PROFESIONALES Y TECNICOS</t>
  </si>
  <si>
    <t>CONTRATO ADMINISTRATIVO DE SERVICIOS</t>
  </si>
  <si>
    <t>SUMINISTROS MEDICOS</t>
  </si>
  <si>
    <t>MATERIALES Y UTILES DE ENSEÑANZA</t>
  </si>
  <si>
    <t>SUMINISTROS PARA USO AGROPECUARIO, FORESTAL Y VETERIN</t>
  </si>
  <si>
    <t>COMPRA DE OTROS BIENES</t>
  </si>
  <si>
    <t>CAFAE MENSUAL (cada persona)</t>
  </si>
  <si>
    <t>Linea Base</t>
  </si>
  <si>
    <t>Meta 2021</t>
  </si>
  <si>
    <t>Responsable</t>
  </si>
  <si>
    <t>Resultado</t>
  </si>
  <si>
    <t>Proyectado</t>
  </si>
  <si>
    <t>Meta</t>
  </si>
  <si>
    <t>UNIDADES EJECUTORAS O ENTIDADES PÚBLICAS ADSCRITAS AL SECTOR</t>
  </si>
  <si>
    <t>RESERVA DE CONTINGENCIA</t>
  </si>
  <si>
    <t>PERSONAL Y OBLIGAC. SOC.</t>
  </si>
  <si>
    <t>PENSIONES Y PREST. SOC.</t>
  </si>
  <si>
    <t>BIENES Y SERVICIOS</t>
  </si>
  <si>
    <t>DONACIONES TRANSFER.</t>
  </si>
  <si>
    <t>OTROS GASTOS</t>
  </si>
  <si>
    <t>SUB TOTAL GASTO CTE</t>
  </si>
  <si>
    <t>DONACIONES Y TRANSFER,</t>
  </si>
  <si>
    <t>ADQUIS. ACT. NO FINANC.</t>
  </si>
  <si>
    <t>ADQUIS. ACT. FINANC.</t>
  </si>
  <si>
    <t>SUB TOTAL GASTOS CAP.</t>
  </si>
  <si>
    <t xml:space="preserve">SERVICIO DE DEUDA </t>
  </si>
  <si>
    <t>SUB TOTAL SER. DEUDA</t>
  </si>
  <si>
    <t>Ley 30057 
(Ley del Servicio Civil)</t>
  </si>
  <si>
    <t>PLIEGOS DEL SECTOR O GOBIERNO REGIONAL</t>
  </si>
  <si>
    <t>PLIEGO O ENTIDAD DEL SECTOR</t>
  </si>
  <si>
    <t>Nombre del Indicador</t>
  </si>
  <si>
    <t>Objetivo Estrategico Institucional
(Código y Enunciado)</t>
  </si>
  <si>
    <t>Objetivo Estrategico Sectorial
(Código)</t>
  </si>
  <si>
    <t>Decreto Legislativo 1057 (Contrato Administrativo de Servicios</t>
  </si>
  <si>
    <t>(**) Incluye el monto pagado por otras entidades al personal que presta servidos en el Sector o Gobierno Regional</t>
  </si>
  <si>
    <t>Decreto Legislativo 1024 (Gerentes Públicos) (**)</t>
  </si>
  <si>
    <t>Ley 25650 (Fondo de Apoyo Generencial) (**)</t>
  </si>
  <si>
    <t>Ley 29806 (Personal Altamente Calificado) (**)</t>
  </si>
  <si>
    <t xml:space="preserve">(***) Detallar el marco legal </t>
  </si>
  <si>
    <t>Otros Servidores (especificar) (**) (***)</t>
  </si>
  <si>
    <t>(*) Incluye GRATIFICACIONES, CAFAE, PNUD, BONOS, PRODUCTIVIDAD, HORAS EXTRAS, GUARDIAS, AETAS, etc.</t>
  </si>
  <si>
    <t xml:space="preserve">Total </t>
  </si>
  <si>
    <t>S/ (****)</t>
  </si>
  <si>
    <t>S/ Anual (****)</t>
  </si>
  <si>
    <t>Practicantes (***)</t>
  </si>
  <si>
    <t>(****) Proyectado</t>
  </si>
  <si>
    <t>ARRENDATARIO</t>
  </si>
  <si>
    <t>ARRENDADOR</t>
  </si>
  <si>
    <t>DNI O PARTIDA REGISTRAL</t>
  </si>
  <si>
    <t>Apellidos y Nombres o Denominación</t>
  </si>
  <si>
    <t>INMUEBLE</t>
  </si>
  <si>
    <t>CONTRATO</t>
  </si>
  <si>
    <t>VIGENCIA DEL CONTRATO</t>
  </si>
  <si>
    <t>MONTO MENSUAL</t>
  </si>
  <si>
    <t>BIEN PROPIO DE TERCEROS O AJENO</t>
  </si>
  <si>
    <t>PARTIDA REGISTRAL DE INCRIPCION DE PROPIEDAD</t>
  </si>
  <si>
    <t>METROS CUADRADOS</t>
  </si>
  <si>
    <t>COCHERAS</t>
  </si>
  <si>
    <t xml:space="preserve">FORMA DE PAGO (MENSUAL O ANUAL) Y FECHA DE PAGO </t>
  </si>
  <si>
    <t>PIA TOTAL S/</t>
  </si>
  <si>
    <t>PIM TOTAL S/</t>
  </si>
  <si>
    <t>EJECUCIÓN TOTAL S/</t>
  </si>
  <si>
    <t>EJECUCIÓN 
POR FUENTE DE FINANCIAMIENTO</t>
  </si>
  <si>
    <t>PIM 
POR FUENTE DE FINANCIAMIENTO</t>
  </si>
  <si>
    <t>PIA 
POR FUENTE DE FINANCIAMIENTO</t>
  </si>
  <si>
    <t>1: Acciones Centrales (AC)</t>
  </si>
  <si>
    <t>2: Asignaciones Presupuestarias que No Resultan en Productos (APNP)</t>
  </si>
  <si>
    <t>3: Programas Presupuestales</t>
  </si>
  <si>
    <t>PIA
POR CATEGORIA PRESUPUESTAL</t>
  </si>
  <si>
    <t>PIM
POR CATEGORIA PRESUPUESTAL</t>
  </si>
  <si>
    <t>EJECUCIÓN
POR CATEGORIA PRESUPUESTAL</t>
  </si>
  <si>
    <t>PIA
POR PROGRAMA PRESUPUESTAL</t>
  </si>
  <si>
    <t>PIM
POR PROGRAMA PRESUPUESTAL</t>
  </si>
  <si>
    <t>EJECUCIÓN
POR PROGRAMA PRESUPUESTAL</t>
  </si>
  <si>
    <t>Decreto Legislativo 276 (Regimen Público)</t>
  </si>
  <si>
    <t>(*) DEBE COINCIDIR CON LOS MONTOS ASIGNADOS EN LA GENERICA 1. PERSONAL Y OBLIGACIONES SOCIALES CONSIDERADAS EN EL PRESUPUESTO</t>
  </si>
  <si>
    <t>(*) DEBE COINCIDIR CON LOS MONTOS ASIGNADOS EN LA GENERICA 3. BIENES Y SERVICIOS CONSIDERADAS EN EL PRESUPUESTO 2018 - 2019 - 2020</t>
  </si>
  <si>
    <t>EJECUCIÓN S/</t>
  </si>
  <si>
    <t>(*) Una línea por cada año fiscal, consignado en monto presupuestado por cada año presupuestal</t>
  </si>
  <si>
    <t>PERSONA JURIDICA (RUC)</t>
  </si>
  <si>
    <t>PERSONA NATURAL (DNI)</t>
  </si>
  <si>
    <t xml:space="preserve">    - OTROS (ESPECIFIQUE)</t>
  </si>
  <si>
    <t xml:space="preserve">       OFICIALES DE CRED. EXTERNO</t>
  </si>
  <si>
    <t>MONEDA</t>
  </si>
  <si>
    <t>FECHA DE APERTURA</t>
  </si>
  <si>
    <t>CUENTA</t>
  </si>
  <si>
    <t>BANCO / INSTITUCIÓN FINANCIERA</t>
  </si>
  <si>
    <t>CUENTAS BANCARIAS</t>
  </si>
  <si>
    <t>ESPECIFICACIONES RECURSOS PUBLICOS</t>
  </si>
  <si>
    <t>ÍNDICE DE FORMATOS</t>
  </si>
  <si>
    <t>FORMATO Nº 1:</t>
  </si>
  <si>
    <t>FORMATO Nº 2:</t>
  </si>
  <si>
    <t>FORMATO Nº 3:</t>
  </si>
  <si>
    <t>FORMATO Nº 4:</t>
  </si>
  <si>
    <t>FORMATO Nº 5:</t>
  </si>
  <si>
    <t>FORMATO Nº 6:</t>
  </si>
  <si>
    <t>FORMATO Nº 7:</t>
  </si>
  <si>
    <t>FORMATO Nº 8:</t>
  </si>
  <si>
    <t>FORMATO Nº 9:</t>
  </si>
  <si>
    <t>FORMATO Nº 10:</t>
  </si>
  <si>
    <t>FORMATO Nº 11:</t>
  </si>
  <si>
    <t>FORMATO Nº 12:</t>
  </si>
  <si>
    <t>FORMATO Nº 13:</t>
  </si>
  <si>
    <t>FORMATO Nº 14:</t>
  </si>
  <si>
    <t>FORMATO Nº 15:</t>
  </si>
  <si>
    <t>FORMATO Nº 16:</t>
  </si>
  <si>
    <t>FORMATO Nº 17:</t>
  </si>
  <si>
    <t>FORMATO Nº 18:</t>
  </si>
  <si>
    <t>INDICADORES INSTITUCIONALES</t>
  </si>
  <si>
    <t>DISTRIBUCIÓN DEL GASTO</t>
  </si>
  <si>
    <t>GASTOS DE PERSONAL</t>
  </si>
  <si>
    <t>GASTOS EN BIENES Y SERVICIOS</t>
  </si>
  <si>
    <t>DIferencia 
(2020-2021)</t>
  </si>
  <si>
    <t>2020 (PIA)</t>
  </si>
  <si>
    <t>Variación % (2020-2021)</t>
  </si>
  <si>
    <t>Diferencia PIA (2020-2021)</t>
  </si>
  <si>
    <t>INGRESOS PERSONAL PRESUPUESTO 2020</t>
  </si>
  <si>
    <t>FORMATO 01: INDICADORES DE GESTIÓN SEGÚN OBJETIVOS ESTRATÉGICOS INSTITUCIONALES AL 2022</t>
  </si>
  <si>
    <t>FORMATO 02: DISTRIBUCIÓN DEL PRESUPUESTO POR CATEGORÍA PRESUPUESTAL 2020, 2021 Y PROYECTO 2022</t>
  </si>
  <si>
    <t>2021 (*)</t>
  </si>
  <si>
    <t>2022 (**)</t>
  </si>
  <si>
    <t>(*) Proyección al 31/12/2021</t>
  </si>
  <si>
    <t>(**) Proyecto 2022</t>
  </si>
  <si>
    <t>FORMATO 03: DISTRIBUCIÓN DEL PRESUPUESTO POR FUENTE DE FINANCIAMIENTO 2020, 2021 Y PROYECTO 2022</t>
  </si>
  <si>
    <t>FORMATO 04: DISTRIBUCIÓN DEL GASTO POR UNIDADES EJECUTORAS / ENTIDAD PÚBLICA Y FUENTES DE FINANCIAMIENTO - PROYECTO 2022</t>
  </si>
  <si>
    <t>FORMATO 05: DISTRIBUCIÓN DEL PRESUPUESTO POR PROGRAMA PRESUPUESTAL 2020, 2021 Y 2022</t>
  </si>
  <si>
    <t>FORMATO 06: PROGRAMAS SOCIALES PRIORIZADOS SEGÚN EL CICLO DE VIDA POR FUENTE DE FINANCIAMIENTO 2020, 2021 Y PROYECTO 2022</t>
  </si>
  <si>
    <t>Proyecto 2022</t>
  </si>
  <si>
    <t>Estimado 2021 (**)</t>
  </si>
  <si>
    <t>DIferencia 
(2021-2022)</t>
  </si>
  <si>
    <t>FORMATO 07: RESUMEN POR GRUPO GENÉRICO Y FUENTES DE FINANCIAMIENTO PROYECTO 2022</t>
  </si>
  <si>
    <t>GASTO CORRIENTE 2022</t>
  </si>
  <si>
    <t>GASTO CAPITAL 2022</t>
  </si>
  <si>
    <t>SERVICIO DE DEUDA 2022</t>
  </si>
  <si>
    <t>FORMATO 08: RESUMEN DE PRESUPUESTO POR FUNCIONES PIA 2020, 2021 Y PROYECTO 2022</t>
  </si>
  <si>
    <t>Var. % (2021-2022)</t>
  </si>
  <si>
    <t>FORMATO 09: COMPARATIVO DEL NÚMERO DE PLAZAS EN EL PRESUPUESTO  2021 Y PROYECTO 2022</t>
  </si>
  <si>
    <t>2021 (PIA)</t>
  </si>
  <si>
    <t>2022  (PROYECTO)</t>
  </si>
  <si>
    <t>VARIACION 2020-2021</t>
  </si>
  <si>
    <t>FORMATO 11: INGRESOS MENSUALES POR PERIODO DEL PERSONAL ACTIVO -  COMPARATIVO PRESUPUESTO 2020, 2021 Y PROYECTO 2022</t>
  </si>
  <si>
    <t>INGRESOS PERSONAL PRESUPUESTO 2021</t>
  </si>
  <si>
    <t>DIFERENCIA 
(2020 -2021)</t>
  </si>
  <si>
    <t>PROYECTO 2022</t>
  </si>
  <si>
    <t>PPTO 2020
(PIA)</t>
  </si>
  <si>
    <t>FORMATO 12: ASIGNACIÓN DE BIENES Y SERVICIOS - COMPARATIVO PRESUPUESTO 2020, 2021 Y PROYECTO 2022</t>
  </si>
  <si>
    <t>PPTO 2021 
(PIA)</t>
  </si>
  <si>
    <t>PPTO 2021
(PIM 30 JUNIO)</t>
  </si>
  <si>
    <t>PPTO 2022 (PROYECTO)</t>
  </si>
  <si>
    <t>Diferencia PIA (2021-2022)</t>
  </si>
  <si>
    <t>FORMATO 13: CONTRATOS DE OBRAS SUSCRITOS EN LOS AÑOS 2020 Y 2021</t>
  </si>
  <si>
    <t>FORMATO 14: PRINCIPALES ADQUISICIONES DE BIENES Y SERVICIOS - PRESUPUESTO 2020, 2021 Y PROYECTO 2022</t>
  </si>
  <si>
    <t>FORMATO 15: DETALLE DE CONSULTORIAS PERSONAS JURÍDICAS Y NATURALES - PRESUPUESTO 2020 Y 2021</t>
  </si>
  <si>
    <t>FORMATO 16: TESORERIA - RESUMEN POR GRUPO GENERICO Y FUENTES DE FINANCIAMIENTO 2020 Y 2021</t>
  </si>
  <si>
    <t>FORMATO 17: NOMBRES E INGRESOS MENSUALES DEL PERSONAL CONTRATADO FUERA DEL PAP EN LOS AÑOS FISCALES 2020 Y 2021</t>
  </si>
  <si>
    <t>(*) Al 30 de junio de 2021</t>
  </si>
  <si>
    <t>FORMATO 18: ALQUILER DE INMUEBLES EN LOS AÑOS FISCALES 2020 Y 2021</t>
  </si>
  <si>
    <t>(*) = Al 30 de junio de 2021</t>
  </si>
  <si>
    <t>(**) Saldo al 30 de Junio de 2021</t>
  </si>
  <si>
    <t>INDICADORES DE GESTIÓN SEGÚN OBJETIVOS ESTRATÉGICOS INSTITUCIONALES AL 2022</t>
  </si>
  <si>
    <t>DISTRIBUCIÓN DEL PRESUPUESTO POR CATEGORÍA PRESUPUESTAL 2020, 2021 Y PROYECTO 2022</t>
  </si>
  <si>
    <t>DISTRIBUCIÓN DEL PRESUPUESTO POR FUENTE DE FINANCIAMIENTO 2020, 2021 Y PROYECTO 2022</t>
  </si>
  <si>
    <t>DISTRIBUCIÓN DEL GASTO POR UNIDADES EJECUTORAS / ENTIDAD PÚBLICA Y FUENTES DE FINANCIAMIENTO - PROYECTO 2022</t>
  </si>
  <si>
    <t>DISTRIBUCIÓN DEL PRESUPUESTO POR PROGRAMA PRESUPUESTAL 2020, 2021 Y 2022</t>
  </si>
  <si>
    <t>PROGRAMAS SOCIALES PRIORIZADOS SEGÚN EL CICLO DE VIDA POR FUENTE DE FINANCIAMIENTO 2020, 2021 Y PROYECTO 2022</t>
  </si>
  <si>
    <t>RESUMEN POR GRUPO GENÉRICO Y FUENTES DE FINANCIAMIENTO PROYECTO 2022</t>
  </si>
  <si>
    <t>RESUMEN DE PRESUPUESTO POR FUNCIONES PIA 2020, 2021 Y PROYECTO 2022</t>
  </si>
  <si>
    <t>COMPARATIVO DEL NÚMERO DE PLAZAS EN EL PRESUPUESTO 2020, 2021 Y PROYECTO 2022</t>
  </si>
  <si>
    <t>INFORMACIÓN DE REMUNERACIONES Y NÚMERO DE PLAZAS - PRESUPUESTO 2020, 2021 Y PROYECTO 2022</t>
  </si>
  <si>
    <t>INGRESOS MENSUALES POR PERIODO DEL PERSONAL ACTIVO -  COMPARATIVO PRESUPUESTO 2020, 2021 Y PROYECTO 2022</t>
  </si>
  <si>
    <t>ASIGNACIÓN DE BIENES Y SERVICIOS - COMPARATIVO PRESUPUESTO 2020, 2021 Y PROYECTO 2022</t>
  </si>
  <si>
    <t>CONTRATOS DE OBRAS SUSCRITOS EN LOS AÑOS 2020 Y 2021</t>
  </si>
  <si>
    <t>PRINCIPALES ADQUISICIONES DE BIENES Y SERVICIOS - PRESUPUESTO 2020, 2021 Y PROYECTO 2022</t>
  </si>
  <si>
    <t>DETALLE DE CONSULTORIAS PERSONAS JURÍDICAS Y NATURALES - PRESUPUESTO 2020, 2021 Y PROYECTO 2022</t>
  </si>
  <si>
    <t>TESORERIA - RESUMEN POR GRUPO GENERICO Y FUENTES DE FINANCIAMIENTO 2020 Y 2021</t>
  </si>
  <si>
    <t>NOMBRES E INGRESOS MENSUALES DEL PERSONAL CONTRATADO FUERA DEL PAP EN LOS AÑOS FISCALES 2020 Y 2021</t>
  </si>
  <si>
    <t>ALQUILER DE INMUEBLES EN LOS AÑOS FISCALES 2020 Y 2021</t>
  </si>
  <si>
    <t>PPTO 2020 (AL 31/12)</t>
  </si>
  <si>
    <t>PPTO 2021 (AL 30/06)</t>
  </si>
  <si>
    <t>PPTO 2022 (PROYECCI{ON 31/12)</t>
  </si>
  <si>
    <t>2021 (JUNIO)</t>
  </si>
  <si>
    <t>PROYECCIÓN 2022 (JUNIO)</t>
  </si>
  <si>
    <t>SALDO 2021 (**)</t>
  </si>
  <si>
    <t>EJECUCIÓN 2021 (*)</t>
  </si>
  <si>
    <t>(**) Estimado al 31 de diciembre de 2021</t>
  </si>
  <si>
    <t>FORMATO Nº 10: INFORMACIÓN DE REMUNERACIONES Y NÚMERO DE PLAZAS - PRESUPUESTO 2020, 2021 Y PROYECTO 2022</t>
  </si>
  <si>
    <t>TOTAL INGRESO ANUAL PEA (Proyección al 31 de diciembre de  2021)</t>
  </si>
  <si>
    <t>TOTAL INGRESO ANUAL PEA (Proyección al 31 de diciembre de 2022)</t>
  </si>
  <si>
    <t>AÑO FISCAL 2020</t>
  </si>
  <si>
    <t>AÑO FISCAL 2021 (*)</t>
  </si>
  <si>
    <t>EJECUCIÓN 2020</t>
  </si>
  <si>
    <t>0046: ACCESO Y USO DE LA ELECTRIFICACION RURAL</t>
  </si>
  <si>
    <t>0150: INCREMENTO EN EL ACCESO DE LA POBLACION A LOS SERVICIOS EDUCATIVOS PUBLICOS DE LA EDUCACION BASICA</t>
  </si>
  <si>
    <t>0144: CONSERVACION Y USO SOSTENIBLE DE ECOSISTEMAS PARA LA PROVISION DE SERVICIOS ECOSISTEMICOS</t>
  </si>
  <si>
    <t>0140: DESARROLLO Y PROMOCION DE LAS ARTES E INDUSTRIAS CULTURALES</t>
  </si>
  <si>
    <t>0138: REDUCCION DEL COSTO, TIEMPO E INSEGURIDAD EN EL SISTEMA DE TRANSPORTE</t>
  </si>
  <si>
    <t>0131: CONTROL Y PREVENCION EN SALUD MENTAL</t>
  </si>
  <si>
    <t>0130: COMPETITIVIDAD Y APROVECHAMIENTO SOSTENIBLE DE LOS RECURSOS FORESTALES Y DE LA FAUNA SILVESTRE</t>
  </si>
  <si>
    <t>0129: PREVENCION Y MANEJO DE CONDICIONES SECUNDARIAS DE SALUD EN PERSONAS CON DISCAPACIDAD</t>
  </si>
  <si>
    <t>0126: FORMALIZACION MINERA DE LA PEQUEÑA MINERIA Y MINERIA ARTESANAL</t>
  </si>
  <si>
    <t>0121: MEJORA DE LA ARTICULACION DE PEQUEÑOS PRODUCTORES AL MERCADO</t>
  </si>
  <si>
    <t>0116: MEJORAMIENTO DE LA EMPLEABILIDAD E INSERCION LABORAL-PROEMPLEO</t>
  </si>
  <si>
    <t>0107: MEJORA DE LA FORMACION EN CARRERAS DOCENTES EN INSTITUTOS DE EDUCACION SUPERIOR NO UNIVERSITARIA</t>
  </si>
  <si>
    <t>0106: INCLUSION DE NIÑOS, NIÑAS Y JOVENES CON DISCAPACIDAD EN LA EDUCACION BASICA Y TECNICO PRODUCTIVA</t>
  </si>
  <si>
    <t>0104: REDUCCION DE LA MORTALIDAD POR EMERGENCIAS Y URGENCIAS MEDICAS</t>
  </si>
  <si>
    <t>0103: FORTALECIMIENTO DE LAS CONDICIONES LABORALES</t>
  </si>
  <si>
    <t>0090: LOGROS DE APRENDIZAJE DE ESTUDIANTES DE LA EDUCACION BASICA REGULAR</t>
  </si>
  <si>
    <t>0083: PROGRAMA NACIONAL DE SANEAMIENTO RURAL</t>
  </si>
  <si>
    <t>0082: PROGRAMA NACIONAL DE SANEAMIENTO URBANO</t>
  </si>
  <si>
    <t>0080: LUCHA CONTRA LA VIOLENCIA FAMILIAR</t>
  </si>
  <si>
    <t>0073: PROGRAMA PARA LA GENERACION DEL EMPLEO SOCIAL INCLUSIVO - TRABAJA PERU</t>
  </si>
  <si>
    <t>0068: REDUCCION DE VULNERABILIDAD Y ATENCION DE EMERGENCIAS POR DESASTRES</t>
  </si>
  <si>
    <t>0051: PREVENCION Y TRATAMIENTO DEL CONSUMO DE DROGAS</t>
  </si>
  <si>
    <t>0024: PREVENCION Y CONTROL DEL CANCER</t>
  </si>
  <si>
    <t>0018: ENFERMEDADES NO TRANSMISIBLES</t>
  </si>
  <si>
    <t>0017: ENFERMEDADES METAXENICAS Y ZOONOSIS</t>
  </si>
  <si>
    <t>0016: TBC-VIH/SIDA</t>
  </si>
  <si>
    <t>0002: SALUD MATERNO NEONATAL</t>
  </si>
  <si>
    <t>0001: PROGRAMA ARTICULADO NUTRICIONAL</t>
  </si>
  <si>
    <t>0147: FORTALECIMIENTO DE LA EDUCACION SUPERIOR TECNOLOGICA</t>
  </si>
  <si>
    <t>0148: REDUCCION DEL TIEMPO, INSEGURIDAD Y COSTO AMBIENTAL EN EL TRANSPORTE URBANO</t>
  </si>
  <si>
    <t>1002 PRODUCTOS ESPECIFICOS PARA REDUCCION DE LA VIOLENCIA CONTRA LA MUJER</t>
  </si>
  <si>
    <t>1001. PRODUCTOS ESPECIFICOS PARA DESARROLLO INFANTIL TEMPRANO</t>
  </si>
  <si>
    <t>GOBIERNO REGIONAL DEL DEPARTAMENTO DE MADRE DE DIOS</t>
  </si>
  <si>
    <t>FTE. FTO. RECURSOS ORDINARIOS</t>
  </si>
  <si>
    <t>FTE. FTO. RECURSOS DIRECTAMENTE  RECAUDADOS</t>
  </si>
  <si>
    <t>FTE. FTO. DONACIONES Y TRANSFERENCIAS</t>
  </si>
  <si>
    <t>FTE. FTO. CANON Y SOBRECANON, REGALIAS,RENTA DE ADUANAS Y PARTICIPACIONES</t>
  </si>
  <si>
    <t>FTE. FTO. RECURSOS POR OPERACIONES OFICIALES DE CREDITO</t>
  </si>
  <si>
    <t>454. GOBIERNO REGIONAL DEL DEPARTAMENTO DE MADRE DE DIOS</t>
  </si>
  <si>
    <t>FUENTE DE FINANCIAMIENTO: RECURSOS ORDINARIOS</t>
  </si>
  <si>
    <t>001. SEDE MADRE DE DIOS</t>
  </si>
  <si>
    <t>002. SUB REGION MANU</t>
  </si>
  <si>
    <t>021. PROYECTO ESPECIAL MADRE DE DIOS</t>
  </si>
  <si>
    <t>100. AGRICULTURA MADRE DE DIOS</t>
  </si>
  <si>
    <t>200. TRANSPORTES MADRE DE DIOS</t>
  </si>
  <si>
    <t>300. EDUCACION MADRE DE DIOS</t>
  </si>
  <si>
    <t>400. SALUD MADRE DE DIOS</t>
  </si>
  <si>
    <t>401. HOSPITAL SANTA ROSA DE PUERTO MALDONADO</t>
  </si>
  <si>
    <t>FUENTE DE FINANCIAMIENTO: RECURSOS DIRECTAMENTE RECUDADOS</t>
  </si>
  <si>
    <t>FUENTE DE FINANCIAMIENTO: RECURSOS POR OPERACIONES OFICIALES DE CREDITO</t>
  </si>
  <si>
    <t>FUENTE DE FINANCIAMIENTO: DONACIONES Y TRANSFERENCIAS</t>
  </si>
  <si>
    <t>FUENTE DE FINANCIAMIENTO: RECURSOS DETERMINADOS</t>
  </si>
  <si>
    <t>PPTO 2020 (PIM)</t>
  </si>
  <si>
    <t>ALIMENTOS Y BEBIDAS</t>
  </si>
  <si>
    <t>VESTUARIO Y TEXTILES</t>
  </si>
  <si>
    <t>VIATICOS Y ASIGNACIONES POR COMISION DE SERVICIO</t>
  </si>
  <si>
    <t>VIATICOS Y FLETES POR CAMBIO DE COLOCACION</t>
  </si>
  <si>
    <t>LOCACIÓN DE SERVICIOS RELACIONADAS AL ROL DE LA ENTIDAD</t>
  </si>
  <si>
    <t>Variación % (2021-2022)</t>
  </si>
  <si>
    <t>Titulo Profesiónal, Técncio o Capacitación Ocupacional</t>
  </si>
  <si>
    <t>ESPECIALISTA EN GESTION DE DESASTRES</t>
  </si>
  <si>
    <t>04804540</t>
  </si>
  <si>
    <t>NAJAYA MORENO, PERCY</t>
  </si>
  <si>
    <t>S/P</t>
  </si>
  <si>
    <t>X-X-X</t>
  </si>
  <si>
    <t>05</t>
  </si>
  <si>
    <t>24006198</t>
  </si>
  <si>
    <t>RODRIGO ROJAS, FERNANDO</t>
  </si>
  <si>
    <t>INGENIERO</t>
  </si>
  <si>
    <t xml:space="preserve">BACHILLER EN INGENIERIA GEOLOGICA </t>
  </si>
  <si>
    <t>INGENIERO GEOLOGO</t>
  </si>
  <si>
    <t>02</t>
  </si>
  <si>
    <t>04815508</t>
  </si>
  <si>
    <t>PAREDES SALAS, JORGE GUSTAVO</t>
  </si>
  <si>
    <t>CHOFER</t>
  </si>
  <si>
    <t>40379694</t>
  </si>
  <si>
    <t>MARTEL QUISPE, SAMMY ALBERTO</t>
  </si>
  <si>
    <t>ABOGADO</t>
  </si>
  <si>
    <t>BACHILLER EN DERECHO Y CIENCIAS POLITICAS</t>
  </si>
  <si>
    <t>JEFE COER</t>
  </si>
  <si>
    <t>47773011</t>
  </si>
  <si>
    <t>RIOS LUCANA, MARICRUZ</t>
  </si>
  <si>
    <t>BACHILLER EN INGENIERIA AMBIENTAL</t>
  </si>
  <si>
    <t>INGENIERO AMBIENTAL</t>
  </si>
  <si>
    <t>06</t>
  </si>
  <si>
    <t>SECRETARIA</t>
  </si>
  <si>
    <t>41323539</t>
  </si>
  <si>
    <t>AROAPAZA POMA, RAQUEL MARY LUZ</t>
  </si>
  <si>
    <t>EGRESADA DE LA CARRERA TECNICA DE SECRETARIADO EJECUTIVO</t>
  </si>
  <si>
    <t>04</t>
  </si>
  <si>
    <t>COORD. DE OPERACIONES</t>
  </si>
  <si>
    <t>48170875</t>
  </si>
  <si>
    <t>RAMOS SALAS, Waldir Julio</t>
  </si>
  <si>
    <t>BACHILLER EN INGENIERIA FORESTAL Y MEDIO AMBIENTE</t>
  </si>
  <si>
    <t>COORD. DE COMUNICACIONES</t>
  </si>
  <si>
    <t>04963831</t>
  </si>
  <si>
    <t>ORACO TELLERIA, Eynar</t>
  </si>
  <si>
    <t>16701422</t>
  </si>
  <si>
    <t>OJEDA GARBOZA, Mario Armando</t>
  </si>
  <si>
    <t>TECNICO ADMINISTRATIVO</t>
  </si>
  <si>
    <t>04820604</t>
  </si>
  <si>
    <t>PASTOR VELA, VICTOR MANUEL</t>
  </si>
  <si>
    <t>CONTADOR</t>
  </si>
  <si>
    <t>BACHILLER EN CONTABILIDAD</t>
  </si>
  <si>
    <t>CONTADOR PUBLICO</t>
  </si>
  <si>
    <t xml:space="preserve">04828194  </t>
  </si>
  <si>
    <t>VERA GONZALES, ROSA LUZ</t>
  </si>
  <si>
    <t>TECNICO EN INGENIERIA</t>
  </si>
  <si>
    <t>04820071</t>
  </si>
  <si>
    <t>ARIAS SOUZA, JOSE</t>
  </si>
  <si>
    <t>45818839</t>
  </si>
  <si>
    <t>OCOLA NINA, GEORGE ALEXANDER</t>
  </si>
  <si>
    <t>ADMINISTRADOR</t>
  </si>
  <si>
    <t>BACHILLER EN ADMINISTRACIÓN</t>
  </si>
  <si>
    <t>LICENCIADO EN ADMINISTRACIÓN</t>
  </si>
  <si>
    <t>42757833</t>
  </si>
  <si>
    <t>CCAHUANTICO MESA, MARITZA SILA</t>
  </si>
  <si>
    <t>ENCARGADO AREA DE SANEAMIENTO</t>
  </si>
  <si>
    <t>43110496</t>
  </si>
  <si>
    <t>QUISPE LOBATON, DICXSON</t>
  </si>
  <si>
    <t>BACHILLER EN INGENIERIA AGROINDUSTRIAL</t>
  </si>
  <si>
    <t>ESPECIALISTA ADMINISTRATIVO</t>
  </si>
  <si>
    <t>00668674</t>
  </si>
  <si>
    <t>CASTRO GARCIA, HUGO FREY</t>
  </si>
  <si>
    <t>BACHILLER EN CIENCIAS CON MENCION EN INFORMATICA Y SISTEMAS</t>
  </si>
  <si>
    <t>INGENIERO EN INFORMATICA Y SISTEMAS</t>
  </si>
  <si>
    <t>GUARDIAN</t>
  </si>
  <si>
    <t>05061395</t>
  </si>
  <si>
    <t>MAMIO HUESEMBE, Humberto</t>
  </si>
  <si>
    <t>41158911</t>
  </si>
  <si>
    <t>MEZA HUESEMBE, CINDY MADELEINE</t>
  </si>
  <si>
    <t>41427576</t>
  </si>
  <si>
    <t>ASPAJO MOREY, Julissa Herlinda</t>
  </si>
  <si>
    <t>42641973</t>
  </si>
  <si>
    <t>OVALLE ROCA, Herless Meliza</t>
  </si>
  <si>
    <t>04816922</t>
  </si>
  <si>
    <t>SALINAS BAQUERO, BLANCA FLOR</t>
  </si>
  <si>
    <t>CERT. OCUP. SECRETARIADO EJECUTIVO COMPUTARIZADO</t>
  </si>
  <si>
    <t>09683506</t>
  </si>
  <si>
    <t>PORTUGUEZ CORDOVA, OMAR DARICO FIDEL</t>
  </si>
  <si>
    <t>ALMACENERO</t>
  </si>
  <si>
    <t>23838518</t>
  </si>
  <si>
    <t>FLOREZ QUISPE, VALENTIN</t>
  </si>
  <si>
    <t>44454171</t>
  </si>
  <si>
    <t>RUIZ DELGADO, LILIANA DEL PILAR</t>
  </si>
  <si>
    <t>04819879</t>
  </si>
  <si>
    <t>VASQUEZ BURGA, ELCAR RAUL</t>
  </si>
  <si>
    <t>40898295</t>
  </si>
  <si>
    <t>ARAGON VELA, LUCY VIOLETA</t>
  </si>
  <si>
    <t>CERT. OCUP. SECRETARIADO EJECUTIVO</t>
  </si>
  <si>
    <t>AUXILIAR DE CUNA</t>
  </si>
  <si>
    <t>48127835</t>
  </si>
  <si>
    <t>PIÑARES VICENTE, Carmen Lourdes</t>
  </si>
  <si>
    <t>SUPERIOR INCOMPLETO (CARRERA TÉCNICA DE EDUCACIÓN INICIAL II CICLO)</t>
  </si>
  <si>
    <t>23832947</t>
  </si>
  <si>
    <t>MARTINEZ PACHECO, JULIA</t>
  </si>
  <si>
    <t>04811076</t>
  </si>
  <si>
    <t>QUISPE QUISPE, MARIA YSABEL</t>
  </si>
  <si>
    <t xml:space="preserve">Chofer </t>
  </si>
  <si>
    <t>23993390</t>
  </si>
  <si>
    <t>VARGAS RACUA, Rudol Yamil</t>
  </si>
  <si>
    <t>Secretaria</t>
  </si>
  <si>
    <t>41091282</t>
  </si>
  <si>
    <t>PINEDO GUDIEL, Sara Luz</t>
  </si>
  <si>
    <t>Guardian</t>
  </si>
  <si>
    <t>04806589</t>
  </si>
  <si>
    <t>WIESS SALVA, Angel Ventura</t>
  </si>
  <si>
    <t>04807859</t>
  </si>
  <si>
    <t>QUISPE CHAPIAMA, Santos Apolinario</t>
  </si>
  <si>
    <t>Limpieza</t>
  </si>
  <si>
    <t>04800256</t>
  </si>
  <si>
    <t>RAMOS BACA, Vilma</t>
  </si>
  <si>
    <t>Promotor pesquero</t>
  </si>
  <si>
    <t>80471956</t>
  </si>
  <si>
    <t>AGUIRRE VILLARROEL, Mauricce Omar</t>
  </si>
  <si>
    <t>Especialista Administrativa</t>
  </si>
  <si>
    <t>46769497</t>
  </si>
  <si>
    <t>BOLIVAR HUANCA, Bianca</t>
  </si>
  <si>
    <t>Especialista en promocion empresarial</t>
  </si>
  <si>
    <t>44987001</t>
  </si>
  <si>
    <t>TUESTA RODRIGUEZ, Danny Alberto</t>
  </si>
  <si>
    <t>Tecnico administrativo</t>
  </si>
  <si>
    <t>71831497</t>
  </si>
  <si>
    <t>YANCAPALLO PEÑA, Melina Daniela</t>
  </si>
  <si>
    <t>Tecnico en Evaluacion Industrial</t>
  </si>
  <si>
    <t>76760443</t>
  </si>
  <si>
    <t>PUMA PAUCAR, Gina Monica</t>
  </si>
  <si>
    <t>Especialista en Evaluacion Industrial</t>
  </si>
  <si>
    <t>43383649</t>
  </si>
  <si>
    <t>VILLAGRA HALANOCCA, Juana</t>
  </si>
  <si>
    <t>Inspector Pesquero</t>
  </si>
  <si>
    <t>44887916</t>
  </si>
  <si>
    <t>ZELA OCHOA, Julia Rosa</t>
  </si>
  <si>
    <t>Tecnico Acuicola</t>
  </si>
  <si>
    <t>46072763</t>
  </si>
  <si>
    <t>CAMONES YANAC, Segundino Benito</t>
  </si>
  <si>
    <t>Tecnico en Normatividad</t>
  </si>
  <si>
    <t>41277968</t>
  </si>
  <si>
    <t>POLANCO CHAPIAMA, KAREN NINOSKA</t>
  </si>
  <si>
    <t>Encargado de estadisticas</t>
  </si>
  <si>
    <t>44660906</t>
  </si>
  <si>
    <t>ACHIN AGÜERO, Andy Jhunior</t>
  </si>
  <si>
    <t>47711185</t>
  </si>
  <si>
    <t>UNSUETA PUMA, LUCAS</t>
  </si>
  <si>
    <t>Asistente Administrativo</t>
  </si>
  <si>
    <t>41651471</t>
  </si>
  <si>
    <t>HUARHUACHI ROJAS, Clarisa</t>
  </si>
  <si>
    <t>70788147</t>
  </si>
  <si>
    <t>KAHN GONZALES, Jean Mayckons</t>
  </si>
  <si>
    <t>AUXILIAR ADMINISTRATIVO-OTA</t>
  </si>
  <si>
    <t>46405375</t>
  </si>
  <si>
    <t>VASQUEZ LABINTO, Deysi Priscila</t>
  </si>
  <si>
    <t>AUXILIAR ADMINISTRATIVO-NOTIFICADOR</t>
  </si>
  <si>
    <t>04811112</t>
  </si>
  <si>
    <t>VELASQUEZ CANAQUIRI, JOSE ENRIQUE</t>
  </si>
  <si>
    <t>Tecnico en enfermeria</t>
  </si>
  <si>
    <t>42013106</t>
  </si>
  <si>
    <t>YARICAHUA DO NASCIMENTO, Jeysa</t>
  </si>
  <si>
    <t>Especialista  acercamiento empresarial</t>
  </si>
  <si>
    <t>46398316</t>
  </si>
  <si>
    <t>BOCANGEL RAMIREZ, Yesenia</t>
  </si>
  <si>
    <t>Tecnico Administrativo</t>
  </si>
  <si>
    <t>HUAMAN LAZARO, Cecilia Monica</t>
  </si>
  <si>
    <t>DIRECTOR</t>
  </si>
  <si>
    <t>40694928</t>
  </si>
  <si>
    <t>PINCHI DEL AGUILA, HARRY</t>
  </si>
  <si>
    <t>04806022</t>
  </si>
  <si>
    <t>PACAYA VIRIZUMA, Fernando</t>
  </si>
  <si>
    <t>Encargado CIE. NODO CIEF</t>
  </si>
  <si>
    <t>42421125</t>
  </si>
  <si>
    <t>CONDORI HUAMANI, Mirtha</t>
  </si>
  <si>
    <t>BACHILLER EN INGENÍERIA FORESTAL Y MEDIO AMBIENTE</t>
  </si>
  <si>
    <t>INSTRUCTOR DE PAS</t>
  </si>
  <si>
    <t>46499251</t>
  </si>
  <si>
    <t>MAMANI LUQUE, Edwin Misael</t>
  </si>
  <si>
    <t>INGENIERO FORESTAL Y MEDIO AMBIENTE</t>
  </si>
  <si>
    <t>ENCARGADA DE RECAUDACIONES</t>
  </si>
  <si>
    <t>04822369</t>
  </si>
  <si>
    <t>VALLE TERRAZAS, Mary Luz</t>
  </si>
  <si>
    <t>TÉCNICO AGROPECUARIO</t>
  </si>
  <si>
    <t>EGRESADO DE LA CARRERA TÉCNICA DE PRODUCCIÓN 
AGROPECUARIA</t>
  </si>
  <si>
    <t>ESPECIALISTA FORESTAL</t>
  </si>
  <si>
    <t>41600299</t>
  </si>
  <si>
    <t>GARCIA GRANDES, Willy Jasmani</t>
  </si>
  <si>
    <t xml:space="preserve">BACHILLER EN INGENIERIA FORESTAL   </t>
  </si>
  <si>
    <t>43734330</t>
  </si>
  <si>
    <t>ESTRADA QUISPE, Lizbeth</t>
  </si>
  <si>
    <t>42021912</t>
  </si>
  <si>
    <t>FERNANDEZ MAMANI, Yoni</t>
  </si>
  <si>
    <t>ASISTENTE LEGAL</t>
  </si>
  <si>
    <t>48439908</t>
  </si>
  <si>
    <t>CHALLCO CONDORI, Eva Maria</t>
  </si>
  <si>
    <t>41022539</t>
  </si>
  <si>
    <t>COSI TICONA, Esteban Carmelo</t>
  </si>
  <si>
    <t>PROFESIONAL TECNICA EN ADMINISTRACIÓN DE 
RECURSOS FORESTALES</t>
  </si>
  <si>
    <t>2. RECURSOS DIRECTAMENTE RECAUDADOS</t>
  </si>
  <si>
    <t>SALDO 2020 (*)</t>
  </si>
  <si>
    <t>875- SEDE CENTRAL</t>
  </si>
  <si>
    <t>BANCO DE LA NACIÓN</t>
  </si>
  <si>
    <t>00-0201-018749 (00)</t>
  </si>
  <si>
    <t>SOL</t>
  </si>
  <si>
    <t>00-0201-018749 (09)</t>
  </si>
  <si>
    <t>2013</t>
  </si>
  <si>
    <t>00-0201-018749 (19)</t>
  </si>
  <si>
    <t>2005</t>
  </si>
  <si>
    <t>00-0201-018749 (13)</t>
  </si>
  <si>
    <t>2017</t>
  </si>
  <si>
    <t>00-0201-018749 (18)</t>
  </si>
  <si>
    <r>
      <t xml:space="preserve">       Y PARTICIPACIONES</t>
    </r>
    <r>
      <rPr>
        <b/>
        <sz val="9"/>
        <rFont val="Arial"/>
        <family val="2"/>
      </rPr>
      <t xml:space="preserve"> BOI, FED, DNTP, FONIPREL</t>
    </r>
  </si>
  <si>
    <t xml:space="preserve">    - CANON MINERO Y FORESTAL</t>
  </si>
  <si>
    <t xml:space="preserve">    - SALDOS ANTIGUOS (RRDD)</t>
  </si>
  <si>
    <t xml:space="preserve">    - FONCOR LEY 31069</t>
  </si>
  <si>
    <t>(*) Saldo al 31 de Diciembre de 2020</t>
  </si>
  <si>
    <t>ADQUISICION DE CABLES Y ACCESORIOS DE CONEXIÓN, OBRA: ¿MEJORAMIENTO DEL SERVICIO INSTITUCIONAL DE LA SEDE CENTRAL Y DIRECCIONES REGIONALES DEL GOBIERNO REGIONAL DE MADRE DE DIOS, DISTRITO DE TAMBOPATA ¿ PROVINCIA DE TAMBOPATA - REGION MADRE DE DIOS¿, META 156.</t>
  </si>
  <si>
    <t>AS-SM-32-2020-GOREMAD/OEC-1</t>
  </si>
  <si>
    <t xml:space="preserve">PROCESO DE SELECCION </t>
  </si>
  <si>
    <t>ADQUISICION DE MATERIALES ELECTRICOS  - SISTEMA CONTRA INCENDIOS, OBRA: ¿MEJORAMIENTO DEL SERVICIO INSTITUCIONAL DE LA SEDE CENTRAL Y DIRECCIONES REGIONALES DEL GOBIERNO REGIONAL DE MADRE DE DIOS, DISTRITO DE TAMBOPATA ¿ PROVINCIA DE TAMBOPATA - REGION MADRE DE DIOS¿, META 156.</t>
  </si>
  <si>
    <t>AS-SM-36-2020-GOREMAD/OEC-1</t>
  </si>
  <si>
    <t>ADQUISICION DE CABLES ELECTRICOS,  PARA LA OBRA: MEJORAMIENTO VIAL DE LA AV. ALAMEDA DE LA CULTURA DE LA CIUDAD DE PUERTO MALDONADO, DISTRITO Y PROVINCIA DE TAMBOPATA, REGION MADRE DE DIOS</t>
  </si>
  <si>
    <t>AS-SM-39-2020-GOREMAD/OEC-1</t>
  </si>
  <si>
    <t>ADQUISICION DE LADRILLO, OBRA ¿MEJORAMIENTO DEL SERVICIO EDUCATIVO DEL NIVEL SECUNDARIO EM LA I.E. Nº 52072 EM EL CENTRO POBLADO DE DOS DE MAYO ¿ DISTRITO DE INAMBARI ¿ PROVINCIA DE TAMBOPATA ¿ REGION MADRE DE DIOS¿.</t>
  </si>
  <si>
    <t>AS-SM-11-2020-GOREMAD/OEC-1</t>
  </si>
  <si>
    <t>ADQUISICION DE MATERIAL SUB BASE TIPO B, PARA LA OBRA: ¿MEJORAMIENTO VIAL DE LA AV. ALAMEDA DE LA CULTURA DE LA CIUDAD DE PUERTO MALDONADO, DISTRITO DE TAMBOPATA - PROVINCIA DE TAMBOPATA, REGION MADRE DE DIOS¿. META 64.</t>
  </si>
  <si>
    <t>SIE-SIE-29-2020-GOREMAD/OEC-1</t>
  </si>
  <si>
    <t>ADQUISICION DE MATERIALES PARA CIELO RASO, OBRA: "MEJORAMIENTO DEL SERVICIO INSTITUCIONAL DE LA SEDE CENTRAL Y DIRECCIONES REGIONALES DEL GOBIERNO REGIONAL DE MADRE DE DIOS DISTRITO Y PROVINCIA DE TAMBOPATA, REGION MADRE DE DIOS".</t>
  </si>
  <si>
    <t>AS-SM-34-2020-GOREMAD/OEC-1</t>
  </si>
  <si>
    <t>ADQUISICION DE TABLEROS E INTERRUPTORES ELECTRICOS, OBRA: ¿MEJORAMIENTO DEL SERVICIO INSTITUCIONAL DE LA SEDE CENTRAL Y DIRECCIONES REGIONALES DEL GOBIERNO REGIONAL DE MADRE DE DIOS, DISTRITO DE TAMBOPATA ¿ PROVINCIA DE TAMBOPATA - REGION MADRE DE DIOS¿, META 156.</t>
  </si>
  <si>
    <t>AS-SM-33-2020-GOREMAD/OEC-1</t>
  </si>
  <si>
    <t>ADQUISICION DE CEMENTO PORTLAND TIPO IP X 2.50 KG,PARA EL IOARR: ¿ADQUISICION DE EQUIPO DE LABORATORIO; LABORATORIO; RENOVACION DE AMBIENTE ADMINISTRATIVO; REPARACION DE COBERTURA; CONSTRUCCION DE AMBIENTE COMPLEMENTARIO; ADEMAS DE OTROS ACTIVOS EN EL (LA) CENTRO ACUICOLA LA CACHUELA DISTRITO DE TAMBOPATA ¿ PROVINCIA DE TAMBOPATA ¿ REGION MADRE DE DIOS¿</t>
  </si>
  <si>
    <t>SIE-SIE-26-2020-GOREMAD/OEC-2</t>
  </si>
  <si>
    <t>ADQUISICION DE BIENES DE AYUDA HUMANITARIA, PARA EL REABASTECIMIENTO DE LOS ALMACENES ADELANTADOS Y BRINDAR APOYO A DAMNIFICADOS Y AFECTADOS POR DESASTRE, ACTIVIDAD; ¿ADMINISTRACION Y ALMACENAMIENTO DE KIST PARA LA ASISTENCIA FRENTE A EMERGENCIAS Y DESASTRES¿. META 0007.</t>
  </si>
  <si>
    <t>AS-SM-27-2020-GOREMAD/OEC-3</t>
  </si>
  <si>
    <t>SIE-SIE-26-2020-GOREMAD/OEC-1</t>
  </si>
  <si>
    <t>AS-SM-27-2020-GOREMAD/OEC-2</t>
  </si>
  <si>
    <t>ADQUISICION DE MADERA, PARA LA OBRA: MEJORAMIENTO DE LOS SERVICIOS DE EDUCACION PRIMARIA EN LA I.E. N 52114 Y SECUNDARIA EN LA I.E.B.R. ALTO LIBERTAD DEL CENTRO POBLADO ALTO LIBERTAD, DISTRITO INAMBARI, PRROVINCIA DE TAMBOPATA, MADRE DE DIOS.</t>
  </si>
  <si>
    <t>AS-SM-6-2020-GOREMAD/OEC-3</t>
  </si>
  <si>
    <t>ADQUISICION DE TELEVISORES UHD 4K ULTRA HD DE 55¿, OBRA: MEJORAMIENTO DE A INFRAESTRUCTURA Y EQUIPAMENTO DE LA I.E.I Nº 296 LAS PALMERAS ¿ AA.HH. LAS PALMERAS ¿ DITRITO DE TAMBOPATA ¿ PROVINCIA DE TAMBOPATA ¿ REGION MADRE DE DIOS¿. META 0015.</t>
  </si>
  <si>
    <t>AS-SM-29-2020-GOREMAD/OEC-1</t>
  </si>
  <si>
    <t>ADQUISICION DE CALAMINAS DE ACERO CON ALUZINC PREPINTADO COLOR ROJO Y TORNILLOS AUTOPERFORANTES, OBRA: ¿MEJORAMIENTO DEL SERVICIO INSTITUCIONAL DE LA SEDE CENTRAL Y DIRECCIONES REGIONALES DEL GOBIERNO REGIONAL DE MADRE DE DIOS, DISTRITO DE TAMBOPATA- PROVINCIA TAMBOPATA- REGION MADRE DE DIOS¿. META</t>
  </si>
  <si>
    <t>AS-SM-28-2020-GOREMAD/OEC-1</t>
  </si>
  <si>
    <t>AS-SM-27-2020-GOREMAD/OEC-1</t>
  </si>
  <si>
    <t>ADQUISICIÓN DE  CEMENTO PORTLAND TIPO IP X 42.50 KG, PARA EL IOARR ¿CONSTRUCCION DE AMBIENTE DE AISLAMIENTO; REMODELACION DE AMBIENTE DE AISLAMIENTO; ADQUISICION DE CAMA CLINICA RODABLE Y MONITOR DE FUNCIONES VITALES; ADEMAS DE OTROS ACTIVOS EN EL (LA) EESS SANTA ROSA ¿ CIUDAD DE PUERTO MALDONADO ¿</t>
  </si>
  <si>
    <t>SIE-SIE-25-2020-GOREMAD/OEC-1</t>
  </si>
  <si>
    <t>AS-SM-6-2020-GOREMAD/OEC-2</t>
  </si>
  <si>
    <t>ADQUISICIÓN DE MATERIAL AGREGADO, OBRA: ¿MEJORAMIENTO DEL SERVICIO EDUCATIVO DEL NIVEL SECUNDARIO EN LA I.E. 52072 EN EL CENTRO POBLADO DE DOS DE MAYO, DISTRITO DE INAMBARI ¿ PROVINCIA DE TAMBOPATA ¿ REGION MADRE DE DIOS¿, META 0018.</t>
  </si>
  <si>
    <t>SIE-SIE-24-2020-GOREMAD/OEC-1</t>
  </si>
  <si>
    <t>ADQUISICION DE AGREGADOS, PARA EL PLAN DE CONTINGENCIA: ¿MEJORAMIENTO DEL SERVICIO INSTITUCIONAL DE LA SEDE CENTRAL Y DIRECCIONES REGIONALES DEL GOBIERNO REGIONAL DE MADRE DE DIOS DISTRITO Y PROVINCIA DE TAMBOPATA, REGION MADRE DE DIOS.¿. META 156</t>
  </si>
  <si>
    <t>SIE-SIE-19-2020-GOREMAD/OEC-2</t>
  </si>
  <si>
    <t>ADQUISICION DE VARILLA DE ACERO CORRUGADO, PARA LA OBRA: "MEJORAMIENTO DEL SERVICIO EDUCATIVO DEL NIVEL SECUNDARIO EN LA I.E. 52072 EN EL CENTRO POBLADO DE DOS DE MAYO, DISTRITO DE INAMBARI, PROVINCIA DE TAMBOPATA, REGION MADRE DE DIOS"</t>
  </si>
  <si>
    <t>SIE-SIE-22-2020-GOREMAD/OEC-2</t>
  </si>
  <si>
    <t>ADQUISICION DE CONCRETO PRE MEZCLADO  FC 280 KG/CM2, PARA LA OBRA: "MEJORAMIENTO VIAL DE LA AV. ALAMEDA DE LA CULTURA DE LA CIUDAD DE PUERTO MALDONADO, DISTRITO Y PROVINCIA DE TAMBOPATA, REGION MADRE DE DIOS".</t>
  </si>
  <si>
    <t>SIE-SIE-21-2020-GOREMAD/OEC-2</t>
  </si>
  <si>
    <t>ADQUISICIÓN DE PLANCHAS DE FIBROCEMENTO Y ACCESORIO, PARA LA OBRA: ¿MEJORAMIENTO DEL SERVICIO INSTITUCIONAL DE LA SEDE CENTRAL Y DIRECCIONES REGIONALES DEL GOBIERNO REGIONAL DE MADRE DE DIOS  - DISTRITO DE TAMBOPATA ¿ PROVINCIA DE TAMBOPATA ¿ REGION MADRE DE DIOS¿ META 156</t>
  </si>
  <si>
    <t>AS-SM-19-2020-GOREMAD/OEC-1</t>
  </si>
  <si>
    <t>ADQUISICION DE PIEDRA CHANCADA 1/2, PARA LA OBRA: "MEJORAMIENTO DEL SERVICIO INSTITUCIONAL DE LA SEDE CENTRAL Y DIRECCIONES REGIONALES DEL GOBIERNO REGIONAL DE MADRE DE DIOS DISTRITO Y PROVINCIA DE TAMBOPATA, REGION MADRE DE DIOS".</t>
  </si>
  <si>
    <t>AS-SM-2-2020-GOREMAD/OEC-1</t>
  </si>
  <si>
    <t>ADQUISICIÓN DE POSTES DE 9 METROS DE CONCRETO ARMADO CENTRIFUGADO, PARA LA OBRA: ¿MEJORAMIENTO VIAL DE LA AV. ALAMEDA DE LA CULTURA DE LA CIUDAD DE PUERTO MALDONADO -  DISTRITO DE TAMBOPATA ¿ PROVINCIA DE TAMBOPATA ¿ REGION DE MADRE DE DIOS¿, META 064.</t>
  </si>
  <si>
    <t>AS-SM-18-2020-GOREMAD/OEC-1</t>
  </si>
  <si>
    <t>ADQUISICIÓN DE MADERA MISA, OBRA: ¿MEJORAMIENTO VIAL DE LA AV. ALAMEDA DE LA CULTURA DE LA CIUDAD DE PUERTO MALDONADO - DISTRITO DE TAMBOPATA ¿ PROVINCIA DE TAMBOPATA ¿ REGION DE MADRE DE DIOS¿, META 064.</t>
  </si>
  <si>
    <t>AS-SM-15-2020-GOREMAD/OEC-1</t>
  </si>
  <si>
    <t>ADQUISICIÓN DE CEMENTO PORTLAND TIPO IP X 42.50 KG.OBRA¿MEJORAMIENTO DEL SERVICIO INSTITUCIONAL DE LA SEDE CENTRAL Y DIRECCIONES REGIONALES DEL GOBIERNO REGIONAL DE MADRE DE DIOS, DISTRITO DE TAMBOPATA ¿ PROVINCIA DE TAMBOPATA -  REGION MADRE DE DIOS¿, META 156.</t>
  </si>
  <si>
    <t>SIE-SIE-15-2020-GOREMAD/OEC.-1</t>
  </si>
  <si>
    <t>ADQUISICIÓN DE CEMENTO PORTLAND PUZOLANICO TIPO IP X 42.50 KG, OBRA: ¿INSTALACIÓN DEL SERVICIO EDUCATIVO INICIAL EN LA I.E.I. Nº 399- EL AGUAJAL EN LA LOCALIDAD DE LA JOYA, DISTRITO DE TAMBOPATA ¿ PROVINCIA DE TAMBOPATA ¿ REGION MADRE DE DIOS¿, META 0161</t>
  </si>
  <si>
    <t>SIE-SIE-23-2020-GOREMAD/OEC-1</t>
  </si>
  <si>
    <t>AS-SM-6-2020-GOREMAD/OEC-1</t>
  </si>
  <si>
    <t>SIE-SIE-22-2020-GOREMAD/OEC-1</t>
  </si>
  <si>
    <t>SIE-SIE-21-2020-GOREMAD/OEC-1</t>
  </si>
  <si>
    <t>ADQUISICIÓN DE MADERA PARA LA OBRA: MEJORAMIENTO Y AMPLIACIÓN DEL SERVICIO EDUCATIVO EN LOS NIVELES DE PRIMARIA Y SECUNDARIA DE LA I.E.B.R. N 52194 CAP. PNP. ALIPIO PONCE VASQUEz, DISTRITO DE TAMBOPATA, PROVINCIA DE TAMBOPATA, REGION DE MADRE DE DIOS</t>
  </si>
  <si>
    <t>AS-SM-5-2020-GOREMAD/OEC-1</t>
  </si>
  <si>
    <t>ADQUISICION DE ALAMBRE DE ACERO NEGRO RECOCIDO, PARA LA OBRA: MEJORAMIENTO DEL SERVICIO EDUCATIVO DEL NIVEL SECUNDARIO EN LA IE 52072 EN EL CENTRO POBLADO DE DOS DE MAYO, DISTRITO DE INAMBARI, PROVINCIA DE TAMBOPATA, REGION DE MADRE DE DIOS.</t>
  </si>
  <si>
    <t>SIE-SIE-20-2020-GOREMAD/OEC-1</t>
  </si>
  <si>
    <t>ADQUISICION DE AGREGADOS, PARA LA OBRA: MEJORAMIENTO Y AMPLIACION DEL SERVICIO EDUCATIVO EN LOS NIVELES DE PRIMARIA Y SECUNDARIA DE LA I.E.B.R. N 52194 CAP. PNP. ALIPIO PONCE VASQUEZ - DISTRITO TAMBOPATA - PROVINCIA DE TAMBOPATA, REGION DE MADRE DE DIOS - META 021</t>
  </si>
  <si>
    <t>SIE-SIE-18-2020-GOREMAD/OEC-1</t>
  </si>
  <si>
    <t>SIE-SIE-19-2020-GOREMAD/OEC-1</t>
  </si>
  <si>
    <t>ADQUISICION DE CEMENTO PORTLAND TIPO IP X 42.5 KG, PARA EL PLAN DE CONTINGENCIA: "MEJORAMIENTO DEL SERVICIO INSTITUCIONAL DE LA SEDE CENTRAL Y DIRECCIONES REGIONALES DEL GOBIERNO REGIONAL DE MADRE DE DIOS DISTRITO Y PROVINCIA DE TAMBOPATA, REGION MADRE DE DIOS".</t>
  </si>
  <si>
    <t>SIE-SIE-15-2020-GOREMAD/OEC-1</t>
  </si>
  <si>
    <t>ADQUISICIÓN BARRA PARA CONSTRUCCIÓN - GRADO 60, PARA LA OBRA: MEJORAMIENTO DEL SERVICIO INSTITUCIONAL DE LA SEDE CENTRAL Y DIRECCIONES REGIONALES DEL GOBIERNO REGIONAL DE MADRE DE DIOS, DISTRITO Y PROVINCIA DE TAMBOPATA, REGION MADRE DE DIOS" - META 156</t>
  </si>
  <si>
    <t>SIE-SIE-14-2020-GOREMAD/OEC-1</t>
  </si>
  <si>
    <t>ADQUISICION DE CEMENTO PORTLAND TIPO IP X 42.5 KG, PARA LA OBRA: MEJORAMIENTO DEL SERVICIO EDUCATIVO DEL NIVEL SECUNDARIO EN LA IE 52070 EN EL CENTRO POBLADO DE DOS DE MAYO, DISTRITO DE INAMBARI, PROVINCIA DE TAMBOPATA, REGION DE MADRE DE DIOS. META 18</t>
  </si>
  <si>
    <t>SIE-SIE-17-2020-GOREMAD/OEC-1</t>
  </si>
  <si>
    <t>ADQUISICION DE VARILLA DE FIERRO CORRUGADO, PARA LA OBRA: MEJORAMIENTO VIAL DE LA AV. ALAMEDA DE LA CULTURA DE LA CIUDAD DE PUERTO MALDONADO, DISTRITO Y PROVINCIA DE TAMBOPATA, REGION MADRE DE DIOS</t>
  </si>
  <si>
    <t>SIE-SIE-11-2020-GOREMAD/OEC-1</t>
  </si>
  <si>
    <t>ADQUISICION DE CEMENTO PORTLAND TIPO IP (42.5KG), PARA LA OBRA: MEJORAMIENTO Y AMPLIACION DEL SERVICIO EDUCATIVO EN LOS NIVELES DE PRIMARIA Y SECUNDARIA DE LA I.E.B.R. N 52194 CAP. PNP. ALIPIO PONCE VASQUE, DISTRITO DE TAMBOPATA, PROVINCIA DE TAMBOPATA, REGION DE MADRE DE DIOS</t>
  </si>
  <si>
    <t>SIE-SIE-16-2020-GOREMAD/OEC-1</t>
  </si>
  <si>
    <t>ADQUISICION DE MATERIAL GRANULAR PARA BASE TIPO B, PARA LA OBRA: MEJORAMIENTO VIAL DE LA AV. ALAMEDA DE LA CULTURA DE LA CIUDAD DE PUERTO MALDONADO, DISTRITO Y PROVINCIA DE TAMBOPATA, REGION MADRE DE DIOS</t>
  </si>
  <si>
    <t>SIE-SIE-10-2020-GOREMAD/OEC-1</t>
  </si>
  <si>
    <t>ADQUISICION DE CEMENTO PORTLAND TIPO I (42.5KG), PARA LA OBRA: MEJORAMIENTO DE LOS SERVICIOS DE EDUCACION PRIMARIA EN LA I.E. N 52114 Y SECUNDARIA EN LA I.E.B.R. ALTO LIBERTAD DEL CENTRO POBLADO ALTO LIBERTAD, DISTRITO INAMBARI, PRROVINCIA DE TAMBOPATA, MADRE DE DIOS.</t>
  </si>
  <si>
    <t>SIE-SIE-13-2020-GOREMAD/OEC-1</t>
  </si>
  <si>
    <t>ADQUISICION DE ACERO CORRUGADO, PARA LA OBRA: MEJORAMIENTO DE LOS SERVICIOS DE EDUCACION PRIMARIA EN LA I.E. N 52114 Y SECUNDARIA EN LA I.E.B.R. ALTO LIBERTAD DEL CENTRO POBLADO ALTO LIBERTAD, DISTRITO INAMBARI, PRROVINCIA DE TAMBOPATA, MADRE DE DIOS.</t>
  </si>
  <si>
    <t>SIE-SIE-12-2020-GOREMAD/OEC-1</t>
  </si>
  <si>
    <t>ADQUISICION DE CEMENTO PORTLAND TIPO IP X 42.5 KG, PARA OBRA: CONSTRUCCION DE LOSA MULTIDEPORTIVA EN LA ASOCIACION DE VIVIENDA TAMBOPATA - CANDAMO EN LA CIUDAD DE PUERTO MALDONADO, DISTRITO Y PROVINCIA DE TAMBOPATA, REGION MADRE DE DIOS. META 14</t>
  </si>
  <si>
    <t>SIE-SIE-9-2020-GOREMAD/OEC-1</t>
  </si>
  <si>
    <t>CEMENTO PORTLAND TIPO IP X 42.5 KG, PARA LA OBRA: "CONSTRUCCION DE LOSA MULTIDEPORTIVA EN LA ASOCIACION DE VIVIENDA TTIO ACOMAYO EN LA CIUDAD DE PUERTO MALDONADO, DISTRITO Y PROVINCIA DE TAMBOPATA, REGION MADRE DE DIOS".</t>
  </si>
  <si>
    <t>SIE-SIE-8-2020-GOREMAD/OEC-1</t>
  </si>
  <si>
    <t>ADQUISICION DE AGREGADOS, PARA LA OBRA: MEJORAMIENTO VIAL DE LA AV. ALAMEDA DE LA CULTURA DE LA CIUDAD DE PUERTO MALDONADO, DISTRITO Y PROVINCIA DE TAMBOPATA, REGION MADRE DE DIOS</t>
  </si>
  <si>
    <t>SIE-SIE-7-2020-GOREMAD/OEC-1</t>
  </si>
  <si>
    <t>ADQUISICION CEMENTO PORTLAND PUZOLANICO TIPO IP X 42.5 kg, PARA LA OBRA: "MEJORAMIENTO VIAL DE LA AV. ALAMEDA DE LA CULTURA DE LA CIUDAD DE PUERTO MALDONADO, DISTRITO Y PROVINCIA DE TAMBOPATA, REGION MADRE DE DIOS" META 64.</t>
  </si>
  <si>
    <t>SIE-SIE-6-2020-GOREMAD/OEC-1</t>
  </si>
  <si>
    <t>ADQUISICIÓN DE VARILLAS DE ACERO CORRUGADO FY=4200 KG/CM2 GRADO 60X9M PARA LA OBRA: MEJORAMIENTO Y AMPLIACION DEL SERVICIO EDUCATIVO EN LOS NIVELES DE PRIMARIA Y SECUNDARIA DE LA I.E.B.R. N 52194 CAP. PNP. ALIPIO PONCE VASQUE, DISTRITO DE TAMBOPATA, PROVINCIA DE TAMBOPATA, REGION DE MADRE DE DIOS</t>
  </si>
  <si>
    <t>SIE-SIE-4-2020-GOREMAD/OEC-1</t>
  </si>
  <si>
    <t>ADQUISICION DE CEMENTO PORTLAND TIPO IP X 42.5 KG, PARA LA OBRA: CONSTRUCCION DE LOSA MULTIDEPORTIVA EN EL ASENTAMIENTO HUMANO: SANTA MARIA EN LA CIUDAD DE PUERTO MALDONADO, DISTRITO Y PROVINCIA DE TAMBOPATA, REGION MADRE DE DIOS</t>
  </si>
  <si>
    <t>SIE-SIE-5-2020-GOREMAD/OEC-1</t>
  </si>
  <si>
    <t>ADQUISICION DE CEMENTO PORTLAND TIPO IP X 42.5 KG , PARA LA OBRA: MEJORAMIENTO DE LA TRANSITABILIDAD VEHICULAR Y PEATONAL DE LA CALLE TRES PIRAMIDES DE LAS URBANIZACION TRES PIRAMIDES DE LA CIUDAD DE PUERTO MALDONADO, DISTRITO Y PROVINCIA DE TAMBOPATA, REGION MADRE DE DIOS</t>
  </si>
  <si>
    <t>SIE-SIE-3-2020-GOREMAD/OEC-1</t>
  </si>
  <si>
    <t>ADQUISICION DE CEMENTO PORTLAND PUZOLANICO TIPO IP X 42.5 kg, PARA  LA OBRA: MEJORAMIENTO VIAL Y DRENAJE PLUVIAL DEL JIRON JAIME TRONCOSO DE LA CIUDAD DE PUERTO MALDONADO, PROVINCIA DE TAMBOPATA, MADRE DE DIOS</t>
  </si>
  <si>
    <t>SIE-SIE-2-2020-GOREMAD/OEC-1</t>
  </si>
  <si>
    <t>ADQUISICION DE FIBRA DE ACERO PARA REFUERZO DE CONCRETO, PARA LA OBRA: "MEJORAMIENTO VIAL Y DRENAJE PLUVIAL DEL JR. JAIME TRONCOSO DE LA CIUDAD DE PUERTO MALDONADO, DISTRITO Y PROVINCIA DE TAMBOPATA, REGION MADRE DE DIOS"</t>
  </si>
  <si>
    <t>AS-SM-1-2020-GOREMAD/OEC-1</t>
  </si>
  <si>
    <t>ADQUISICION DE VARILLA DE ACERO, PARA LA OBRA: MEJORAMIENTO VIAL Y DRENAJE PLUVIAL DEL JIRON JAIME TRONCOSO DE LA CIUDAD DE PUERTO MALDONADO, PROVINCIA DE TAMBOPATA, MADRE DE DIOS</t>
  </si>
  <si>
    <t>SIE-SIE-1-2020-GOREMAD/OEC-1</t>
  </si>
  <si>
    <t>SERVICIO DE SUMINISTRO, CONFECCIÓN E INSTALACIÓN DE TIJERALES, CORREAS Y TENSORES METÁLICOS A TODO COSTO, PARA LA OBRA: MEJORAMIENTO DEL SERVICIO INSTITUCIONAL DE LA SEDE CENTRAL Y DIRECCIONES REGIONALES DEL GOBIERNO REGIONAL DE MADRE DE DIOS DISTRITO Y PROVINCIA DE TAMBOPATA, REGION MADRE DE DIOS</t>
  </si>
  <si>
    <t>AS-SM-4-2020-GOREMAD/OEC-2</t>
  </si>
  <si>
    <t>SERVICIO DE CONFECCION E INSTALACION DE VENTANA DE ALUMINIO CON VIDRIO LAMINADO,  PARA LA OBRA: CREACIÓN DE LOS SERVICIOS EDUCATIVOS EN LA I.E.I N 423 EN LA URBANIZACION ARTURO Y OLGA, DISTRITO  Y PROVINCIA DE TAMBOPATA, REGION MADRE DE DIOS.</t>
  </si>
  <si>
    <t>AS-SM-35-2020-GOREMAD/OEC-1</t>
  </si>
  <si>
    <t>SERVICIO DE SUMINISTRO E INSTALACIÓN DE TAPASOL DE ALUMINIO TIPO PERSIANAS PARA LA OBRA: ¿MEJORAMIENTO DE LA INFRAESTRUCTURA Y EQUIPAMIENTO DE LA I.E.I. Nº 295 LAS PALMERAS ¿AAHH LAS PALMERAS ¿ PUERTO MALDONADO ¿PROVINCIA DE TAMBOPATA ¿ REGION MADRE DE DIOS¿. META 0015.</t>
  </si>
  <si>
    <t>AS-SM-3-2020-GOREMAD/OEC-3</t>
  </si>
  <si>
    <t>AS-SM-3-2020-GOREMAD/OEC-2</t>
  </si>
  <si>
    <t>CONTRATACIÓN DEL SERVICIO DE SUMINISTRO E INSTALACIÓN DE VENTANAS DE VIDRIO LAMINADO DE 6MM, CON MARCOS DE ALUMINIO A TODO COSTO, INCLUYE MANO DE OBRA,EPP,HERRAMIENTAS Y EQUIPOS, PARA LA OBRA; ¿MEJORAMIENTO DEL SERVICIO INSTITUCIONAL DE LA SEDE CENTRAL Y DIRECCIONES REGIONALES DEL GOBIERNO REGIONAL</t>
  </si>
  <si>
    <t>AS-SM-22-2020-GOREMAD/OEC-1</t>
  </si>
  <si>
    <t>CONTRATACIÓN DEL SERVICIO DE ALQUILER DE RETROEXCAVADORA DE  94 HP, OBRA: ¿MEJORAMIENTO VIAL DE LA AV. ALAMEDA DE LA CULTURA DE LA CIUDAD DE PUERTO MALDONADO - DISTRITO DE TAMBOPATA ¿ PROVINCIA DE TAMBOPATA ¿ REGION DE MADRE DE DIOS¿ META 064.</t>
  </si>
  <si>
    <t>AS-SM-12-2020-GOREMAD/OEC-1</t>
  </si>
  <si>
    <t>AS-SM-4-2020-GOREMAD/OEC-1</t>
  </si>
  <si>
    <t>AS-SM-3-2020-GOREMAD/OEC-1</t>
  </si>
  <si>
    <t>AS- ADJUDICACION SIMPLIFICADA</t>
  </si>
  <si>
    <t xml:space="preserve">SIE- SUBASTA INVERSA ELECTRONICA </t>
  </si>
  <si>
    <t>CONG HNAS MISIONER DOM DEL R PROV STO T.</t>
  </si>
  <si>
    <t>PROPIO</t>
  </si>
  <si>
    <t xml:space="preserve">01 AÑO </t>
  </si>
  <si>
    <t>MENSUAL</t>
  </si>
  <si>
    <t>GOBIERNO REGIONAL DE MADRE DE DIOS</t>
  </si>
  <si>
    <t>OES 02. Garantizar el acceso a cuidados y servicios de salud de calidad organizados en redes integradas de salud centrada en la persona, familia y comunidad; con enfasis en la promocion de la salud y la prevencion de la enfermedad</t>
  </si>
  <si>
    <t>Mejorar la calidad de los servicios integrales de salud para la población</t>
  </si>
  <si>
    <t xml:space="preserve">Porcentaje de menores de 5 años con desnutrición crónica </t>
  </si>
  <si>
    <t>8.4% (año 2019)</t>
  </si>
  <si>
    <t>DIRESA</t>
  </si>
  <si>
    <t xml:space="preserve">Tasa de mortalidad materna </t>
  </si>
  <si>
    <t>132.6 (año 2019)*100000 hb</t>
  </si>
  <si>
    <t>OES 01. Fortalecer el desarrollo de 
aprendizajes de calidad según el 
Currículo Nacional para 
estudiantes de Educación Básica</t>
  </si>
  <si>
    <t>Mejorar el servicio educativo a los estudiantes</t>
  </si>
  <si>
    <t>Porcentaje de estudiantes en el 2° de secundaria con nivel satisfactorio en matemática</t>
  </si>
  <si>
    <t>6.7% año (2019)</t>
  </si>
  <si>
    <t>DRE</t>
  </si>
  <si>
    <t>Porcentaje de estudiantes en el 2° de secundaria con nivel satisfactorio en comprensión lectora</t>
  </si>
  <si>
    <t>7.1% (año 2019)</t>
  </si>
  <si>
    <t>OES 01 y 02 Incrementar el acceso a 
los servicios de 
saneamiento, sostenibles 
y de calidad, de la 
población del ámbito 
urbano y rural</t>
  </si>
  <si>
    <t>Ampliar la cobertura de los servicios básicos a la población</t>
  </si>
  <si>
    <t>Porcentaje de población que vive en hogares con acceso a servicios básicos</t>
  </si>
  <si>
    <t>13% (año 2019)</t>
  </si>
  <si>
    <t>DRVCS</t>
  </si>
  <si>
    <t>OES 04. Fortalecer el cumplimiento de las funciones de 
las familias en situación de vulnerabilidad y riesgo 
social</t>
  </si>
  <si>
    <t>Promover el desarrollo e inclusión social en la población vulnerable</t>
  </si>
  <si>
    <t>Porcentaje de la población vulnerable satisfecha con la asistencia social</t>
  </si>
  <si>
    <t>8.3 (año 2019)</t>
  </si>
  <si>
    <t>GRDS</t>
  </si>
  <si>
    <t>OES 04. Facilitar las condiciones para
que las entidades públicas
mejoren su gestión, a fin de
que ejerzan sus funciones de
regulación o presten servicios
de calidad en beneficio de la
ciudadanía.</t>
  </si>
  <si>
    <t>Fortalecer la gestión pública institucional</t>
  </si>
  <si>
    <t>Porcentaje de ciudadanos que manifiestan su satisfacción por los servicios que brinda el Gore de Madre de Dios</t>
  </si>
  <si>
    <t>24.8 (año 2019)</t>
  </si>
  <si>
    <t>SGDIEI</t>
  </si>
  <si>
    <t>OES 05. Mejorar el acceso a los mercados de las 
MIPYME y modalidades asociativas.</t>
  </si>
  <si>
    <t>Mejorar los niveles de competitividad y empleo de los agentes económicos</t>
  </si>
  <si>
    <t>Índice de Competitividad Regional</t>
  </si>
  <si>
    <t>5 (año 2019)</t>
  </si>
  <si>
    <t>GRDE</t>
  </si>
  <si>
    <t xml:space="preserve">OES 02. Gestionar la provisión de servicios de transporte 
con niveles adecuados de calidad y competitividad 
para satisfacer las necesidades de los usuarios.
</t>
  </si>
  <si>
    <t>Mejorar la infraestructura vial y el nivel de conectividad departamental</t>
  </si>
  <si>
    <t>Porcentaje de kilómetros de red vial departamental pavimentada</t>
  </si>
  <si>
    <t>1.1 (año 2019)</t>
  </si>
  <si>
    <t>DRTC</t>
  </si>
  <si>
    <t>OES 01. Mejorar la gestión 
sostenible y la 
conservación de la 
diversidad biológica y 
los servicios 
ecosistémicos con 
énfasis en la puesta en 
valor del capital natural 
bajo un enfoque de 
gestión integral del 
territorio</t>
  </si>
  <si>
    <t>Mejorar el aprovechamiento sostenible de los recursos naturales</t>
  </si>
  <si>
    <t>Porcentaje de ecosistemas conservados en Áreas Naturales Protegidas</t>
  </si>
  <si>
    <t>17.3 (AÑO 2019)</t>
  </si>
  <si>
    <t>GRRNYGMA</t>
  </si>
  <si>
    <t>OES 01. Fortalecer la capacidad de gestion reactiva de los miembros del SINAGERD</t>
  </si>
  <si>
    <t>Promover la gestión de riesgos de desastres naturales y antrópicos</t>
  </si>
  <si>
    <t>Porcentaje de entidades públicas acondicionadas para prevención del riesgo y atención de emergencias o desastres</t>
  </si>
  <si>
    <t>15 (año 2019)</t>
  </si>
  <si>
    <t>ODNYDC</t>
  </si>
  <si>
    <t>DIRESA: Direccion regional de salud</t>
  </si>
  <si>
    <t>DRE   : Direccion regional de educacion</t>
  </si>
  <si>
    <t>DRVCS: Direccion regional de vivienda construccion y saneamiento</t>
  </si>
  <si>
    <t>GRDS:  Gerencia regional de desarrollo social</t>
  </si>
  <si>
    <t>SGDIEI: Sub gerencia de desarrollo institucional e informatica</t>
  </si>
  <si>
    <t>GRDE:  Gerencia regional de desarrollo economico</t>
  </si>
  <si>
    <t>DRTC  : Direccion regional de transportes y comunicaciones</t>
  </si>
  <si>
    <t>GRRNYGMA: Gerencia regional de recursos naturales y gestion del medio ambiente</t>
  </si>
  <si>
    <t>ODNYDC  : Oficina de defensa nacional y defensa civil</t>
  </si>
  <si>
    <t>F-7</t>
  </si>
  <si>
    <t>F-6</t>
  </si>
  <si>
    <t>F-5</t>
  </si>
  <si>
    <t>F-4</t>
  </si>
  <si>
    <t>F-3</t>
  </si>
  <si>
    <t>F-2</t>
  </si>
  <si>
    <t>SPB</t>
  </si>
  <si>
    <t>SPC</t>
  </si>
  <si>
    <t>SPD</t>
  </si>
  <si>
    <t>SPF</t>
  </si>
  <si>
    <t>STB</t>
  </si>
  <si>
    <t>STC</t>
  </si>
  <si>
    <t>STD</t>
  </si>
  <si>
    <t>STF</t>
  </si>
  <si>
    <t>SAB</t>
  </si>
  <si>
    <t>SAD</t>
  </si>
  <si>
    <t>ASISTENCIALES</t>
  </si>
  <si>
    <t>CARRERAS ESPECIALES</t>
  </si>
  <si>
    <t>PROFESIONALES DE LA SALUD</t>
  </si>
  <si>
    <t>MC-5</t>
  </si>
  <si>
    <t>MC-4</t>
  </si>
  <si>
    <t>MC-3</t>
  </si>
  <si>
    <t>MC-2</t>
  </si>
  <si>
    <t>MC-1</t>
  </si>
  <si>
    <t>CD-V</t>
  </si>
  <si>
    <t>CD-III</t>
  </si>
  <si>
    <t>CD-I</t>
  </si>
  <si>
    <t>ENF-14</t>
  </si>
  <si>
    <t>ENF-13</t>
  </si>
  <si>
    <t>ENF-12</t>
  </si>
  <si>
    <t>ENF-11</t>
  </si>
  <si>
    <t>ENF-10</t>
  </si>
  <si>
    <t>OBS-V</t>
  </si>
  <si>
    <t>OBS-IV</t>
  </si>
  <si>
    <t>OBS-III.</t>
  </si>
  <si>
    <t>OBS-II</t>
  </si>
  <si>
    <t>OBS-I</t>
  </si>
  <si>
    <t>TM-3</t>
  </si>
  <si>
    <t>TM-2</t>
  </si>
  <si>
    <t>TM-1</t>
  </si>
  <si>
    <t>PS-VIII</t>
  </si>
  <si>
    <t>PS-IV</t>
  </si>
  <si>
    <t>OPS-VIII</t>
  </si>
  <si>
    <t>OPS-VII</t>
  </si>
  <si>
    <t>OPS-VI</t>
  </si>
  <si>
    <t>OPS-V</t>
  </si>
  <si>
    <t>OPS-IV</t>
  </si>
  <si>
    <t>G5-V</t>
  </si>
  <si>
    <t>REFORMA MAGISTERIAL</t>
  </si>
  <si>
    <t>VI-40</t>
  </si>
  <si>
    <t>V-40</t>
  </si>
  <si>
    <t>IV-40</t>
  </si>
  <si>
    <t>III-40</t>
  </si>
  <si>
    <t>II-40</t>
  </si>
  <si>
    <t>I-40</t>
  </si>
  <si>
    <t>V-32</t>
  </si>
  <si>
    <t>IV-32</t>
  </si>
  <si>
    <t>III-32</t>
  </si>
  <si>
    <t>II-32</t>
  </si>
  <si>
    <t>I-32</t>
  </si>
  <si>
    <t>VI-30</t>
  </si>
  <si>
    <t>V-30</t>
  </si>
  <si>
    <t>IV-30</t>
  </si>
  <si>
    <t>III-30</t>
  </si>
  <si>
    <t>II-30</t>
  </si>
  <si>
    <t>I-30</t>
  </si>
  <si>
    <t>VII-30</t>
  </si>
  <si>
    <t>VII-40</t>
  </si>
  <si>
    <t>PROFESOR CONTRATADO</t>
  </si>
  <si>
    <t>G-40</t>
  </si>
  <si>
    <t>G-30</t>
  </si>
  <si>
    <t>AUXILIAR DE EDUCACION</t>
  </si>
  <si>
    <t>E-30</t>
  </si>
  <si>
    <t>DOCENTE DE INSTITUTO EDUCACION SUPERIOR</t>
  </si>
  <si>
    <t>REGIMEN PRIVADO</t>
  </si>
  <si>
    <t>FUNCIONARIOS Y DIRECTIVOS</t>
  </si>
  <si>
    <t>D-5</t>
  </si>
  <si>
    <t>D-4</t>
  </si>
  <si>
    <t>P-6</t>
  </si>
  <si>
    <t>P-5</t>
  </si>
  <si>
    <t>P-4</t>
  </si>
  <si>
    <t>P-3</t>
  </si>
  <si>
    <t>P-2</t>
  </si>
  <si>
    <t>P-1</t>
  </si>
  <si>
    <t>T-3</t>
  </si>
  <si>
    <t>T-2</t>
  </si>
  <si>
    <t>A-2</t>
  </si>
  <si>
    <t>A-1</t>
  </si>
  <si>
    <t>OTROS ACTIVOS</t>
  </si>
  <si>
    <t>ACTIVOS</t>
  </si>
  <si>
    <t>SERUM</t>
  </si>
  <si>
    <t>PROF. POR HORA</t>
  </si>
  <si>
    <t xml:space="preserve">CONSEJERO REGIONAL </t>
  </si>
  <si>
    <t>EVENTUAL</t>
  </si>
  <si>
    <t>PALMA MAGISTERIAL</t>
  </si>
  <si>
    <t>PPR</t>
  </si>
  <si>
    <t>UGEL</t>
  </si>
  <si>
    <t>MODALIDAD FORMATIVA</t>
  </si>
  <si>
    <t>PRACTICANTE</t>
  </si>
  <si>
    <t>PROMOTORAS</t>
  </si>
  <si>
    <t>FTE. DE INFORMACION: AIRHSP</t>
  </si>
  <si>
    <t>FTE DE INFORMACION: AIRHSP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</si>
</sst>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280A]d&quot; de &quot;mmmm&quot; de &quot;yyyy;@"/>
  </numFmts>
  <fonts count="25" x14ac:knownFonts="1">
    <font>
      <sz val="10"/>
      <name val="Arial"/>
    </font>
    <font>
      <sz val="10"/>
      <name val="Arial"/>
      <family val="2"/>
    </font>
    <font>
      <sz val="8"/>
      <name val="Arial"/>
      <family val="2"/>
    </font>
    <font>
      <b/>
      <sz val="10"/>
      <name val="Arial"/>
      <family val="2"/>
    </font>
    <font>
      <sz val="10"/>
      <name val="Arial Narrow"/>
      <family val="2"/>
    </font>
    <font>
      <sz val="10"/>
      <name val="Arial"/>
      <family val="2"/>
    </font>
    <font>
      <b/>
      <sz val="8"/>
      <name val="Arial"/>
      <family val="2"/>
    </font>
    <font>
      <sz val="10"/>
      <name val="Courier"/>
      <family val="3"/>
    </font>
    <font>
      <b/>
      <sz val="12"/>
      <name val="Arial"/>
      <family val="2"/>
    </font>
    <font>
      <sz val="9"/>
      <name val="Arial"/>
      <family val="2"/>
    </font>
    <font>
      <b/>
      <sz val="9"/>
      <name val="Arial"/>
      <family val="2"/>
    </font>
    <font>
      <b/>
      <sz val="9"/>
      <color indexed="8"/>
      <name val="Arial"/>
      <family val="2"/>
    </font>
    <font>
      <sz val="9"/>
      <color indexed="32"/>
      <name val="Arial"/>
      <family val="2"/>
    </font>
    <font>
      <sz val="9"/>
      <color indexed="8"/>
      <name val="Arial"/>
      <family val="2"/>
    </font>
    <font>
      <sz val="8"/>
      <color indexed="81"/>
      <name val="Tahoma"/>
      <family val="2"/>
    </font>
    <font>
      <sz val="12"/>
      <name val="Arial"/>
      <family val="2"/>
    </font>
    <font>
      <sz val="8"/>
      <name val="Calibri"/>
      <family val="2"/>
      <scheme val="minor"/>
    </font>
    <font>
      <b/>
      <sz val="8"/>
      <name val="Calibri"/>
      <family val="2"/>
      <scheme val="minor"/>
    </font>
    <font>
      <sz val="8"/>
      <color indexed="8"/>
      <name val="Arial"/>
      <family val="2"/>
    </font>
    <font>
      <b/>
      <u/>
      <sz val="8"/>
      <name val="Arial"/>
      <family val="2"/>
    </font>
    <font>
      <sz val="9"/>
      <name val="Calibri"/>
      <family val="2"/>
      <scheme val="minor"/>
    </font>
    <font>
      <b/>
      <sz val="9"/>
      <name val="Calibri"/>
      <family val="2"/>
      <scheme val="minor"/>
    </font>
    <font>
      <sz val="9"/>
      <name val="Arial Narrow"/>
      <family val="2"/>
    </font>
    <font>
      <b/>
      <sz val="8"/>
      <color indexed="8"/>
      <name val="Arial"/>
      <family val="2"/>
    </font>
    <font>
      <sz val="8"/>
      <color rgb="FF000000"/>
      <name val="Arial"/>
      <family val="2"/>
    </font>
  </fonts>
  <fills count="11">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249977111117893"/>
        <bgColor indexed="64"/>
      </patternFill>
    </fill>
    <fill>
      <patternFill patternType="solid">
        <fgColor theme="9"/>
        <bgColor indexed="64"/>
      </patternFill>
    </fill>
    <fill>
      <patternFill patternType="solid">
        <fgColor rgb="FFFFFFFF"/>
        <bgColor indexed="64"/>
      </patternFill>
    </fill>
    <fill>
      <patternFill patternType="solid">
        <fgColor theme="0" tint="-0.34998626667073579"/>
        <bgColor indexed="64"/>
      </patternFill>
    </fill>
  </fills>
  <borders count="80">
    <border>
      <left/>
      <right/>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ck">
        <color indexed="64"/>
      </bottom>
      <diagonal/>
    </border>
    <border>
      <left style="medium">
        <color indexed="64"/>
      </left>
      <right style="thin">
        <color indexed="64"/>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medium">
        <color indexed="64"/>
      </right>
      <top/>
      <bottom style="thick">
        <color indexed="64"/>
      </bottom>
      <diagonal/>
    </border>
    <border>
      <left style="thin">
        <color indexed="64"/>
      </left>
      <right style="thin">
        <color indexed="64"/>
      </right>
      <top/>
      <bottom style="thick">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s>
  <cellStyleXfs count="6">
    <xf numFmtId="0" fontId="0" fillId="0" borderId="0"/>
    <xf numFmtId="0" fontId="4" fillId="0" borderId="0"/>
    <xf numFmtId="0" fontId="4" fillId="0" borderId="0"/>
    <xf numFmtId="49" fontId="7" fillId="0" borderId="0"/>
    <xf numFmtId="0" fontId="1" fillId="0" borderId="0"/>
    <xf numFmtId="43" fontId="1" fillId="0" borderId="0" applyFont="0" applyFill="0" applyBorder="0" applyAlignment="0" applyProtection="0"/>
  </cellStyleXfs>
  <cellXfs count="666">
    <xf numFmtId="0" fontId="0" fillId="0" borderId="0" xfId="0"/>
    <xf numFmtId="0" fontId="9" fillId="0" borderId="0" xfId="2" applyFont="1" applyFill="1" applyBorder="1" applyAlignment="1">
      <alignment horizontal="left" vertical="center"/>
    </xf>
    <xf numFmtId="0" fontId="10" fillId="0" borderId="0" xfId="2" applyFont="1" applyFill="1" applyBorder="1" applyAlignment="1">
      <alignment vertical="center"/>
    </xf>
    <xf numFmtId="0" fontId="9" fillId="0" borderId="0" xfId="0" applyFont="1"/>
    <xf numFmtId="0" fontId="9" fillId="0" borderId="3" xfId="0" applyFont="1" applyBorder="1"/>
    <xf numFmtId="0" fontId="9" fillId="0" borderId="0" xfId="0" applyFont="1" applyFill="1"/>
    <xf numFmtId="0" fontId="10" fillId="0" borderId="0" xfId="0" applyFont="1" applyFill="1" applyAlignment="1">
      <alignment horizontal="center"/>
    </xf>
    <xf numFmtId="0" fontId="9" fillId="0" borderId="8" xfId="0" applyFont="1" applyBorder="1"/>
    <xf numFmtId="0" fontId="9" fillId="0" borderId="0" xfId="0" applyFont="1" applyBorder="1"/>
    <xf numFmtId="49" fontId="9" fillId="0" borderId="0" xfId="3" applyFont="1" applyAlignment="1">
      <alignment vertical="center"/>
    </xf>
    <xf numFmtId="0" fontId="9" fillId="0" borderId="13" xfId="0" applyFont="1" applyBorder="1"/>
    <xf numFmtId="0" fontId="9" fillId="0" borderId="45" xfId="0" applyFont="1" applyBorder="1"/>
    <xf numFmtId="0" fontId="9" fillId="0" borderId="46" xfId="0" applyFont="1" applyBorder="1"/>
    <xf numFmtId="0" fontId="10" fillId="0" borderId="0" xfId="0" applyFont="1"/>
    <xf numFmtId="0" fontId="9" fillId="0" borderId="14" xfId="0" applyFont="1" applyBorder="1"/>
    <xf numFmtId="0" fontId="9" fillId="0" borderId="4" xfId="0" applyFont="1" applyBorder="1"/>
    <xf numFmtId="0" fontId="9" fillId="0" borderId="18" xfId="0" applyFont="1" applyBorder="1"/>
    <xf numFmtId="49" fontId="12" fillId="0" borderId="0" xfId="1" quotePrefix="1" applyNumberFormat="1" applyFont="1" applyFill="1" applyAlignment="1">
      <alignment horizontal="left" vertical="center"/>
    </xf>
    <xf numFmtId="49" fontId="9" fillId="0" borderId="0" xfId="1" applyNumberFormat="1" applyFont="1" applyFill="1" applyAlignment="1">
      <alignment horizontal="left" vertical="center"/>
    </xf>
    <xf numFmtId="0" fontId="9" fillId="0" borderId="6" xfId="0" applyFont="1" applyBorder="1"/>
    <xf numFmtId="49" fontId="9" fillId="0" borderId="3" xfId="0" applyNumberFormat="1" applyFont="1" applyBorder="1" applyAlignment="1">
      <alignment horizontal="left"/>
    </xf>
    <xf numFmtId="0" fontId="9" fillId="0" borderId="7" xfId="0" applyFont="1" applyBorder="1" applyAlignment="1">
      <alignment horizontal="right"/>
    </xf>
    <xf numFmtId="0" fontId="9" fillId="0" borderId="3" xfId="0" applyFont="1" applyBorder="1" applyAlignment="1">
      <alignment horizontal="center"/>
    </xf>
    <xf numFmtId="0" fontId="9" fillId="0" borderId="0" xfId="2" applyFont="1" applyAlignment="1">
      <alignment vertical="center"/>
    </xf>
    <xf numFmtId="0" fontId="10" fillId="0" borderId="0" xfId="2" applyFont="1" applyFill="1" applyBorder="1" applyAlignment="1">
      <alignment horizontal="center" vertical="center"/>
    </xf>
    <xf numFmtId="0" fontId="9" fillId="0" borderId="0" xfId="2" applyFont="1" applyBorder="1" applyAlignment="1">
      <alignment vertical="center"/>
    </xf>
    <xf numFmtId="0" fontId="10" fillId="2" borderId="19" xfId="2" applyFont="1" applyFill="1" applyBorder="1" applyAlignment="1">
      <alignment horizontal="center" vertical="center"/>
    </xf>
    <xf numFmtId="0" fontId="9" fillId="0" borderId="14" xfId="2" applyFont="1" applyBorder="1" applyAlignment="1">
      <alignment horizontal="center" vertical="center"/>
    </xf>
    <xf numFmtId="0" fontId="10" fillId="2" borderId="14" xfId="2" applyFont="1" applyFill="1" applyBorder="1" applyAlignment="1">
      <alignment horizontal="center" vertical="center"/>
    </xf>
    <xf numFmtId="0" fontId="9" fillId="0" borderId="58" xfId="2" applyFont="1" applyBorder="1" applyAlignment="1">
      <alignment vertical="center"/>
    </xf>
    <xf numFmtId="0" fontId="9" fillId="0" borderId="4" xfId="2" applyFont="1" applyBorder="1" applyAlignment="1">
      <alignment vertical="center"/>
    </xf>
    <xf numFmtId="0" fontId="9" fillId="0" borderId="57" xfId="2" applyFont="1" applyBorder="1" applyAlignment="1">
      <alignment vertical="center"/>
    </xf>
    <xf numFmtId="0" fontId="10" fillId="2" borderId="5" xfId="2" applyFont="1" applyFill="1" applyBorder="1" applyAlignment="1">
      <alignment horizontal="center" vertical="center"/>
    </xf>
    <xf numFmtId="0" fontId="10" fillId="2" borderId="43" xfId="2" applyFont="1" applyFill="1" applyBorder="1" applyAlignment="1">
      <alignment vertical="center"/>
    </xf>
    <xf numFmtId="0" fontId="10" fillId="2" borderId="20" xfId="2" applyFont="1" applyFill="1" applyBorder="1" applyAlignment="1">
      <alignment vertical="center"/>
    </xf>
    <xf numFmtId="0" fontId="10" fillId="2" borderId="18" xfId="2" applyFont="1" applyFill="1" applyBorder="1" applyAlignment="1">
      <alignment vertical="center"/>
    </xf>
    <xf numFmtId="0" fontId="10" fillId="2" borderId="44" xfId="2" applyFont="1" applyFill="1" applyBorder="1" applyAlignment="1">
      <alignment vertical="center"/>
    </xf>
    <xf numFmtId="0" fontId="10" fillId="0" borderId="57" xfId="2" applyFont="1" applyFill="1" applyBorder="1" applyAlignment="1">
      <alignment vertical="center"/>
    </xf>
    <xf numFmtId="0" fontId="10" fillId="2" borderId="5" xfId="2" applyFont="1" applyFill="1" applyBorder="1" applyAlignment="1">
      <alignment vertical="center"/>
    </xf>
    <xf numFmtId="0" fontId="9" fillId="0" borderId="14" xfId="2" applyFont="1" applyFill="1" applyBorder="1" applyAlignment="1">
      <alignment horizontal="left" vertical="center"/>
    </xf>
    <xf numFmtId="0" fontId="9" fillId="0" borderId="12" xfId="0" applyFont="1" applyBorder="1"/>
    <xf numFmtId="0" fontId="9" fillId="0" borderId="11" xfId="0" applyFont="1" applyBorder="1"/>
    <xf numFmtId="0" fontId="10" fillId="2" borderId="7" xfId="2" applyFont="1" applyFill="1" applyBorder="1" applyAlignment="1">
      <alignment horizontal="center" vertical="center"/>
    </xf>
    <xf numFmtId="0" fontId="10" fillId="0" borderId="58" xfId="2" applyFont="1" applyFill="1" applyBorder="1" applyAlignment="1">
      <alignment vertical="center"/>
    </xf>
    <xf numFmtId="0" fontId="10" fillId="0" borderId="14" xfId="2" applyFont="1" applyFill="1" applyBorder="1" applyAlignment="1">
      <alignment horizontal="left" vertical="center"/>
    </xf>
    <xf numFmtId="0" fontId="9" fillId="0" borderId="58" xfId="0" applyFont="1" applyBorder="1"/>
    <xf numFmtId="0" fontId="9" fillId="0" borderId="22" xfId="0" applyFont="1" applyBorder="1"/>
    <xf numFmtId="0" fontId="9" fillId="0" borderId="60" xfId="0" applyFont="1" applyBorder="1"/>
    <xf numFmtId="0" fontId="9" fillId="0" borderId="16" xfId="0" applyFont="1" applyBorder="1"/>
    <xf numFmtId="164" fontId="9" fillId="0" borderId="0" xfId="0" applyNumberFormat="1" applyFont="1"/>
    <xf numFmtId="0" fontId="10" fillId="2" borderId="8" xfId="2" applyFont="1" applyFill="1" applyBorder="1" applyAlignment="1">
      <alignment horizontal="center" vertical="center"/>
    </xf>
    <xf numFmtId="0" fontId="9" fillId="0" borderId="11" xfId="2" applyFont="1" applyBorder="1" applyAlignment="1">
      <alignment horizontal="center" vertical="center"/>
    </xf>
    <xf numFmtId="0" fontId="10" fillId="2" borderId="4" xfId="2" applyFont="1" applyFill="1" applyBorder="1" applyAlignment="1">
      <alignment horizontal="center" vertical="center"/>
    </xf>
    <xf numFmtId="0" fontId="9" fillId="0" borderId="0" xfId="0" applyFont="1" applyAlignment="1">
      <alignment wrapText="1"/>
    </xf>
    <xf numFmtId="49" fontId="9" fillId="0" borderId="7" xfId="0" applyNumberFormat="1" applyFont="1" applyBorder="1" applyAlignment="1">
      <alignment horizontal="left"/>
    </xf>
    <xf numFmtId="0" fontId="9" fillId="0" borderId="0" xfId="2" applyFont="1" applyFill="1" applyBorder="1" applyAlignment="1">
      <alignment vertical="center"/>
    </xf>
    <xf numFmtId="0" fontId="10" fillId="0" borderId="43" xfId="0" applyFont="1" applyBorder="1" applyAlignment="1">
      <alignment horizontal="center"/>
    </xf>
    <xf numFmtId="0" fontId="9" fillId="0" borderId="0" xfId="0" applyFont="1" applyAlignment="1">
      <alignment horizontal="center" wrapText="1"/>
    </xf>
    <xf numFmtId="0" fontId="10" fillId="0" borderId="15" xfId="0" applyFont="1" applyBorder="1" applyAlignment="1">
      <alignment horizontal="center"/>
    </xf>
    <xf numFmtId="0" fontId="2" fillId="0" borderId="0" xfId="0" applyFont="1" applyAlignment="1">
      <alignment horizontal="center" vertical="center" wrapText="1"/>
    </xf>
    <xf numFmtId="0" fontId="2" fillId="0" borderId="0" xfId="0" applyFont="1"/>
    <xf numFmtId="0" fontId="2" fillId="0" borderId="0" xfId="0" applyFont="1" applyAlignment="1">
      <alignment wrapText="1"/>
    </xf>
    <xf numFmtId="0" fontId="9" fillId="0" borderId="0" xfId="0" applyFont="1"/>
    <xf numFmtId="0" fontId="10" fillId="0" borderId="11" xfId="0" applyFont="1" applyBorder="1" applyAlignment="1">
      <alignment horizontal="center"/>
    </xf>
    <xf numFmtId="0" fontId="9" fillId="3" borderId="11" xfId="0" applyFont="1" applyFill="1" applyBorder="1" applyAlignment="1">
      <alignment horizontal="right"/>
    </xf>
    <xf numFmtId="0" fontId="9" fillId="0" borderId="31" xfId="0" applyNumberFormat="1" applyFont="1" applyBorder="1"/>
    <xf numFmtId="0" fontId="9" fillId="0" borderId="29" xfId="0" applyNumberFormat="1" applyFont="1" applyBorder="1"/>
    <xf numFmtId="0" fontId="9" fillId="0" borderId="25" xfId="0" applyNumberFormat="1" applyFont="1" applyBorder="1"/>
    <xf numFmtId="0" fontId="10" fillId="2" borderId="19" xfId="2" applyFont="1" applyFill="1" applyBorder="1" applyAlignment="1">
      <alignment horizontal="center" vertical="center"/>
    </xf>
    <xf numFmtId="0" fontId="10" fillId="2" borderId="21" xfId="2" applyFont="1" applyFill="1" applyBorder="1" applyAlignment="1">
      <alignment horizontal="center" vertical="center"/>
    </xf>
    <xf numFmtId="0" fontId="10" fillId="2" borderId="20" xfId="2" applyFont="1" applyFill="1" applyBorder="1" applyAlignment="1">
      <alignment horizontal="center" vertical="center"/>
    </xf>
    <xf numFmtId="0" fontId="10" fillId="2" borderId="18" xfId="2" applyFont="1" applyFill="1" applyBorder="1" applyAlignment="1">
      <alignment horizontal="center" vertical="center"/>
    </xf>
    <xf numFmtId="0" fontId="10" fillId="2" borderId="11" xfId="2" applyFont="1" applyFill="1" applyBorder="1" applyAlignment="1">
      <alignment horizontal="center" vertical="center"/>
    </xf>
    <xf numFmtId="164" fontId="9" fillId="0" borderId="18" xfId="0" applyNumberFormat="1" applyFont="1" applyBorder="1"/>
    <xf numFmtId="0" fontId="9" fillId="0" borderId="13" xfId="2" applyFont="1" applyBorder="1" applyAlignment="1">
      <alignment horizontal="left" vertical="center"/>
    </xf>
    <xf numFmtId="164" fontId="9" fillId="0" borderId="43" xfId="0" applyNumberFormat="1" applyFont="1" applyBorder="1"/>
    <xf numFmtId="164" fontId="9" fillId="0" borderId="16" xfId="0" applyNumberFormat="1" applyFont="1" applyBorder="1"/>
    <xf numFmtId="0" fontId="6" fillId="0" borderId="14" xfId="2" applyFont="1" applyBorder="1" applyAlignment="1">
      <alignment vertical="center"/>
    </xf>
    <xf numFmtId="0" fontId="9" fillId="0" borderId="70" xfId="0" applyFont="1" applyBorder="1"/>
    <xf numFmtId="0" fontId="9" fillId="0" borderId="67" xfId="0" applyFont="1" applyBorder="1"/>
    <xf numFmtId="0" fontId="10" fillId="0" borderId="0" xfId="0" applyFont="1" applyFill="1"/>
    <xf numFmtId="0" fontId="9" fillId="0" borderId="0" xfId="0" applyFont="1"/>
    <xf numFmtId="0" fontId="10" fillId="5" borderId="0" xfId="0" applyFont="1" applyFill="1"/>
    <xf numFmtId="0" fontId="10" fillId="5" borderId="0" xfId="2" applyFont="1" applyFill="1" applyAlignment="1">
      <alignment vertical="center"/>
    </xf>
    <xf numFmtId="0" fontId="9" fillId="5" borderId="0" xfId="0" applyFont="1" applyFill="1"/>
    <xf numFmtId="0" fontId="8" fillId="4" borderId="0" xfId="0" applyFont="1" applyFill="1" applyAlignment="1">
      <alignment vertical="center"/>
    </xf>
    <xf numFmtId="0" fontId="15" fillId="4" borderId="0" xfId="0" applyFont="1" applyFill="1" applyAlignment="1">
      <alignment vertical="center" wrapText="1"/>
    </xf>
    <xf numFmtId="0" fontId="15" fillId="4" borderId="0" xfId="0" applyFont="1" applyFill="1" applyAlignment="1">
      <alignment vertical="center"/>
    </xf>
    <xf numFmtId="0" fontId="0" fillId="0" borderId="0" xfId="0" applyAlignment="1">
      <alignment vertical="center"/>
    </xf>
    <xf numFmtId="0" fontId="0" fillId="0" borderId="0" xfId="0" applyAlignment="1">
      <alignment vertical="center" wrapText="1"/>
    </xf>
    <xf numFmtId="0" fontId="5" fillId="0" borderId="0" xfId="0" applyFont="1" applyAlignment="1">
      <alignment vertical="center"/>
    </xf>
    <xf numFmtId="0" fontId="3" fillId="0" borderId="0" xfId="0" applyFont="1" applyAlignment="1">
      <alignment vertical="center"/>
    </xf>
    <xf numFmtId="0" fontId="15" fillId="0" borderId="0" xfId="0" applyFont="1" applyFill="1" applyAlignment="1">
      <alignment vertical="center"/>
    </xf>
    <xf numFmtId="0" fontId="0" fillId="0" borderId="0" xfId="0" applyFill="1" applyAlignment="1">
      <alignment vertical="center"/>
    </xf>
    <xf numFmtId="0" fontId="5" fillId="0" borderId="0" xfId="0" applyFont="1" applyFill="1" applyAlignment="1">
      <alignment vertical="center"/>
    </xf>
    <xf numFmtId="0" fontId="9" fillId="0" borderId="0" xfId="0" applyFont="1"/>
    <xf numFmtId="0" fontId="10" fillId="0" borderId="0" xfId="2" applyFont="1" applyFill="1" applyAlignment="1">
      <alignment vertical="center"/>
    </xf>
    <xf numFmtId="0" fontId="6" fillId="0" borderId="0" xfId="0" applyFont="1" applyFill="1" applyAlignment="1">
      <alignment horizontal="left"/>
    </xf>
    <xf numFmtId="0" fontId="6" fillId="0" borderId="0" xfId="2" applyFont="1" applyFill="1" applyAlignment="1">
      <alignment vertical="center"/>
    </xf>
    <xf numFmtId="0" fontId="2" fillId="0" borderId="26" xfId="0" applyFont="1" applyBorder="1" applyAlignment="1">
      <alignment horizontal="justify" vertical="center" wrapText="1"/>
    </xf>
    <xf numFmtId="0" fontId="2" fillId="0" borderId="28" xfId="0" applyFont="1" applyBorder="1" applyAlignment="1">
      <alignment horizontal="justify" vertical="center" wrapText="1"/>
    </xf>
    <xf numFmtId="0" fontId="2" fillId="0" borderId="0" xfId="0" applyFont="1" applyAlignment="1">
      <alignment horizontal="justify" vertical="center" wrapText="1"/>
    </xf>
    <xf numFmtId="0" fontId="2" fillId="0" borderId="39" xfId="0" applyFont="1" applyBorder="1" applyAlignment="1">
      <alignment horizontal="justify" vertical="center" wrapText="1"/>
    </xf>
    <xf numFmtId="0" fontId="2" fillId="0" borderId="41" xfId="0" applyFont="1" applyBorder="1" applyAlignment="1">
      <alignment horizontal="justify" vertical="center" wrapText="1"/>
    </xf>
    <xf numFmtId="0" fontId="17" fillId="0" borderId="0" xfId="0" applyFont="1" applyFill="1"/>
    <xf numFmtId="0" fontId="17" fillId="0" borderId="0" xfId="0" applyFont="1" applyFill="1" applyAlignment="1"/>
    <xf numFmtId="0" fontId="17" fillId="0" borderId="0" xfId="2" applyFont="1" applyFill="1" applyAlignment="1">
      <alignment vertical="center"/>
    </xf>
    <xf numFmtId="0" fontId="16" fillId="0" borderId="0" xfId="0" applyFont="1" applyFill="1"/>
    <xf numFmtId="0" fontId="16" fillId="0" borderId="0" xfId="0" applyFont="1"/>
    <xf numFmtId="0" fontId="17" fillId="0" borderId="0" xfId="0" applyFont="1"/>
    <xf numFmtId="0" fontId="16" fillId="0" borderId="0" xfId="0" applyFont="1" applyFill="1" applyAlignment="1">
      <alignment horizontal="centerContinuous"/>
    </xf>
    <xf numFmtId="0" fontId="16" fillId="0" borderId="0" xfId="0" applyFont="1" applyAlignment="1">
      <alignment vertical="center" wrapText="1"/>
    </xf>
    <xf numFmtId="0" fontId="16" fillId="0" borderId="0" xfId="0" applyFont="1" applyAlignment="1">
      <alignment wrapText="1"/>
    </xf>
    <xf numFmtId="49" fontId="17" fillId="0" borderId="0" xfId="3" applyFont="1" applyBorder="1" applyAlignment="1">
      <alignment horizontal="left" vertical="center"/>
    </xf>
    <xf numFmtId="3" fontId="16" fillId="0" borderId="0" xfId="3" applyNumberFormat="1" applyFont="1" applyBorder="1" applyAlignment="1">
      <alignment vertical="center"/>
    </xf>
    <xf numFmtId="3" fontId="16" fillId="0" borderId="0" xfId="3" applyNumberFormat="1" applyFont="1" applyAlignment="1">
      <alignment vertical="center"/>
    </xf>
    <xf numFmtId="3" fontId="16" fillId="0" borderId="0" xfId="3" applyNumberFormat="1" applyFont="1" applyAlignment="1">
      <alignment horizontal="right" vertical="center"/>
    </xf>
    <xf numFmtId="3" fontId="16" fillId="0" borderId="14" xfId="0" applyNumberFormat="1" applyFont="1" applyBorder="1"/>
    <xf numFmtId="3" fontId="16" fillId="0" borderId="0" xfId="0" applyNumberFormat="1" applyFont="1" applyBorder="1"/>
    <xf numFmtId="3" fontId="16" fillId="0" borderId="4" xfId="0" applyNumberFormat="1" applyFont="1" applyBorder="1"/>
    <xf numFmtId="0" fontId="16" fillId="0" borderId="11" xfId="0" applyFont="1" applyBorder="1"/>
    <xf numFmtId="0" fontId="17" fillId="0" borderId="0" xfId="0" applyFont="1" applyAlignment="1">
      <alignment horizontal="center" vertical="center" textRotation="90"/>
    </xf>
    <xf numFmtId="0" fontId="17" fillId="0" borderId="14" xfId="0" applyFont="1" applyBorder="1" applyAlignment="1"/>
    <xf numFmtId="0" fontId="17" fillId="0" borderId="0" xfId="0" applyFont="1" applyFill="1" applyAlignment="1">
      <alignment horizontal="center" vertical="center" wrapText="1"/>
    </xf>
    <xf numFmtId="0" fontId="16" fillId="0" borderId="14" xfId="0" applyFont="1" applyBorder="1"/>
    <xf numFmtId="0" fontId="16" fillId="0" borderId="0" xfId="0" applyFont="1" applyBorder="1"/>
    <xf numFmtId="49" fontId="17" fillId="0" borderId="19" xfId="3" applyFont="1" applyBorder="1" applyAlignment="1">
      <alignment horizontal="left" vertical="center"/>
    </xf>
    <xf numFmtId="0" fontId="3" fillId="0" borderId="0" xfId="0" applyFont="1" applyAlignment="1">
      <alignment horizontal="center" vertical="center"/>
    </xf>
    <xf numFmtId="0" fontId="1" fillId="0" borderId="28" xfId="0" applyFont="1" applyFill="1" applyBorder="1"/>
    <xf numFmtId="0" fontId="1" fillId="0" borderId="0" xfId="0" applyFont="1" applyFill="1"/>
    <xf numFmtId="0" fontId="1" fillId="0" borderId="0" xfId="0" applyFont="1" applyFill="1" applyAlignment="1">
      <alignment vertical="center"/>
    </xf>
    <xf numFmtId="0" fontId="3" fillId="6" borderId="28" xfId="0" applyFont="1" applyFill="1" applyBorder="1" applyAlignment="1">
      <alignment horizontal="right" vertical="center" indent="2"/>
    </xf>
    <xf numFmtId="0" fontId="16" fillId="0" borderId="0" xfId="0" applyFont="1"/>
    <xf numFmtId="0" fontId="3" fillId="7" borderId="28" xfId="0" applyFont="1" applyFill="1" applyBorder="1" applyAlignment="1">
      <alignment horizontal="center" vertical="center" wrapText="1"/>
    </xf>
    <xf numFmtId="0" fontId="3" fillId="7" borderId="28" xfId="0" applyFont="1" applyFill="1" applyBorder="1" applyAlignment="1">
      <alignment horizontal="center" vertical="center"/>
    </xf>
    <xf numFmtId="0" fontId="6" fillId="7" borderId="32" xfId="0" applyFont="1" applyFill="1" applyBorder="1" applyAlignment="1">
      <alignment horizontal="center" vertical="center" wrapText="1"/>
    </xf>
    <xf numFmtId="0" fontId="17" fillId="7" borderId="18" xfId="0" applyFont="1" applyFill="1" applyBorder="1" applyAlignment="1">
      <alignment horizontal="center" vertical="center" textRotation="90" wrapText="1"/>
    </xf>
    <xf numFmtId="0" fontId="17" fillId="7" borderId="5" xfId="0" applyFont="1" applyFill="1" applyBorder="1" applyAlignment="1">
      <alignment horizontal="center" vertical="center" textRotation="90" wrapText="1"/>
    </xf>
    <xf numFmtId="0" fontId="17" fillId="7" borderId="20" xfId="0" applyFont="1" applyFill="1" applyBorder="1" applyAlignment="1">
      <alignment horizontal="center" vertical="center" textRotation="90" wrapText="1"/>
    </xf>
    <xf numFmtId="49" fontId="13" fillId="7" borderId="39" xfId="3" applyFont="1" applyFill="1" applyBorder="1" applyAlignment="1">
      <alignment horizontal="center" textRotation="90" wrapText="1"/>
    </xf>
    <xf numFmtId="49" fontId="13" fillId="7" borderId="41" xfId="3" applyFont="1" applyFill="1" applyBorder="1" applyAlignment="1">
      <alignment horizontal="center" textRotation="90" wrapText="1"/>
    </xf>
    <xf numFmtId="49" fontId="13" fillId="7" borderId="53" xfId="3" applyFont="1" applyFill="1" applyBorder="1" applyAlignment="1">
      <alignment horizontal="center" textRotation="90" wrapText="1"/>
    </xf>
    <xf numFmtId="49" fontId="11" fillId="7" borderId="41" xfId="3" applyFont="1" applyFill="1" applyBorder="1" applyAlignment="1">
      <alignment horizontal="center" textRotation="90" wrapText="1"/>
    </xf>
    <xf numFmtId="49" fontId="10" fillId="7" borderId="40" xfId="3" applyFont="1" applyFill="1" applyBorder="1" applyAlignment="1">
      <alignment horizontal="center" textRotation="90" wrapText="1"/>
    </xf>
    <xf numFmtId="0" fontId="6" fillId="7" borderId="66" xfId="2" applyFont="1" applyFill="1" applyBorder="1" applyAlignment="1">
      <alignment horizontal="center" vertical="center"/>
    </xf>
    <xf numFmtId="0" fontId="6" fillId="7" borderId="48" xfId="2" applyFont="1" applyFill="1" applyBorder="1" applyAlignment="1">
      <alignment horizontal="center" vertical="center" wrapText="1"/>
    </xf>
    <xf numFmtId="0" fontId="2" fillId="7" borderId="27" xfId="2" applyFont="1" applyFill="1" applyBorder="1" applyAlignment="1">
      <alignment horizontal="center" vertical="center" textRotation="90" wrapText="1"/>
    </xf>
    <xf numFmtId="0" fontId="2" fillId="7" borderId="28" xfId="2" applyFont="1" applyFill="1" applyBorder="1" applyAlignment="1">
      <alignment horizontal="center" vertical="center" textRotation="90" wrapText="1"/>
    </xf>
    <xf numFmtId="0" fontId="6" fillId="7" borderId="28" xfId="2" applyFont="1" applyFill="1" applyBorder="1" applyAlignment="1">
      <alignment horizontal="center" vertical="center" textRotation="90" wrapText="1"/>
    </xf>
    <xf numFmtId="0" fontId="6" fillId="7" borderId="1" xfId="2" applyFont="1" applyFill="1" applyBorder="1" applyAlignment="1">
      <alignment horizontal="center" vertical="center" textRotation="90" wrapText="1"/>
    </xf>
    <xf numFmtId="0" fontId="6" fillId="7" borderId="29" xfId="2" applyFont="1" applyFill="1" applyBorder="1" applyAlignment="1">
      <alignment horizontal="center" vertical="center" textRotation="90" wrapText="1"/>
    </xf>
    <xf numFmtId="0" fontId="10" fillId="7" borderId="12" xfId="2" applyFont="1" applyFill="1" applyBorder="1" applyAlignment="1">
      <alignment horizontal="center" vertical="center" wrapText="1"/>
    </xf>
    <xf numFmtId="0" fontId="10" fillId="7" borderId="21" xfId="2" applyFont="1" applyFill="1" applyBorder="1" applyAlignment="1">
      <alignment horizontal="center" vertical="center" wrapText="1"/>
    </xf>
    <xf numFmtId="0" fontId="10" fillId="7" borderId="62" xfId="2" applyFont="1" applyFill="1" applyBorder="1" applyAlignment="1">
      <alignment horizontal="center" vertical="center" wrapText="1"/>
    </xf>
    <xf numFmtId="0" fontId="10" fillId="7" borderId="12" xfId="0" applyFont="1" applyFill="1" applyBorder="1" applyAlignment="1">
      <alignment horizontal="center" vertical="center" textRotation="90" wrapText="1"/>
    </xf>
    <xf numFmtId="0" fontId="10" fillId="7" borderId="13" xfId="0" applyFont="1" applyFill="1" applyBorder="1" applyAlignment="1">
      <alignment horizontal="center" vertical="center" textRotation="90" wrapText="1"/>
    </xf>
    <xf numFmtId="0" fontId="10" fillId="7" borderId="51" xfId="0" applyFont="1" applyFill="1" applyBorder="1" applyAlignment="1">
      <alignment horizontal="center" vertical="center" textRotation="90" wrapText="1"/>
    </xf>
    <xf numFmtId="0" fontId="10" fillId="7" borderId="56" xfId="0" applyFont="1" applyFill="1" applyBorder="1" applyAlignment="1">
      <alignment horizontal="center" vertical="center" textRotation="90" wrapText="1"/>
    </xf>
    <xf numFmtId="0" fontId="10" fillId="7" borderId="61" xfId="0" applyFont="1" applyFill="1" applyBorder="1" applyAlignment="1">
      <alignment horizontal="center" vertical="center" textRotation="90" wrapText="1"/>
    </xf>
    <xf numFmtId="0" fontId="10" fillId="7" borderId="21" xfId="0" applyFont="1" applyFill="1" applyBorder="1" applyAlignment="1">
      <alignment horizontal="center" vertical="center" textRotation="90" wrapText="1"/>
    </xf>
    <xf numFmtId="0" fontId="10" fillId="7" borderId="14" xfId="0" applyFont="1" applyFill="1" applyBorder="1" applyAlignment="1">
      <alignment horizontal="center" vertical="center" textRotation="90" wrapText="1"/>
    </xf>
    <xf numFmtId="0" fontId="10" fillId="7" borderId="11" xfId="0" applyFont="1" applyFill="1" applyBorder="1" applyAlignment="1">
      <alignment horizontal="center"/>
    </xf>
    <xf numFmtId="0" fontId="10" fillId="7" borderId="10" xfId="0" applyFont="1" applyFill="1" applyBorder="1" applyAlignment="1">
      <alignment horizontal="center"/>
    </xf>
    <xf numFmtId="0" fontId="10" fillId="7" borderId="52" xfId="0" applyFont="1" applyFill="1" applyBorder="1" applyAlignment="1">
      <alignment horizontal="center"/>
    </xf>
    <xf numFmtId="0" fontId="10" fillId="7" borderId="52" xfId="0" quotePrefix="1" applyFont="1" applyFill="1" applyBorder="1" applyAlignment="1">
      <alignment horizontal="center"/>
    </xf>
    <xf numFmtId="0" fontId="10" fillId="7" borderId="59" xfId="0" quotePrefix="1" applyFont="1" applyFill="1" applyBorder="1" applyAlignment="1">
      <alignment horizontal="center"/>
    </xf>
    <xf numFmtId="0" fontId="10" fillId="7" borderId="9" xfId="0" quotePrefix="1" applyFont="1" applyFill="1" applyBorder="1" applyAlignment="1">
      <alignment horizontal="center"/>
    </xf>
    <xf numFmtId="0" fontId="10" fillId="7" borderId="8" xfId="0" quotePrefix="1" applyFont="1" applyFill="1" applyBorder="1" applyAlignment="1">
      <alignment horizontal="center"/>
    </xf>
    <xf numFmtId="0" fontId="10" fillId="7" borderId="8" xfId="0" applyFont="1" applyFill="1" applyBorder="1" applyAlignment="1">
      <alignment horizontal="center"/>
    </xf>
    <xf numFmtId="0" fontId="10" fillId="7" borderId="18" xfId="2" applyFont="1" applyFill="1" applyBorder="1" applyAlignment="1">
      <alignment horizontal="center" vertical="center" wrapText="1"/>
    </xf>
    <xf numFmtId="0" fontId="10" fillId="7" borderId="5" xfId="2" applyFont="1" applyFill="1" applyBorder="1" applyAlignment="1">
      <alignment horizontal="center" vertical="center" wrapText="1"/>
    </xf>
    <xf numFmtId="15" fontId="10" fillId="7" borderId="12" xfId="2" applyNumberFormat="1" applyFont="1" applyFill="1" applyBorder="1" applyAlignment="1">
      <alignment horizontal="center" vertical="center"/>
    </xf>
    <xf numFmtId="0" fontId="10" fillId="7" borderId="8" xfId="2" applyFont="1" applyFill="1" applyBorder="1" applyAlignment="1">
      <alignment horizontal="center" vertical="center"/>
    </xf>
    <xf numFmtId="0" fontId="10" fillId="7" borderId="15" xfId="0" applyFont="1" applyFill="1" applyBorder="1" applyAlignment="1">
      <alignment horizontal="center" vertical="center" wrapText="1"/>
    </xf>
    <xf numFmtId="164" fontId="10" fillId="7" borderId="16" xfId="0" applyNumberFormat="1" applyFont="1" applyFill="1" applyBorder="1" applyAlignment="1">
      <alignment horizontal="center" vertical="center" textRotation="90" wrapText="1"/>
    </xf>
    <xf numFmtId="164" fontId="10" fillId="7" borderId="44" xfId="0" applyNumberFormat="1" applyFont="1" applyFill="1" applyBorder="1" applyAlignment="1">
      <alignment horizontal="center" vertical="center" textRotation="90" wrapText="1"/>
    </xf>
    <xf numFmtId="0" fontId="2" fillId="0" borderId="0" xfId="0" applyFont="1" applyFill="1" applyAlignment="1">
      <alignment horizontal="centerContinuous"/>
    </xf>
    <xf numFmtId="0" fontId="2" fillId="0" borderId="0" xfId="0" applyFont="1" applyFill="1"/>
    <xf numFmtId="49" fontId="18" fillId="7" borderId="43" xfId="3" applyFont="1" applyFill="1" applyBorder="1" applyAlignment="1">
      <alignment horizontal="center" textRotation="90" wrapText="1"/>
    </xf>
    <xf numFmtId="49" fontId="18" fillId="7" borderId="16" xfId="3" applyFont="1" applyFill="1" applyBorder="1" applyAlignment="1">
      <alignment horizontal="center" textRotation="90" wrapText="1"/>
    </xf>
    <xf numFmtId="49" fontId="18" fillId="7" borderId="17" xfId="3" applyFont="1" applyFill="1" applyBorder="1" applyAlignment="1">
      <alignment horizontal="center" textRotation="90" wrapText="1"/>
    </xf>
    <xf numFmtId="49" fontId="6" fillId="7" borderId="43" xfId="3" applyNumberFormat="1" applyFont="1" applyFill="1" applyBorder="1" applyAlignment="1" applyProtection="1">
      <alignment horizontal="center" textRotation="90" wrapText="1"/>
    </xf>
    <xf numFmtId="49" fontId="6" fillId="7" borderId="44" xfId="3" applyFont="1" applyFill="1" applyBorder="1" applyAlignment="1">
      <alignment horizontal="center" textRotation="90" wrapText="1"/>
    </xf>
    <xf numFmtId="49" fontId="2" fillId="0" borderId="65" xfId="3" applyFont="1" applyBorder="1" applyAlignment="1">
      <alignment vertical="center"/>
    </xf>
    <xf numFmtId="49" fontId="2" fillId="0" borderId="2" xfId="3" applyFont="1" applyBorder="1" applyAlignment="1">
      <alignment vertical="center"/>
    </xf>
    <xf numFmtId="49" fontId="2" fillId="0" borderId="64" xfId="3" applyFont="1" applyBorder="1" applyAlignment="1">
      <alignment vertical="center"/>
    </xf>
    <xf numFmtId="49" fontId="6" fillId="2" borderId="19" xfId="3" applyFont="1" applyFill="1" applyBorder="1" applyAlignment="1">
      <alignment horizontal="center" vertical="center"/>
    </xf>
    <xf numFmtId="0" fontId="6" fillId="0" borderId="0" xfId="0" applyFont="1" applyFill="1" applyAlignment="1"/>
    <xf numFmtId="0" fontId="6" fillId="0" borderId="0" xfId="0" quotePrefix="1" applyFont="1" applyFill="1" applyAlignment="1"/>
    <xf numFmtId="0" fontId="6" fillId="7" borderId="43" xfId="0" applyFont="1" applyFill="1" applyBorder="1" applyAlignment="1">
      <alignment horizontal="center" vertical="center" textRotation="90" wrapText="1"/>
    </xf>
    <xf numFmtId="0" fontId="6" fillId="7" borderId="16" xfId="0" applyFont="1" applyFill="1" applyBorder="1" applyAlignment="1">
      <alignment horizontal="center" vertical="center" textRotation="90" wrapText="1"/>
    </xf>
    <xf numFmtId="0" fontId="6" fillId="7" borderId="15" xfId="0" applyFont="1" applyFill="1" applyBorder="1" applyAlignment="1">
      <alignment horizontal="center" vertical="center" textRotation="90" wrapText="1"/>
    </xf>
    <xf numFmtId="0" fontId="6" fillId="7" borderId="18" xfId="0" applyFont="1" applyFill="1" applyBorder="1" applyAlignment="1">
      <alignment horizontal="center" vertical="center" textRotation="90" wrapText="1"/>
    </xf>
    <xf numFmtId="0" fontId="6" fillId="0" borderId="12" xfId="0" applyFont="1" applyBorder="1" applyAlignment="1">
      <alignment horizontal="center" wrapText="1"/>
    </xf>
    <xf numFmtId="0" fontId="6" fillId="0" borderId="61" xfId="0" applyFont="1" applyBorder="1" applyAlignment="1">
      <alignment horizontal="center"/>
    </xf>
    <xf numFmtId="0" fontId="6" fillId="0" borderId="51" xfId="0" applyFont="1" applyBorder="1" applyAlignment="1">
      <alignment horizontal="center"/>
    </xf>
    <xf numFmtId="0" fontId="6" fillId="0" borderId="13" xfId="0" applyFont="1" applyBorder="1" applyAlignment="1">
      <alignment horizontal="center"/>
    </xf>
    <xf numFmtId="0" fontId="6" fillId="0" borderId="4" xfId="0" applyFont="1" applyBorder="1" applyAlignment="1">
      <alignment horizontal="center"/>
    </xf>
    <xf numFmtId="0" fontId="19" fillId="0" borderId="14" xfId="0" applyFont="1" applyFill="1" applyBorder="1" applyAlignment="1">
      <alignment wrapText="1"/>
    </xf>
    <xf numFmtId="3" fontId="6" fillId="0" borderId="58" xfId="0" applyNumberFormat="1" applyFont="1" applyBorder="1"/>
    <xf numFmtId="3" fontId="6" fillId="0" borderId="51" xfId="0" applyNumberFormat="1" applyFont="1" applyBorder="1"/>
    <xf numFmtId="3" fontId="6" fillId="0" borderId="13" xfId="0" applyNumberFormat="1" applyFont="1" applyBorder="1"/>
    <xf numFmtId="3" fontId="6" fillId="0" borderId="4" xfId="0" applyNumberFormat="1" applyFont="1" applyBorder="1"/>
    <xf numFmtId="0" fontId="2" fillId="0" borderId="14" xfId="0" applyFont="1" applyFill="1" applyBorder="1" applyAlignment="1">
      <alignment wrapText="1"/>
    </xf>
    <xf numFmtId="3" fontId="2" fillId="0" borderId="58" xfId="0" applyNumberFormat="1" applyFont="1" applyBorder="1"/>
    <xf numFmtId="3" fontId="2" fillId="0" borderId="51" xfId="0" applyNumberFormat="1" applyFont="1" applyBorder="1"/>
    <xf numFmtId="3" fontId="2" fillId="0" borderId="13" xfId="0" applyNumberFormat="1" applyFont="1" applyBorder="1"/>
    <xf numFmtId="3" fontId="2" fillId="0" borderId="4" xfId="0" applyNumberFormat="1" applyFont="1" applyBorder="1"/>
    <xf numFmtId="0" fontId="6" fillId="0" borderId="14" xfId="0" applyFont="1" applyFill="1" applyBorder="1" applyAlignment="1">
      <alignment wrapText="1"/>
    </xf>
    <xf numFmtId="0" fontId="2" fillId="0" borderId="14" xfId="0" applyFont="1" applyFill="1" applyBorder="1" applyAlignment="1">
      <alignment horizontal="left" wrapText="1"/>
    </xf>
    <xf numFmtId="0" fontId="2" fillId="0" borderId="14" xfId="0" quotePrefix="1" applyFont="1" applyFill="1" applyBorder="1" applyAlignment="1">
      <alignment horizontal="left" wrapText="1"/>
    </xf>
    <xf numFmtId="0" fontId="19" fillId="0" borderId="14" xfId="0" applyFont="1" applyFill="1" applyBorder="1" applyAlignment="1">
      <alignment horizontal="left" wrapText="1"/>
    </xf>
    <xf numFmtId="0" fontId="2" fillId="0" borderId="7" xfId="0" applyFont="1" applyBorder="1" applyAlignment="1">
      <alignment wrapText="1"/>
    </xf>
    <xf numFmtId="0" fontId="2" fillId="0" borderId="3" xfId="0" applyFont="1" applyFill="1" applyBorder="1" applyAlignment="1">
      <alignment wrapText="1"/>
    </xf>
    <xf numFmtId="0" fontId="6" fillId="0" borderId="47" xfId="0" applyFont="1" applyFill="1" applyBorder="1" applyAlignment="1">
      <alignment horizontal="center" wrapText="1"/>
    </xf>
    <xf numFmtId="3" fontId="6" fillId="0" borderId="72" xfId="0" applyNumberFormat="1" applyFont="1" applyFill="1" applyBorder="1"/>
    <xf numFmtId="3" fontId="6" fillId="0" borderId="73" xfId="0" applyNumberFormat="1" applyFont="1" applyFill="1" applyBorder="1"/>
    <xf numFmtId="3" fontId="6" fillId="0" borderId="74" xfId="0" applyNumberFormat="1" applyFont="1" applyFill="1" applyBorder="1"/>
    <xf numFmtId="3" fontId="6" fillId="0" borderId="71" xfId="0" applyNumberFormat="1" applyFont="1" applyFill="1" applyBorder="1"/>
    <xf numFmtId="0" fontId="6" fillId="0" borderId="5" xfId="0" applyFont="1" applyFill="1" applyBorder="1" applyAlignment="1">
      <alignment horizontal="center" wrapText="1"/>
    </xf>
    <xf numFmtId="3" fontId="6" fillId="0" borderId="43" xfId="0" applyNumberFormat="1" applyFont="1" applyFill="1" applyBorder="1"/>
    <xf numFmtId="3" fontId="6" fillId="0" borderId="20" xfId="0" applyNumberFormat="1" applyFont="1" applyFill="1" applyBorder="1"/>
    <xf numFmtId="3" fontId="6" fillId="0" borderId="15" xfId="0" applyNumberFormat="1" applyFont="1" applyFill="1" applyBorder="1"/>
    <xf numFmtId="3" fontId="6" fillId="0" borderId="18" xfId="0" applyNumberFormat="1" applyFont="1" applyFill="1" applyBorder="1"/>
    <xf numFmtId="3" fontId="6" fillId="0" borderId="75" xfId="0" applyNumberFormat="1" applyFont="1" applyFill="1" applyBorder="1"/>
    <xf numFmtId="3" fontId="2" fillId="0" borderId="61" xfId="0" applyNumberFormat="1" applyFont="1" applyFill="1" applyBorder="1"/>
    <xf numFmtId="3" fontId="2" fillId="0" borderId="49" xfId="0" applyNumberFormat="1" applyFont="1" applyFill="1" applyBorder="1"/>
    <xf numFmtId="3" fontId="2" fillId="0" borderId="55" xfId="0" applyNumberFormat="1" applyFont="1" applyFill="1" applyBorder="1"/>
    <xf numFmtId="3" fontId="2" fillId="0" borderId="54" xfId="0" applyNumberFormat="1" applyFont="1" applyFill="1" applyBorder="1"/>
    <xf numFmtId="3" fontId="2" fillId="0" borderId="21" xfId="0" applyNumberFormat="1" applyFont="1" applyFill="1" applyBorder="1"/>
    <xf numFmtId="3" fontId="6" fillId="0" borderId="44" xfId="0" applyNumberFormat="1" applyFont="1" applyFill="1" applyBorder="1"/>
    <xf numFmtId="3" fontId="6" fillId="0" borderId="76" xfId="0" applyNumberFormat="1" applyFont="1" applyFill="1" applyBorder="1"/>
    <xf numFmtId="3" fontId="2" fillId="0" borderId="50" xfId="0" applyNumberFormat="1" applyFont="1" applyFill="1" applyBorder="1"/>
    <xf numFmtId="3" fontId="6" fillId="0" borderId="16" xfId="0" applyNumberFormat="1" applyFont="1" applyFill="1" applyBorder="1"/>
    <xf numFmtId="0" fontId="9" fillId="0" borderId="56" xfId="2" applyFont="1" applyBorder="1" applyAlignment="1">
      <alignment vertical="center"/>
    </xf>
    <xf numFmtId="0" fontId="10" fillId="0" borderId="51" xfId="2" applyFont="1" applyFill="1" applyBorder="1" applyAlignment="1">
      <alignment vertical="center"/>
    </xf>
    <xf numFmtId="0" fontId="9" fillId="0" borderId="51" xfId="2" applyFont="1" applyBorder="1" applyAlignment="1">
      <alignment vertical="center"/>
    </xf>
    <xf numFmtId="0" fontId="10" fillId="2" borderId="16" xfId="2" applyFont="1" applyFill="1" applyBorder="1" applyAlignment="1">
      <alignment vertical="center"/>
    </xf>
    <xf numFmtId="0" fontId="9" fillId="0" borderId="0" xfId="4" applyFont="1"/>
    <xf numFmtId="0" fontId="9" fillId="0" borderId="5" xfId="4" applyFont="1" applyBorder="1"/>
    <xf numFmtId="0" fontId="9" fillId="0" borderId="20" xfId="4" applyFont="1" applyBorder="1"/>
    <xf numFmtId="0" fontId="10" fillId="0" borderId="11" xfId="4" applyFont="1" applyBorder="1" applyAlignment="1">
      <alignment horizontal="center"/>
    </xf>
    <xf numFmtId="0" fontId="10" fillId="0" borderId="7" xfId="4" applyFont="1" applyBorder="1" applyAlignment="1">
      <alignment horizontal="center"/>
    </xf>
    <xf numFmtId="0" fontId="9" fillId="0" borderId="4" xfId="4" applyFont="1" applyBorder="1"/>
    <xf numFmtId="0" fontId="9" fillId="0" borderId="14" xfId="4" applyFont="1" applyBorder="1"/>
    <xf numFmtId="0" fontId="9" fillId="0" borderId="8" xfId="4" applyFont="1" applyBorder="1"/>
    <xf numFmtId="3" fontId="9" fillId="0" borderId="4" xfId="4" applyNumberFormat="1" applyFont="1" applyBorder="1"/>
    <xf numFmtId="3" fontId="9" fillId="0" borderId="14" xfId="4" applyNumberFormat="1" applyFont="1" applyBorder="1"/>
    <xf numFmtId="0" fontId="9" fillId="0" borderId="21" xfId="4" applyFont="1" applyBorder="1"/>
    <xf numFmtId="0" fontId="9" fillId="0" borderId="12" xfId="4" applyFont="1" applyBorder="1"/>
    <xf numFmtId="0" fontId="10" fillId="8" borderId="18" xfId="4" applyFont="1" applyFill="1" applyBorder="1" applyAlignment="1">
      <alignment horizontal="center"/>
    </xf>
    <xf numFmtId="0" fontId="10" fillId="8" borderId="5" xfId="4" applyFont="1" applyFill="1" applyBorder="1" applyAlignment="1">
      <alignment horizontal="center" wrapText="1"/>
    </xf>
    <xf numFmtId="0" fontId="10" fillId="8" borderId="5" xfId="4" applyFont="1" applyFill="1" applyBorder="1" applyAlignment="1">
      <alignment horizontal="center"/>
    </xf>
    <xf numFmtId="0" fontId="0" fillId="5" borderId="0" xfId="0" applyFill="1" applyAlignment="1">
      <alignment horizontal="left" vertical="center" wrapText="1"/>
    </xf>
    <xf numFmtId="0" fontId="0" fillId="0" borderId="0" xfId="0" applyAlignment="1">
      <alignment horizontal="left" vertical="center"/>
    </xf>
    <xf numFmtId="0" fontId="0" fillId="0" borderId="0" xfId="0" applyFill="1" applyAlignment="1">
      <alignment horizontal="left" vertical="center"/>
    </xf>
    <xf numFmtId="0" fontId="2" fillId="0" borderId="78" xfId="0" applyFont="1" applyFill="1" applyBorder="1" applyAlignment="1">
      <alignment horizontal="left" indent="2"/>
    </xf>
    <xf numFmtId="0" fontId="2" fillId="0" borderId="0" xfId="0" applyFont="1" applyFill="1" applyBorder="1" applyAlignment="1">
      <alignment horizontal="left" indent="2"/>
    </xf>
    <xf numFmtId="0" fontId="10" fillId="7" borderId="12" xfId="2" applyFont="1" applyFill="1" applyBorder="1" applyAlignment="1">
      <alignment horizontal="center" vertical="center"/>
    </xf>
    <xf numFmtId="0" fontId="3" fillId="0" borderId="28" xfId="0" applyFont="1" applyBorder="1" applyAlignment="1">
      <alignment horizontal="left" vertical="center"/>
    </xf>
    <xf numFmtId="3" fontId="1" fillId="0" borderId="28" xfId="0" applyNumberFormat="1" applyFont="1" applyFill="1" applyBorder="1"/>
    <xf numFmtId="3" fontId="3" fillId="6" borderId="28" xfId="0" applyNumberFormat="1" applyFont="1" applyFill="1" applyBorder="1" applyAlignment="1">
      <alignment vertical="center"/>
    </xf>
    <xf numFmtId="4" fontId="1" fillId="0" borderId="28" xfId="0" applyNumberFormat="1" applyFont="1" applyFill="1" applyBorder="1"/>
    <xf numFmtId="3" fontId="2" fillId="0" borderId="28" xfId="3" applyNumberFormat="1" applyFont="1" applyBorder="1" applyAlignment="1">
      <alignment horizontal="right" vertical="center"/>
    </xf>
    <xf numFmtId="3" fontId="6" fillId="2" borderId="43" xfId="3" applyNumberFormat="1" applyFont="1" applyFill="1" applyBorder="1" applyAlignment="1">
      <alignment horizontal="right" vertical="center"/>
    </xf>
    <xf numFmtId="3" fontId="6" fillId="2" borderId="16" xfId="3" applyNumberFormat="1" applyFont="1" applyFill="1" applyBorder="1" applyAlignment="1">
      <alignment horizontal="right" vertical="center"/>
    </xf>
    <xf numFmtId="3" fontId="6" fillId="2" borderId="17" xfId="3" applyNumberFormat="1" applyFont="1" applyFill="1" applyBorder="1" applyAlignment="1">
      <alignment horizontal="right" vertical="center"/>
    </xf>
    <xf numFmtId="3" fontId="6" fillId="0" borderId="1" xfId="3" applyNumberFormat="1" applyFont="1" applyBorder="1" applyAlignment="1">
      <alignment horizontal="right" vertical="center"/>
    </xf>
    <xf numFmtId="3" fontId="6" fillId="0" borderId="26" xfId="3" applyNumberFormat="1" applyFont="1" applyBorder="1" applyAlignment="1">
      <alignment horizontal="right" vertical="center"/>
    </xf>
    <xf numFmtId="2" fontId="6" fillId="0" borderId="25" xfId="3" applyNumberFormat="1" applyFont="1" applyBorder="1" applyAlignment="1">
      <alignment vertical="center"/>
    </xf>
    <xf numFmtId="2" fontId="6" fillId="0" borderId="29" xfId="3" applyNumberFormat="1" applyFont="1" applyBorder="1" applyAlignment="1">
      <alignment vertical="center"/>
    </xf>
    <xf numFmtId="2" fontId="6" fillId="0" borderId="38" xfId="3" applyNumberFormat="1" applyFont="1" applyBorder="1" applyAlignment="1">
      <alignment vertical="center"/>
    </xf>
    <xf numFmtId="2" fontId="6" fillId="2" borderId="44" xfId="3" applyNumberFormat="1" applyFont="1" applyFill="1" applyBorder="1" applyAlignment="1">
      <alignment horizontal="right" vertical="center"/>
    </xf>
    <xf numFmtId="2" fontId="6" fillId="0" borderId="29" xfId="3" applyNumberFormat="1" applyFont="1" applyBorder="1" applyAlignment="1">
      <alignment horizontal="right" vertical="center"/>
    </xf>
    <xf numFmtId="3" fontId="0" fillId="0" borderId="28" xfId="0" applyNumberFormat="1" applyBorder="1"/>
    <xf numFmtId="2" fontId="16" fillId="0" borderId="14" xfId="0" applyNumberFormat="1" applyFont="1" applyBorder="1"/>
    <xf numFmtId="3" fontId="20" fillId="0" borderId="14" xfId="0" applyNumberFormat="1" applyFont="1" applyBorder="1"/>
    <xf numFmtId="3" fontId="20" fillId="0" borderId="0" xfId="0" applyNumberFormat="1" applyFont="1" applyBorder="1"/>
    <xf numFmtId="3" fontId="20" fillId="0" borderId="4" xfId="0" applyNumberFormat="1" applyFont="1" applyBorder="1"/>
    <xf numFmtId="3" fontId="21" fillId="0" borderId="4" xfId="0" applyNumberFormat="1" applyFont="1" applyBorder="1"/>
    <xf numFmtId="2" fontId="20" fillId="0" borderId="14" xfId="0" applyNumberFormat="1" applyFont="1" applyBorder="1"/>
    <xf numFmtId="3" fontId="20" fillId="0" borderId="0" xfId="0" applyNumberFormat="1" applyFont="1" applyBorder="1" applyAlignment="1"/>
    <xf numFmtId="3" fontId="20" fillId="0" borderId="14" xfId="0" applyNumberFormat="1" applyFont="1" applyBorder="1" applyAlignment="1"/>
    <xf numFmtId="3" fontId="20" fillId="0" borderId="4" xfId="0" applyNumberFormat="1" applyFont="1" applyBorder="1" applyAlignment="1"/>
    <xf numFmtId="3" fontId="20" fillId="0" borderId="11" xfId="0" applyNumberFormat="1" applyFont="1" applyBorder="1"/>
    <xf numFmtId="2" fontId="20" fillId="0" borderId="18" xfId="0" applyNumberFormat="1" applyFont="1" applyBorder="1"/>
    <xf numFmtId="3" fontId="21" fillId="0" borderId="5" xfId="0" applyNumberFormat="1" applyFont="1" applyBorder="1"/>
    <xf numFmtId="3" fontId="21" fillId="0" borderId="0" xfId="0" applyNumberFormat="1" applyFont="1" applyBorder="1"/>
    <xf numFmtId="2" fontId="21" fillId="0" borderId="14" xfId="0" applyNumberFormat="1" applyFont="1" applyBorder="1"/>
    <xf numFmtId="3" fontId="9" fillId="0" borderId="30" xfId="0" applyNumberFormat="1" applyFont="1" applyBorder="1"/>
    <xf numFmtId="3" fontId="9" fillId="0" borderId="32" xfId="0" applyNumberFormat="1" applyFont="1" applyBorder="1"/>
    <xf numFmtId="3" fontId="9" fillId="0" borderId="68" xfId="0" applyNumberFormat="1" applyFont="1" applyBorder="1"/>
    <xf numFmtId="3" fontId="9" fillId="0" borderId="26" xfId="0" applyNumberFormat="1" applyFont="1" applyBorder="1"/>
    <xf numFmtId="3" fontId="9" fillId="0" borderId="28" xfId="0" applyNumberFormat="1" applyFont="1" applyBorder="1"/>
    <xf numFmtId="3" fontId="9" fillId="0" borderId="27" xfId="0" applyNumberFormat="1" applyFont="1" applyBorder="1"/>
    <xf numFmtId="3" fontId="9" fillId="0" borderId="34" xfId="0" applyNumberFormat="1" applyFont="1" applyBorder="1"/>
    <xf numFmtId="3" fontId="9" fillId="0" borderId="36" xfId="0" applyNumberFormat="1" applyFont="1" applyBorder="1"/>
    <xf numFmtId="3" fontId="9" fillId="0" borderId="35" xfId="0" applyNumberFormat="1" applyFont="1" applyBorder="1"/>
    <xf numFmtId="3" fontId="9" fillId="0" borderId="22" xfId="0" applyNumberFormat="1" applyFont="1" applyBorder="1"/>
    <xf numFmtId="3" fontId="9" fillId="0" borderId="23" xfId="0" applyNumberFormat="1" applyFont="1" applyBorder="1"/>
    <xf numFmtId="3" fontId="9" fillId="0" borderId="46" xfId="0" applyNumberFormat="1" applyFont="1" applyBorder="1"/>
    <xf numFmtId="0" fontId="10" fillId="8" borderId="19" xfId="4" applyFont="1" applyFill="1" applyBorder="1" applyAlignment="1">
      <alignment horizontal="center"/>
    </xf>
    <xf numFmtId="0" fontId="10" fillId="7" borderId="20" xfId="0" applyFont="1" applyFill="1" applyBorder="1" applyAlignment="1">
      <alignment horizontal="center" vertical="center" wrapText="1"/>
    </xf>
    <xf numFmtId="0" fontId="10" fillId="7" borderId="43"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10" fillId="7" borderId="44" xfId="0" applyFont="1" applyFill="1" applyBorder="1" applyAlignment="1">
      <alignment horizontal="center" vertical="center" wrapText="1"/>
    </xf>
    <xf numFmtId="0" fontId="22" fillId="0" borderId="28" xfId="0" applyFont="1" applyFill="1" applyBorder="1" applyAlignment="1">
      <alignment wrapText="1"/>
    </xf>
    <xf numFmtId="0" fontId="6" fillId="0" borderId="0" xfId="4" applyFont="1" applyAlignment="1">
      <alignment horizontal="left"/>
    </xf>
    <xf numFmtId="0" fontId="1" fillId="0" borderId="0" xfId="4"/>
    <xf numFmtId="0" fontId="6" fillId="0" borderId="0" xfId="2" applyFont="1" applyAlignment="1">
      <alignment vertical="center"/>
    </xf>
    <xf numFmtId="0" fontId="3" fillId="7" borderId="28" xfId="4" applyFont="1" applyFill="1" applyBorder="1" applyAlignment="1">
      <alignment horizontal="center" vertical="center" wrapText="1"/>
    </xf>
    <xf numFmtId="0" fontId="3" fillId="7" borderId="28" xfId="4" applyFont="1" applyFill="1" applyBorder="1" applyAlignment="1">
      <alignment horizontal="center" vertical="center"/>
    </xf>
    <xf numFmtId="0" fontId="3" fillId="0" borderId="0" xfId="4" applyFont="1" applyAlignment="1">
      <alignment horizontal="center" vertical="center"/>
    </xf>
    <xf numFmtId="0" fontId="3" fillId="6" borderId="28" xfId="4" applyFont="1" applyFill="1" applyBorder="1"/>
    <xf numFmtId="3" fontId="3" fillId="6" borderId="28" xfId="4" applyNumberFormat="1" applyFont="1" applyFill="1" applyBorder="1"/>
    <xf numFmtId="0" fontId="1" fillId="0" borderId="28" xfId="4" applyBorder="1" applyAlignment="1">
      <alignment horizontal="left" indent="2"/>
    </xf>
    <xf numFmtId="3" fontId="1" fillId="0" borderId="28" xfId="4" applyNumberFormat="1" applyBorder="1"/>
    <xf numFmtId="0" fontId="3" fillId="6" borderId="28" xfId="4" applyFont="1" applyFill="1" applyBorder="1" applyAlignment="1">
      <alignment horizontal="right" vertical="center"/>
    </xf>
    <xf numFmtId="3" fontId="3" fillId="6" borderId="28" xfId="4" applyNumberFormat="1" applyFont="1" applyFill="1" applyBorder="1" applyAlignment="1">
      <alignment vertical="center"/>
    </xf>
    <xf numFmtId="0" fontId="1" fillId="0" borderId="0" xfId="4" applyAlignment="1">
      <alignment vertical="center"/>
    </xf>
    <xf numFmtId="0" fontId="3" fillId="6" borderId="36" xfId="4" applyFont="1" applyFill="1" applyBorder="1" applyAlignment="1">
      <alignment horizontal="right" vertical="center"/>
    </xf>
    <xf numFmtId="0" fontId="2" fillId="0" borderId="78" xfId="4" applyFont="1" applyBorder="1" applyAlignment="1">
      <alignment horizontal="left" indent="2"/>
    </xf>
    <xf numFmtId="49" fontId="23" fillId="7" borderId="17" xfId="3" applyFont="1" applyFill="1" applyBorder="1" applyAlignment="1">
      <alignment horizontal="center" textRotation="90" wrapText="1"/>
    </xf>
    <xf numFmtId="3" fontId="2" fillId="0" borderId="22" xfId="3" applyNumberFormat="1" applyFont="1" applyBorder="1" applyAlignment="1">
      <alignment horizontal="right" vertical="center"/>
    </xf>
    <xf numFmtId="3" fontId="2" fillId="0" borderId="23" xfId="3" applyNumberFormat="1" applyFont="1" applyBorder="1" applyAlignment="1">
      <alignment horizontal="right" vertical="center"/>
    </xf>
    <xf numFmtId="3" fontId="6" fillId="0" borderId="24" xfId="3" applyNumberFormat="1" applyFont="1" applyBorder="1" applyAlignment="1">
      <alignment horizontal="right" vertical="center"/>
    </xf>
    <xf numFmtId="3" fontId="6" fillId="0" borderId="22" xfId="3" applyNumberFormat="1" applyFont="1" applyBorder="1" applyAlignment="1">
      <alignment horizontal="right" vertical="center"/>
    </xf>
    <xf numFmtId="3" fontId="6" fillId="0" borderId="23" xfId="3" applyNumberFormat="1" applyFont="1" applyBorder="1" applyAlignment="1">
      <alignment horizontal="right" vertical="center"/>
    </xf>
    <xf numFmtId="3" fontId="2" fillId="0" borderId="26" xfId="3" applyNumberFormat="1" applyFont="1" applyBorder="1" applyAlignment="1">
      <alignment horizontal="right" vertical="center"/>
    </xf>
    <xf numFmtId="3" fontId="6" fillId="0" borderId="28" xfId="3" applyNumberFormat="1" applyFont="1" applyBorder="1" applyAlignment="1">
      <alignment horizontal="right" vertical="center"/>
    </xf>
    <xf numFmtId="3" fontId="2" fillId="0" borderId="34" xfId="3" applyNumberFormat="1" applyFont="1" applyBorder="1" applyAlignment="1">
      <alignment horizontal="right" vertical="center"/>
    </xf>
    <xf numFmtId="3" fontId="2" fillId="0" borderId="36" xfId="3" applyNumberFormat="1" applyFont="1" applyBorder="1" applyAlignment="1">
      <alignment horizontal="right" vertical="center"/>
    </xf>
    <xf numFmtId="3" fontId="6" fillId="0" borderId="37" xfId="3" applyNumberFormat="1" applyFont="1" applyBorder="1" applyAlignment="1">
      <alignment horizontal="right" vertical="center"/>
    </xf>
    <xf numFmtId="3" fontId="6" fillId="0" borderId="34" xfId="3" applyNumberFormat="1" applyFont="1" applyBorder="1" applyAlignment="1">
      <alignment horizontal="right" vertical="center"/>
    </xf>
    <xf numFmtId="3" fontId="6" fillId="0" borderId="36" xfId="3" applyNumberFormat="1" applyFont="1" applyBorder="1" applyAlignment="1">
      <alignment horizontal="right" vertical="center"/>
    </xf>
    <xf numFmtId="3" fontId="10" fillId="0" borderId="0" xfId="2" applyNumberFormat="1" applyFont="1" applyFill="1" applyBorder="1" applyAlignment="1">
      <alignment vertical="center"/>
    </xf>
    <xf numFmtId="3" fontId="9" fillId="0" borderId="0" xfId="2" applyNumberFormat="1" applyFont="1" applyBorder="1" applyAlignment="1">
      <alignment vertical="center"/>
    </xf>
    <xf numFmtId="3" fontId="9" fillId="0" borderId="57" xfId="2" applyNumberFormat="1" applyFont="1" applyBorder="1" applyAlignment="1">
      <alignment vertical="center"/>
    </xf>
    <xf numFmtId="3" fontId="9" fillId="0" borderId="13" xfId="2" applyNumberFormat="1" applyFont="1" applyBorder="1" applyAlignment="1">
      <alignment vertical="center"/>
    </xf>
    <xf numFmtId="3" fontId="9" fillId="0" borderId="14" xfId="2" applyNumberFormat="1" applyFont="1" applyBorder="1" applyAlignment="1">
      <alignment vertical="center"/>
    </xf>
    <xf numFmtId="3" fontId="9" fillId="0" borderId="3" xfId="2" applyNumberFormat="1" applyFont="1" applyBorder="1" applyAlignment="1">
      <alignment vertical="center"/>
    </xf>
    <xf numFmtId="3" fontId="10" fillId="2" borderId="19" xfId="2" applyNumberFormat="1" applyFont="1" applyFill="1" applyBorder="1" applyAlignment="1">
      <alignment vertical="center"/>
    </xf>
    <xf numFmtId="3" fontId="10" fillId="2" borderId="44" xfId="2" applyNumberFormat="1" applyFont="1" applyFill="1" applyBorder="1" applyAlignment="1">
      <alignment vertical="center"/>
    </xf>
    <xf numFmtId="3" fontId="10" fillId="2" borderId="15" xfId="2" applyNumberFormat="1" applyFont="1" applyFill="1" applyBorder="1" applyAlignment="1">
      <alignment vertical="center"/>
    </xf>
    <xf numFmtId="3" fontId="10" fillId="2" borderId="20" xfId="2" applyNumberFormat="1" applyFont="1" applyFill="1" applyBorder="1" applyAlignment="1">
      <alignment vertical="center"/>
    </xf>
    <xf numFmtId="3" fontId="10" fillId="2" borderId="5" xfId="2" applyNumberFormat="1" applyFont="1" applyFill="1" applyBorder="1" applyAlignment="1">
      <alignment vertical="center"/>
    </xf>
    <xf numFmtId="3" fontId="9" fillId="0" borderId="58" xfId="2" applyNumberFormat="1" applyFont="1" applyBorder="1" applyAlignment="1">
      <alignment vertical="center"/>
    </xf>
    <xf numFmtId="3" fontId="10" fillId="2" borderId="43" xfId="2" applyNumberFormat="1" applyFont="1" applyFill="1" applyBorder="1" applyAlignment="1">
      <alignment vertical="center"/>
    </xf>
    <xf numFmtId="3" fontId="9" fillId="0" borderId="0" xfId="2" applyNumberFormat="1" applyFont="1" applyFill="1" applyBorder="1" applyAlignment="1">
      <alignment vertical="center"/>
    </xf>
    <xf numFmtId="3" fontId="9" fillId="0" borderId="57" xfId="2" applyNumberFormat="1" applyFont="1" applyFill="1" applyBorder="1" applyAlignment="1">
      <alignment vertical="center"/>
    </xf>
    <xf numFmtId="3" fontId="9" fillId="0" borderId="13" xfId="2" applyNumberFormat="1" applyFont="1" applyFill="1" applyBorder="1" applyAlignment="1">
      <alignment vertical="center"/>
    </xf>
    <xf numFmtId="3" fontId="9" fillId="0" borderId="14" xfId="2" applyNumberFormat="1" applyFont="1" applyFill="1" applyBorder="1" applyAlignment="1">
      <alignment vertical="center"/>
    </xf>
    <xf numFmtId="3" fontId="9" fillId="0" borderId="3" xfId="2" applyNumberFormat="1" applyFont="1" applyFill="1" applyBorder="1" applyAlignment="1">
      <alignment vertical="center"/>
    </xf>
    <xf numFmtId="3" fontId="9" fillId="0" borderId="58" xfId="2" applyNumberFormat="1" applyFont="1" applyFill="1" applyBorder="1" applyAlignment="1">
      <alignment vertical="center"/>
    </xf>
    <xf numFmtId="3" fontId="9" fillId="0" borderId="0" xfId="0" applyNumberFormat="1" applyFont="1"/>
    <xf numFmtId="10" fontId="9" fillId="0" borderId="56" xfId="2" applyNumberFormat="1" applyFont="1" applyFill="1" applyBorder="1" applyAlignment="1">
      <alignment vertical="center"/>
    </xf>
    <xf numFmtId="10" fontId="9" fillId="0" borderId="4" xfId="2" applyNumberFormat="1" applyFont="1" applyFill="1" applyBorder="1" applyAlignment="1">
      <alignment vertical="center"/>
    </xf>
    <xf numFmtId="10" fontId="10" fillId="2" borderId="18" xfId="2" applyNumberFormat="1" applyFont="1" applyFill="1" applyBorder="1" applyAlignment="1">
      <alignment vertical="center"/>
    </xf>
    <xf numFmtId="10" fontId="10" fillId="2" borderId="17" xfId="2" applyNumberFormat="1" applyFont="1" applyFill="1" applyBorder="1" applyAlignment="1">
      <alignment vertical="center"/>
    </xf>
    <xf numFmtId="10" fontId="9" fillId="3" borderId="39" xfId="0" applyNumberFormat="1" applyFont="1" applyFill="1" applyBorder="1"/>
    <xf numFmtId="10" fontId="9" fillId="3" borderId="41" xfId="0" applyNumberFormat="1" applyFont="1" applyFill="1" applyBorder="1"/>
    <xf numFmtId="10" fontId="9" fillId="3" borderId="40" xfId="0" applyNumberFormat="1" applyFont="1" applyFill="1" applyBorder="1"/>
    <xf numFmtId="10" fontId="9" fillId="3" borderId="53" xfId="0" applyNumberFormat="1" applyFont="1" applyFill="1" applyBorder="1"/>
    <xf numFmtId="10" fontId="9" fillId="3" borderId="41" xfId="0" applyNumberFormat="1" applyFont="1" applyFill="1" applyBorder="1" applyAlignment="1"/>
    <xf numFmtId="10" fontId="9" fillId="0" borderId="40" xfId="0" applyNumberFormat="1" applyFont="1" applyBorder="1"/>
    <xf numFmtId="49" fontId="11" fillId="7" borderId="40" xfId="3" applyFont="1" applyFill="1" applyBorder="1" applyAlignment="1">
      <alignment horizontal="center" textRotation="90" wrapText="1"/>
    </xf>
    <xf numFmtId="3" fontId="10" fillId="0" borderId="38" xfId="0" applyNumberFormat="1" applyFont="1" applyBorder="1"/>
    <xf numFmtId="3" fontId="10" fillId="0" borderId="31" xfId="0" applyNumberFormat="1" applyFont="1" applyBorder="1"/>
    <xf numFmtId="3" fontId="10" fillId="0" borderId="29" xfId="0" applyNumberFormat="1" applyFont="1" applyBorder="1"/>
    <xf numFmtId="3" fontId="10" fillId="0" borderId="32" xfId="0" applyNumberFormat="1" applyFont="1" applyBorder="1"/>
    <xf numFmtId="0" fontId="10" fillId="0" borderId="31" xfId="0" applyNumberFormat="1" applyFont="1" applyBorder="1"/>
    <xf numFmtId="3" fontId="10" fillId="0" borderId="28" xfId="0" applyNumberFormat="1" applyFont="1" applyBorder="1"/>
    <xf numFmtId="0" fontId="10" fillId="0" borderId="29" xfId="0" applyNumberFormat="1" applyFont="1" applyBorder="1"/>
    <xf numFmtId="3" fontId="10" fillId="0" borderId="36" xfId="0" applyNumberFormat="1" applyFont="1" applyBorder="1"/>
    <xf numFmtId="0" fontId="10" fillId="0" borderId="38" xfId="0" applyNumberFormat="1" applyFont="1" applyBorder="1"/>
    <xf numFmtId="0" fontId="10" fillId="0" borderId="3" xfId="0" applyFont="1" applyBorder="1" applyAlignment="1">
      <alignment horizontal="left"/>
    </xf>
    <xf numFmtId="10" fontId="9" fillId="0" borderId="31" xfId="0" applyNumberFormat="1" applyFont="1" applyBorder="1"/>
    <xf numFmtId="10" fontId="9" fillId="0" borderId="29" xfId="0" applyNumberFormat="1" applyFont="1" applyBorder="1"/>
    <xf numFmtId="10" fontId="10" fillId="3" borderId="40" xfId="0" applyNumberFormat="1" applyFont="1" applyFill="1" applyBorder="1"/>
    <xf numFmtId="10" fontId="10" fillId="3" borderId="41" xfId="0" applyNumberFormat="1" applyFont="1" applyFill="1" applyBorder="1"/>
    <xf numFmtId="0" fontId="10" fillId="7" borderId="19" xfId="2" applyFont="1" applyFill="1" applyBorder="1" applyAlignment="1">
      <alignment horizontal="center" vertical="center"/>
    </xf>
    <xf numFmtId="0" fontId="10" fillId="0" borderId="0" xfId="0" applyFont="1" applyAlignment="1">
      <alignment horizontal="center"/>
    </xf>
    <xf numFmtId="0" fontId="10" fillId="0" borderId="0" xfId="0" applyFont="1" applyAlignment="1">
      <alignment horizontal="center" vertical="center"/>
    </xf>
    <xf numFmtId="0" fontId="10" fillId="0" borderId="0" xfId="2" applyFont="1" applyAlignment="1">
      <alignment vertical="center"/>
    </xf>
    <xf numFmtId="0" fontId="10" fillId="0" borderId="0" xfId="2" applyFont="1" applyAlignment="1">
      <alignment horizontal="center" vertical="center"/>
    </xf>
    <xf numFmtId="0" fontId="10" fillId="0" borderId="0" xfId="2" applyFont="1" applyAlignment="1">
      <alignment horizontal="center"/>
    </xf>
    <xf numFmtId="0" fontId="9" fillId="0" borderId="0" xfId="0" applyFont="1" applyAlignment="1">
      <alignment horizontal="center"/>
    </xf>
    <xf numFmtId="0" fontId="9" fillId="0" borderId="0" xfId="0" applyFont="1" applyAlignment="1">
      <alignment horizontal="center" vertical="center"/>
    </xf>
    <xf numFmtId="164" fontId="9" fillId="0" borderId="0" xfId="0" applyNumberFormat="1" applyFont="1" applyAlignment="1">
      <alignment horizontal="center"/>
    </xf>
    <xf numFmtId="164" fontId="10" fillId="7" borderId="43" xfId="0" applyNumberFormat="1" applyFont="1" applyFill="1" applyBorder="1" applyAlignment="1">
      <alignment horizontal="center" vertical="center" textRotation="90" wrapText="1"/>
    </xf>
    <xf numFmtId="0" fontId="10" fillId="0" borderId="0" xfId="0" applyFont="1" applyAlignment="1">
      <alignment horizontal="center" vertical="center" textRotation="90" wrapText="1"/>
    </xf>
    <xf numFmtId="0" fontId="9" fillId="0" borderId="0" xfId="0" applyFont="1" applyAlignment="1">
      <alignment vertical="center"/>
    </xf>
    <xf numFmtId="0" fontId="9" fillId="0" borderId="16" xfId="0" applyFont="1" applyBorder="1" applyAlignment="1">
      <alignment horizontal="center"/>
    </xf>
    <xf numFmtId="0" fontId="9" fillId="0" borderId="15" xfId="0" applyFont="1" applyBorder="1" applyAlignment="1">
      <alignment horizontal="center"/>
    </xf>
    <xf numFmtId="0" fontId="9" fillId="0" borderId="20" xfId="0" applyFont="1" applyBorder="1" applyAlignment="1">
      <alignment horizontal="center" vertical="center"/>
    </xf>
    <xf numFmtId="164" fontId="9" fillId="0" borderId="43" xfId="0" applyNumberFormat="1" applyFont="1" applyBorder="1" applyAlignment="1">
      <alignment horizontal="center"/>
    </xf>
    <xf numFmtId="0" fontId="10" fillId="0" borderId="0" xfId="4" applyFont="1"/>
    <xf numFmtId="0" fontId="8" fillId="0" borderId="0" xfId="4" applyFont="1"/>
    <xf numFmtId="0" fontId="8" fillId="0" borderId="0" xfId="2" applyFont="1" applyAlignment="1">
      <alignment vertical="center"/>
    </xf>
    <xf numFmtId="0" fontId="15" fillId="0" borderId="0" xfId="4" applyFont="1"/>
    <xf numFmtId="0" fontId="10" fillId="0" borderId="0" xfId="4" applyFont="1" applyAlignment="1">
      <alignment horizontal="center"/>
    </xf>
    <xf numFmtId="3" fontId="9" fillId="0" borderId="0" xfId="4" applyNumberFormat="1" applyFont="1"/>
    <xf numFmtId="0" fontId="9" fillId="0" borderId="4" xfId="4" applyFont="1" applyBorder="1" applyAlignment="1">
      <alignment horizontal="center"/>
    </xf>
    <xf numFmtId="3" fontId="9" fillId="0" borderId="4" xfId="4" applyNumberFormat="1" applyFont="1" applyBorder="1" applyAlignment="1">
      <alignment horizontal="center"/>
    </xf>
    <xf numFmtId="3" fontId="9" fillId="0" borderId="0" xfId="4" applyNumberFormat="1" applyFont="1" applyAlignment="1">
      <alignment horizontal="center"/>
    </xf>
    <xf numFmtId="49" fontId="9" fillId="0" borderId="14" xfId="4" applyNumberFormat="1" applyFont="1" applyBorder="1" applyAlignment="1">
      <alignment horizontal="center"/>
    </xf>
    <xf numFmtId="4" fontId="9" fillId="0" borderId="4" xfId="4" applyNumberFormat="1" applyFont="1" applyBorder="1"/>
    <xf numFmtId="0" fontId="6" fillId="7" borderId="23" xfId="0" applyFont="1" applyFill="1" applyBorder="1" applyAlignment="1">
      <alignment horizontal="center" vertical="center" wrapText="1"/>
    </xf>
    <xf numFmtId="0" fontId="10" fillId="0" borderId="0" xfId="2" applyFont="1" applyAlignment="1">
      <alignment vertical="center" wrapText="1"/>
    </xf>
    <xf numFmtId="0" fontId="10" fillId="0" borderId="0" xfId="2" applyFont="1" applyAlignment="1">
      <alignment horizontal="center" vertical="center" wrapText="1"/>
    </xf>
    <xf numFmtId="2" fontId="10" fillId="0" borderId="0" xfId="2" applyNumberFormat="1" applyFont="1" applyAlignment="1">
      <alignment horizontal="right" vertical="center" wrapText="1"/>
    </xf>
    <xf numFmtId="0" fontId="9" fillId="0" borderId="0" xfId="4" applyFont="1" applyAlignment="1">
      <alignment wrapText="1"/>
    </xf>
    <xf numFmtId="49" fontId="9" fillId="0" borderId="0" xfId="3" applyFont="1" applyAlignment="1">
      <alignment vertical="center" wrapText="1"/>
    </xf>
    <xf numFmtId="0" fontId="9" fillId="0" borderId="0" xfId="4" applyFont="1" applyAlignment="1">
      <alignment horizontal="center" wrapText="1"/>
    </xf>
    <xf numFmtId="2" fontId="9" fillId="0" borderId="0" xfId="4" applyNumberFormat="1" applyFont="1" applyAlignment="1">
      <alignment horizontal="right" wrapText="1"/>
    </xf>
    <xf numFmtId="0" fontId="10" fillId="2" borderId="4" xfId="2" applyFont="1" applyFill="1" applyBorder="1" applyAlignment="1">
      <alignment horizontal="center" vertical="center" wrapText="1"/>
    </xf>
    <xf numFmtId="0" fontId="10" fillId="2" borderId="8" xfId="2" applyFont="1" applyFill="1" applyBorder="1" applyAlignment="1">
      <alignment horizontal="center" vertical="center" wrapText="1"/>
    </xf>
    <xf numFmtId="0" fontId="10" fillId="2" borderId="21" xfId="2" applyFont="1" applyFill="1" applyBorder="1" applyAlignment="1">
      <alignment horizontal="center" vertical="center" wrapText="1"/>
    </xf>
    <xf numFmtId="2" fontId="10" fillId="2" borderId="21" xfId="2" applyNumberFormat="1" applyFont="1" applyFill="1" applyBorder="1" applyAlignment="1">
      <alignment horizontal="right" vertical="center" wrapText="1"/>
    </xf>
    <xf numFmtId="0" fontId="1" fillId="0" borderId="28" xfId="4" applyBorder="1" applyAlignment="1">
      <alignment wrapText="1"/>
    </xf>
    <xf numFmtId="0" fontId="10" fillId="0" borderId="28" xfId="2" applyFont="1" applyBorder="1" applyAlignment="1">
      <alignment horizontal="left" vertical="center" wrapText="1"/>
    </xf>
    <xf numFmtId="0" fontId="10" fillId="0" borderId="28" xfId="2" applyFont="1" applyBorder="1" applyAlignment="1">
      <alignment vertical="center" wrapText="1"/>
    </xf>
    <xf numFmtId="0" fontId="10" fillId="0" borderId="28" xfId="2" applyFont="1" applyBorder="1" applyAlignment="1">
      <alignment horizontal="center" vertical="center" wrapText="1"/>
    </xf>
    <xf numFmtId="4" fontId="1" fillId="0" borderId="28" xfId="4" applyNumberFormat="1" applyBorder="1" applyAlignment="1">
      <alignment horizontal="right" wrapText="1"/>
    </xf>
    <xf numFmtId="14" fontId="10" fillId="0" borderId="28" xfId="2" applyNumberFormat="1" applyFont="1" applyBorder="1" applyAlignment="1">
      <alignment vertical="center" wrapText="1"/>
    </xf>
    <xf numFmtId="2" fontId="1" fillId="0" borderId="28" xfId="4" applyNumberFormat="1" applyBorder="1" applyAlignment="1">
      <alignment horizontal="right" wrapText="1"/>
    </xf>
    <xf numFmtId="4" fontId="1" fillId="0" borderId="0" xfId="4" applyNumberFormat="1"/>
    <xf numFmtId="4" fontId="1" fillId="0" borderId="28" xfId="4" applyNumberFormat="1" applyBorder="1"/>
    <xf numFmtId="0" fontId="10" fillId="2" borderId="11" xfId="2" applyFont="1" applyFill="1" applyBorder="1" applyAlignment="1">
      <alignment horizontal="center" vertical="center" wrapText="1"/>
    </xf>
    <xf numFmtId="0" fontId="10" fillId="2" borderId="7" xfId="2" applyFont="1" applyFill="1" applyBorder="1" applyAlignment="1">
      <alignment horizontal="center" vertical="center" wrapText="1"/>
    </xf>
    <xf numFmtId="0" fontId="10" fillId="2" borderId="5" xfId="2" applyFont="1" applyFill="1" applyBorder="1" applyAlignment="1">
      <alignment vertical="center" wrapText="1"/>
    </xf>
    <xf numFmtId="0" fontId="10" fillId="2" borderId="18" xfId="2" applyFont="1" applyFill="1" applyBorder="1" applyAlignment="1">
      <alignment vertical="center" wrapText="1"/>
    </xf>
    <xf numFmtId="0" fontId="10" fillId="2" borderId="18" xfId="2" applyFont="1" applyFill="1" applyBorder="1" applyAlignment="1">
      <alignment horizontal="center" vertical="center" wrapText="1"/>
    </xf>
    <xf numFmtId="2" fontId="10" fillId="2" borderId="18" xfId="2" applyNumberFormat="1" applyFont="1" applyFill="1" applyBorder="1" applyAlignment="1">
      <alignment horizontal="right" vertical="center" wrapText="1"/>
    </xf>
    <xf numFmtId="0" fontId="9" fillId="0" borderId="0" xfId="2" applyFont="1" applyAlignment="1">
      <alignment horizontal="left" vertical="center" wrapText="1"/>
    </xf>
    <xf numFmtId="49" fontId="9" fillId="0" borderId="0" xfId="1" applyNumberFormat="1" applyFont="1" applyAlignment="1">
      <alignment horizontal="left" vertical="center" wrapText="1"/>
    </xf>
    <xf numFmtId="49" fontId="12" fillId="0" borderId="0" xfId="1" quotePrefix="1" applyNumberFormat="1" applyFont="1" applyAlignment="1">
      <alignment horizontal="left" vertical="center"/>
    </xf>
    <xf numFmtId="0" fontId="10" fillId="0" borderId="3" xfId="2" applyFont="1" applyBorder="1" applyAlignment="1">
      <alignment horizontal="left" vertical="center"/>
    </xf>
    <xf numFmtId="0" fontId="10" fillId="0" borderId="14" xfId="2" applyFont="1" applyBorder="1" applyAlignment="1">
      <alignment vertical="center"/>
    </xf>
    <xf numFmtId="0" fontId="10" fillId="0" borderId="4" xfId="2" applyFont="1" applyBorder="1" applyAlignment="1">
      <alignment vertical="center"/>
    </xf>
    <xf numFmtId="0" fontId="10" fillId="0" borderId="3" xfId="2" applyFont="1" applyBorder="1" applyAlignment="1">
      <alignment vertical="center"/>
    </xf>
    <xf numFmtId="4" fontId="10" fillId="2" borderId="19" xfId="2" applyNumberFormat="1" applyFont="1" applyFill="1" applyBorder="1" applyAlignment="1">
      <alignment horizontal="center" vertical="center"/>
    </xf>
    <xf numFmtId="49" fontId="9" fillId="0" borderId="0" xfId="1" applyNumberFormat="1" applyFont="1" applyAlignment="1">
      <alignment horizontal="left" vertical="center"/>
    </xf>
    <xf numFmtId="164" fontId="9" fillId="0" borderId="0" xfId="4" applyNumberFormat="1" applyFont="1"/>
    <xf numFmtId="0" fontId="10" fillId="7" borderId="43" xfId="4" applyFont="1" applyFill="1" applyBorder="1" applyAlignment="1">
      <alignment horizontal="center" vertical="center" wrapText="1"/>
    </xf>
    <xf numFmtId="0" fontId="10" fillId="7" borderId="5" xfId="4" applyFont="1" applyFill="1" applyBorder="1" applyAlignment="1">
      <alignment horizontal="center" vertical="center" wrapText="1"/>
    </xf>
    <xf numFmtId="0" fontId="10" fillId="7" borderId="15" xfId="4" applyFont="1" applyFill="1" applyBorder="1" applyAlignment="1">
      <alignment horizontal="center" vertical="center" wrapText="1"/>
    </xf>
    <xf numFmtId="0" fontId="10" fillId="7" borderId="19" xfId="4" applyFont="1" applyFill="1" applyBorder="1" applyAlignment="1">
      <alignment horizontal="center" vertical="center" wrapText="1"/>
    </xf>
    <xf numFmtId="0" fontId="10" fillId="7" borderId="16" xfId="4" applyFont="1" applyFill="1" applyBorder="1" applyAlignment="1">
      <alignment horizontal="center" vertical="center" wrapText="1"/>
    </xf>
    <xf numFmtId="164" fontId="10" fillId="7" borderId="16" xfId="4" applyNumberFormat="1" applyFont="1" applyFill="1" applyBorder="1" applyAlignment="1">
      <alignment horizontal="center" vertical="center" textRotation="90" wrapText="1"/>
    </xf>
    <xf numFmtId="164" fontId="10" fillId="7" borderId="44" xfId="4" applyNumberFormat="1" applyFont="1" applyFill="1" applyBorder="1" applyAlignment="1">
      <alignment horizontal="center" vertical="center" textRotation="90" wrapText="1"/>
    </xf>
    <xf numFmtId="0" fontId="10" fillId="7" borderId="18" xfId="4" applyFont="1" applyFill="1" applyBorder="1" applyAlignment="1">
      <alignment horizontal="center" vertical="center" wrapText="1"/>
    </xf>
    <xf numFmtId="0" fontId="10" fillId="0" borderId="0" xfId="4" applyFont="1" applyAlignment="1">
      <alignment horizontal="center" textRotation="90" wrapText="1"/>
    </xf>
    <xf numFmtId="0" fontId="9" fillId="0" borderId="58" xfId="4" applyFont="1" applyBorder="1"/>
    <xf numFmtId="0" fontId="9" fillId="0" borderId="51" xfId="4" applyFont="1" applyBorder="1"/>
    <xf numFmtId="0" fontId="9" fillId="0" borderId="57" xfId="4" applyFont="1" applyBorder="1"/>
    <xf numFmtId="43" fontId="9" fillId="0" borderId="13" xfId="5" applyFont="1" applyBorder="1" applyAlignment="1">
      <alignment horizontal="left" vertical="center"/>
    </xf>
    <xf numFmtId="0" fontId="9" fillId="0" borderId="13" xfId="4" applyFont="1" applyBorder="1"/>
    <xf numFmtId="0" fontId="9" fillId="0" borderId="56" xfId="4" applyFont="1" applyBorder="1"/>
    <xf numFmtId="0" fontId="9" fillId="0" borderId="9" xfId="4" applyFont="1" applyBorder="1"/>
    <xf numFmtId="0" fontId="10" fillId="0" borderId="43" xfId="4" applyFont="1" applyBorder="1" applyAlignment="1">
      <alignment horizontal="center"/>
    </xf>
    <xf numFmtId="0" fontId="10" fillId="0" borderId="18" xfId="4" applyFont="1" applyBorder="1" applyAlignment="1">
      <alignment horizontal="center"/>
    </xf>
    <xf numFmtId="0" fontId="9" fillId="0" borderId="15" xfId="4" applyFont="1" applyBorder="1"/>
    <xf numFmtId="0" fontId="9" fillId="0" borderId="17" xfId="4" applyFont="1" applyBorder="1"/>
    <xf numFmtId="0" fontId="9" fillId="0" borderId="43" xfId="4" applyFont="1" applyBorder="1"/>
    <xf numFmtId="0" fontId="9" fillId="0" borderId="16" xfId="4" applyFont="1" applyBorder="1"/>
    <xf numFmtId="0" fontId="9" fillId="0" borderId="44" xfId="4" applyFont="1" applyBorder="1"/>
    <xf numFmtId="0" fontId="9" fillId="0" borderId="18" xfId="4" applyFont="1" applyBorder="1"/>
    <xf numFmtId="0" fontId="10" fillId="7" borderId="31" xfId="2" applyFont="1" applyFill="1" applyBorder="1" applyAlignment="1">
      <alignment horizontal="center" vertical="center" wrapText="1"/>
    </xf>
    <xf numFmtId="0" fontId="10" fillId="7" borderId="12" xfId="2" applyFont="1" applyFill="1" applyBorder="1" applyAlignment="1">
      <alignment horizontal="center" vertical="center"/>
    </xf>
    <xf numFmtId="0" fontId="6" fillId="0" borderId="0" xfId="0" applyFont="1" applyAlignment="1">
      <alignment horizontal="left"/>
    </xf>
    <xf numFmtId="0" fontId="1" fillId="0" borderId="0" xfId="0" applyFont="1"/>
    <xf numFmtId="0" fontId="2" fillId="0" borderId="0" xfId="0" applyFont="1" applyAlignment="1">
      <alignment horizontal="left"/>
    </xf>
    <xf numFmtId="0" fontId="24" fillId="0" borderId="28" xfId="0" applyFont="1" applyBorder="1" applyAlignment="1">
      <alignment vertical="center" wrapText="1"/>
    </xf>
    <xf numFmtId="0" fontId="2" fillId="0" borderId="27" xfId="0" applyFont="1" applyBorder="1" applyAlignment="1">
      <alignment horizontal="justify" vertical="center" wrapText="1"/>
    </xf>
    <xf numFmtId="9" fontId="2" fillId="0" borderId="28" xfId="0" applyNumberFormat="1" applyFont="1" applyBorder="1" applyAlignment="1">
      <alignment horizontal="justify" vertical="center" wrapText="1"/>
    </xf>
    <xf numFmtId="0" fontId="24" fillId="9" borderId="28" xfId="0" applyFont="1" applyFill="1" applyBorder="1" applyAlignment="1">
      <alignment vertical="center" wrapText="1"/>
    </xf>
    <xf numFmtId="10" fontId="2" fillId="0" borderId="27" xfId="0" applyNumberFormat="1" applyFont="1" applyBorder="1" applyAlignment="1">
      <alignment horizontal="justify" vertical="center" wrapText="1"/>
    </xf>
    <xf numFmtId="10" fontId="2" fillId="0" borderId="28" xfId="0" applyNumberFormat="1" applyFont="1" applyBorder="1" applyAlignment="1">
      <alignment horizontal="justify" vertical="center" wrapText="1"/>
    </xf>
    <xf numFmtId="0" fontId="2" fillId="0" borderId="2" xfId="0" applyFont="1" applyBorder="1" applyAlignment="1">
      <alignment horizontal="left" vertical="center" wrapText="1"/>
    </xf>
    <xf numFmtId="0" fontId="2" fillId="0" borderId="28" xfId="0" applyFont="1" applyBorder="1" applyAlignment="1">
      <alignment horizontal="left" vertical="center" wrapText="1"/>
    </xf>
    <xf numFmtId="0" fontId="2" fillId="0" borderId="46"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64" xfId="0" applyFont="1" applyBorder="1" applyAlignment="1">
      <alignment horizontal="justify" vertical="center" wrapText="1"/>
    </xf>
    <xf numFmtId="0" fontId="2" fillId="0" borderId="41" xfId="0" applyFont="1" applyBorder="1" applyAlignment="1">
      <alignment horizontal="left" vertical="center" wrapText="1"/>
    </xf>
    <xf numFmtId="0" fontId="2" fillId="0" borderId="53" xfId="0" applyFont="1" applyBorder="1" applyAlignment="1">
      <alignment horizontal="justify" vertical="center" wrapText="1"/>
    </xf>
    <xf numFmtId="0" fontId="3" fillId="0" borderId="0" xfId="2" applyFont="1" applyAlignment="1">
      <alignment vertical="center"/>
    </xf>
    <xf numFmtId="0" fontId="15" fillId="0" borderId="0" xfId="0" applyFont="1"/>
    <xf numFmtId="3" fontId="10" fillId="2" borderId="0" xfId="2" applyNumberFormat="1" applyFont="1" applyFill="1" applyAlignment="1">
      <alignment vertical="center"/>
    </xf>
    <xf numFmtId="0" fontId="10" fillId="2" borderId="0" xfId="2" applyFont="1" applyFill="1" applyAlignment="1">
      <alignment vertical="center"/>
    </xf>
    <xf numFmtId="3" fontId="10" fillId="2" borderId="4" xfId="2" applyNumberFormat="1" applyFont="1" applyFill="1" applyBorder="1" applyAlignment="1">
      <alignment vertical="center"/>
    </xf>
    <xf numFmtId="3" fontId="9" fillId="0" borderId="0" xfId="2" applyNumberFormat="1" applyFont="1" applyAlignment="1">
      <alignment vertical="center"/>
    </xf>
    <xf numFmtId="3" fontId="9" fillId="0" borderId="4" xfId="2" applyNumberFormat="1" applyFont="1" applyBorder="1" applyAlignment="1">
      <alignment vertical="center"/>
    </xf>
    <xf numFmtId="0" fontId="10" fillId="10" borderId="14" xfId="2" applyFont="1" applyFill="1" applyBorder="1" applyAlignment="1">
      <alignment horizontal="center" vertical="center"/>
    </xf>
    <xf numFmtId="49" fontId="8" fillId="0" borderId="0" xfId="3" applyFont="1" applyAlignment="1">
      <alignment vertical="center"/>
    </xf>
    <xf numFmtId="0" fontId="8" fillId="0" borderId="0" xfId="0" applyFont="1"/>
    <xf numFmtId="0" fontId="9" fillId="0" borderId="48" xfId="2" applyFont="1" applyBorder="1" applyAlignment="1">
      <alignment horizontal="left" vertical="center"/>
    </xf>
    <xf numFmtId="0" fontId="10" fillId="0" borderId="26" xfId="2" applyFont="1" applyBorder="1" applyAlignment="1">
      <alignment vertical="center"/>
    </xf>
    <xf numFmtId="3" fontId="10" fillId="0" borderId="29" xfId="2" applyNumberFormat="1" applyFont="1" applyBorder="1" applyAlignment="1">
      <alignment vertical="center"/>
    </xf>
    <xf numFmtId="3" fontId="10" fillId="0" borderId="63" xfId="2" applyNumberFormat="1" applyFont="1" applyBorder="1" applyAlignment="1">
      <alignment vertical="center"/>
    </xf>
    <xf numFmtId="0" fontId="10" fillId="0" borderId="29" xfId="2" applyFont="1" applyBorder="1" applyAlignment="1">
      <alignment vertical="center"/>
    </xf>
    <xf numFmtId="0" fontId="9" fillId="0" borderId="14" xfId="2" applyFont="1" applyBorder="1" applyAlignment="1">
      <alignment horizontal="left" vertical="center"/>
    </xf>
    <xf numFmtId="0" fontId="10" fillId="0" borderId="27" xfId="2" applyFont="1" applyBorder="1" applyAlignment="1">
      <alignment vertical="center"/>
    </xf>
    <xf numFmtId="3" fontId="10" fillId="2" borderId="18" xfId="2" applyNumberFormat="1" applyFont="1" applyFill="1" applyBorder="1" applyAlignment="1">
      <alignment vertical="center"/>
    </xf>
    <xf numFmtId="0" fontId="9" fillId="0" borderId="0" xfId="2" applyFont="1" applyAlignment="1">
      <alignment horizontal="left" vertical="center"/>
    </xf>
    <xf numFmtId="3" fontId="10" fillId="0" borderId="0" xfId="2" applyNumberFormat="1" applyFont="1" applyAlignment="1">
      <alignment vertical="center"/>
    </xf>
    <xf numFmtId="3" fontId="9" fillId="0" borderId="13" xfId="0" applyNumberFormat="1" applyFont="1" applyBorder="1"/>
    <xf numFmtId="3" fontId="10" fillId="0" borderId="13" xfId="0" applyNumberFormat="1" applyFont="1" applyBorder="1"/>
    <xf numFmtId="3" fontId="10" fillId="0" borderId="0" xfId="0" applyNumberFormat="1" applyFont="1"/>
    <xf numFmtId="3" fontId="10" fillId="0" borderId="58" xfId="0" applyNumberFormat="1" applyFont="1" applyBorder="1"/>
    <xf numFmtId="3" fontId="10" fillId="0" borderId="4" xfId="0" applyNumberFormat="1" applyFont="1" applyBorder="1"/>
    <xf numFmtId="3" fontId="9" fillId="0" borderId="14" xfId="0" applyNumberFormat="1" applyFont="1" applyBorder="1"/>
    <xf numFmtId="3" fontId="9" fillId="0" borderId="4" xfId="0" applyNumberFormat="1" applyFont="1" applyBorder="1"/>
    <xf numFmtId="3" fontId="10" fillId="0" borderId="14" xfId="0" applyNumberFormat="1" applyFont="1" applyBorder="1"/>
    <xf numFmtId="0" fontId="10" fillId="0" borderId="13" xfId="0" applyFont="1" applyBorder="1"/>
    <xf numFmtId="0" fontId="10" fillId="0" borderId="4" xfId="0" applyFont="1" applyBorder="1"/>
    <xf numFmtId="0" fontId="10" fillId="0" borderId="58" xfId="0" applyFont="1" applyBorder="1"/>
    <xf numFmtId="0" fontId="10" fillId="2" borderId="14" xfId="2" applyFont="1" applyFill="1" applyBorder="1" applyAlignment="1">
      <alignment horizontal="left" vertical="center"/>
    </xf>
    <xf numFmtId="2" fontId="9" fillId="0" borderId="13" xfId="0" applyNumberFormat="1" applyFont="1" applyBorder="1"/>
    <xf numFmtId="0" fontId="10" fillId="10" borderId="14" xfId="2" applyFont="1" applyFill="1" applyBorder="1" applyAlignment="1">
      <alignment horizontal="left" vertical="center"/>
    </xf>
    <xf numFmtId="0" fontId="10" fillId="0" borderId="14" xfId="0" applyFont="1" applyBorder="1"/>
    <xf numFmtId="3" fontId="9" fillId="0" borderId="67" xfId="0" applyNumberFormat="1" applyFont="1" applyBorder="1"/>
    <xf numFmtId="0" fontId="9" fillId="0" borderId="49" xfId="0" applyFont="1" applyBorder="1"/>
    <xf numFmtId="0" fontId="10" fillId="4" borderId="14" xfId="2" applyFont="1" applyFill="1" applyBorder="1" applyAlignment="1">
      <alignment horizontal="center" vertical="center"/>
    </xf>
    <xf numFmtId="3" fontId="9" fillId="4" borderId="0" xfId="2" applyNumberFormat="1" applyFont="1" applyFill="1" applyAlignment="1">
      <alignment vertical="center"/>
    </xf>
    <xf numFmtId="3" fontId="10" fillId="4" borderId="0" xfId="2" applyNumberFormat="1" applyFont="1" applyFill="1" applyAlignment="1">
      <alignment vertical="center"/>
    </xf>
    <xf numFmtId="3" fontId="10" fillId="4" borderId="4" xfId="2" applyNumberFormat="1" applyFont="1" applyFill="1" applyBorder="1" applyAlignment="1">
      <alignment vertical="center"/>
    </xf>
    <xf numFmtId="2" fontId="10" fillId="7" borderId="21" xfId="2" applyNumberFormat="1" applyFont="1" applyFill="1" applyBorder="1" applyAlignment="1">
      <alignment horizontal="center" vertical="center" wrapText="1"/>
    </xf>
    <xf numFmtId="0" fontId="9" fillId="0" borderId="30" xfId="0" applyFont="1" applyBorder="1"/>
    <xf numFmtId="0" fontId="9" fillId="0" borderId="32" xfId="0" applyFont="1" applyBorder="1"/>
    <xf numFmtId="4" fontId="9" fillId="0" borderId="32" xfId="0" applyNumberFormat="1" applyFont="1" applyBorder="1"/>
    <xf numFmtId="49" fontId="9" fillId="0" borderId="32" xfId="0" applyNumberFormat="1" applyFont="1" applyBorder="1"/>
    <xf numFmtId="0" fontId="9" fillId="0" borderId="32" xfId="0" applyFont="1" applyBorder="1" applyAlignment="1">
      <alignment horizontal="center" wrapText="1"/>
    </xf>
    <xf numFmtId="0" fontId="9" fillId="0" borderId="32" xfId="0" applyFont="1" applyBorder="1" applyAlignment="1">
      <alignment horizontal="center" vertical="center" wrapText="1"/>
    </xf>
    <xf numFmtId="49" fontId="9" fillId="0" borderId="32" xfId="0" applyNumberFormat="1" applyFont="1" applyBorder="1" applyAlignment="1">
      <alignment horizontal="center"/>
    </xf>
    <xf numFmtId="49" fontId="9" fillId="0" borderId="32" xfId="0" applyNumberFormat="1" applyFont="1" applyBorder="1" applyAlignment="1">
      <alignment horizontal="center" vertical="center"/>
    </xf>
    <xf numFmtId="4" fontId="9" fillId="0" borderId="31" xfId="0" applyNumberFormat="1" applyFont="1" applyBorder="1"/>
    <xf numFmtId="0" fontId="9" fillId="0" borderId="26" xfId="0" applyFont="1" applyBorder="1"/>
    <xf numFmtId="0" fontId="9" fillId="0" borderId="28" xfId="0" applyFont="1" applyBorder="1"/>
    <xf numFmtId="4" fontId="9" fillId="0" borderId="28" xfId="0" applyNumberFormat="1" applyFont="1" applyBorder="1"/>
    <xf numFmtId="49" fontId="9" fillId="0" borderId="28" xfId="0" applyNumberFormat="1" applyFont="1" applyBorder="1"/>
    <xf numFmtId="0" fontId="9" fillId="0" borderId="28" xfId="0" applyFont="1" applyBorder="1" applyAlignment="1">
      <alignment horizontal="center" wrapText="1"/>
    </xf>
    <xf numFmtId="0" fontId="9" fillId="0" borderId="28" xfId="0" applyFont="1" applyBorder="1" applyAlignment="1">
      <alignment horizontal="center" vertical="center" wrapText="1"/>
    </xf>
    <xf numFmtId="49" fontId="9" fillId="0" borderId="28" xfId="0" applyNumberFormat="1" applyFont="1" applyBorder="1" applyAlignment="1">
      <alignment horizontal="center"/>
    </xf>
    <xf numFmtId="49" fontId="9" fillId="0" borderId="28" xfId="0" applyNumberFormat="1" applyFont="1" applyBorder="1" applyAlignment="1">
      <alignment horizontal="center" vertical="center"/>
    </xf>
    <xf numFmtId="4" fontId="9" fillId="0" borderId="29" xfId="0" applyNumberFormat="1" applyFont="1" applyBorder="1"/>
    <xf numFmtId="164" fontId="9" fillId="0" borderId="28" xfId="0" applyNumberFormat="1" applyFont="1" applyBorder="1"/>
    <xf numFmtId="0" fontId="9" fillId="0" borderId="26" xfId="0" applyFont="1" applyBorder="1" applyAlignment="1">
      <alignment vertical="center"/>
    </xf>
    <xf numFmtId="0" fontId="9" fillId="0" borderId="28" xfId="0" applyFont="1" applyBorder="1" applyAlignment="1">
      <alignment vertical="center"/>
    </xf>
    <xf numFmtId="4" fontId="9" fillId="0" borderId="28" xfId="0" applyNumberFormat="1" applyFont="1" applyBorder="1" applyAlignment="1">
      <alignment vertical="center"/>
    </xf>
    <xf numFmtId="49" fontId="9" fillId="0" borderId="28" xfId="0" applyNumberFormat="1" applyFont="1" applyBorder="1" applyAlignment="1">
      <alignment vertical="center"/>
    </xf>
    <xf numFmtId="4" fontId="9" fillId="0" borderId="29" xfId="0" applyNumberFormat="1" applyFont="1" applyBorder="1" applyAlignment="1">
      <alignment vertical="center"/>
    </xf>
    <xf numFmtId="0" fontId="9" fillId="0" borderId="39" xfId="0" applyFont="1" applyBorder="1" applyAlignment="1">
      <alignment vertical="center"/>
    </xf>
    <xf numFmtId="0" fontId="9" fillId="0" borderId="41" xfId="0" applyFont="1" applyBorder="1" applyAlignment="1">
      <alignment vertical="center"/>
    </xf>
    <xf numFmtId="4" fontId="9" fillId="0" borderId="41" xfId="0" applyNumberFormat="1" applyFont="1" applyBorder="1" applyAlignment="1">
      <alignment vertical="center"/>
    </xf>
    <xf numFmtId="49" fontId="9" fillId="0" borderId="41" xfId="0" applyNumberFormat="1" applyFont="1" applyBorder="1" applyAlignment="1">
      <alignment vertical="center"/>
    </xf>
    <xf numFmtId="0" fontId="9" fillId="0" borderId="41" xfId="0" applyFont="1" applyBorder="1" applyAlignment="1">
      <alignment horizontal="center" vertical="center" wrapText="1"/>
    </xf>
    <xf numFmtId="0" fontId="9" fillId="0" borderId="41" xfId="0" applyFont="1" applyBorder="1" applyAlignment="1">
      <alignment horizontal="center" wrapText="1"/>
    </xf>
    <xf numFmtId="164" fontId="9" fillId="0" borderId="41" xfId="0" applyNumberFormat="1" applyFont="1" applyBorder="1" applyAlignment="1">
      <alignment horizontal="center" vertical="center"/>
    </xf>
    <xf numFmtId="164" fontId="9" fillId="0" borderId="41" xfId="0" applyNumberFormat="1" applyFont="1" applyBorder="1" applyAlignment="1">
      <alignment vertical="center"/>
    </xf>
    <xf numFmtId="49" fontId="9" fillId="0" borderId="41" xfId="0" applyNumberFormat="1" applyFont="1" applyBorder="1" applyAlignment="1">
      <alignment horizontal="center" vertical="center"/>
    </xf>
    <xf numFmtId="4" fontId="9" fillId="0" borderId="40" xfId="0" applyNumberFormat="1" applyFont="1" applyBorder="1" applyAlignment="1">
      <alignment vertical="center"/>
    </xf>
    <xf numFmtId="0" fontId="9" fillId="0" borderId="58" xfId="4" applyFont="1" applyBorder="1" applyAlignment="1">
      <alignment horizontal="center"/>
    </xf>
    <xf numFmtId="0" fontId="1" fillId="0" borderId="28" xfId="4" applyBorder="1" applyAlignment="1"/>
    <xf numFmtId="0" fontId="9" fillId="0" borderId="56" xfId="2" applyFont="1" applyBorder="1" applyAlignment="1">
      <alignment horizontal="center" vertical="center"/>
    </xf>
    <xf numFmtId="0" fontId="1" fillId="5" borderId="1" xfId="0" applyFont="1" applyFill="1" applyBorder="1" applyAlignment="1">
      <alignment horizontal="left" vertical="center" wrapText="1"/>
    </xf>
    <xf numFmtId="0" fontId="1" fillId="5" borderId="77" xfId="0" applyFont="1" applyFill="1" applyBorder="1" applyAlignment="1">
      <alignment horizontal="left" vertical="center" wrapText="1"/>
    </xf>
    <xf numFmtId="0" fontId="1" fillId="5" borderId="27" xfId="0" applyFont="1" applyFill="1" applyBorder="1" applyAlignment="1">
      <alignment horizontal="left" vertical="center" wrapText="1"/>
    </xf>
    <xf numFmtId="0" fontId="6" fillId="7" borderId="33" xfId="0" applyFont="1" applyFill="1" applyBorder="1" applyAlignment="1">
      <alignment horizontal="center" vertical="center" wrapText="1"/>
    </xf>
    <xf numFmtId="0" fontId="6" fillId="7" borderId="68" xfId="0" applyFont="1" applyFill="1" applyBorder="1" applyAlignment="1">
      <alignment horizontal="center" vertical="center" wrapText="1"/>
    </xf>
    <xf numFmtId="0" fontId="2" fillId="0" borderId="79" xfId="0" applyFont="1" applyBorder="1" applyAlignment="1">
      <alignment horizontal="center" vertical="center" wrapText="1"/>
    </xf>
    <xf numFmtId="0" fontId="2" fillId="0" borderId="70" xfId="0" applyFont="1" applyBorder="1" applyAlignment="1">
      <alignment horizontal="center" vertical="center" wrapText="1"/>
    </xf>
    <xf numFmtId="0" fontId="2" fillId="0" borderId="34" xfId="0" applyFont="1" applyBorder="1" applyAlignment="1">
      <alignment horizontal="left" vertical="center" wrapText="1"/>
    </xf>
    <xf numFmtId="0" fontId="2" fillId="0" borderId="22" xfId="0" applyFont="1" applyBorder="1" applyAlignment="1">
      <alignment horizontal="left" vertical="center" wrapText="1"/>
    </xf>
    <xf numFmtId="0" fontId="2" fillId="0" borderId="36" xfId="0" applyFont="1" applyBorder="1" applyAlignment="1">
      <alignment horizontal="center" vertical="center" wrapText="1"/>
    </xf>
    <xf numFmtId="0" fontId="2" fillId="0" borderId="23" xfId="0" applyFont="1" applyBorder="1" applyAlignment="1">
      <alignment horizontal="center" vertical="center" wrapText="1"/>
    </xf>
    <xf numFmtId="0" fontId="6" fillId="7" borderId="61" xfId="0" applyFont="1" applyFill="1" applyBorder="1" applyAlignment="1">
      <alignment horizontal="center" vertical="center" wrapText="1"/>
    </xf>
    <xf numFmtId="0" fontId="6" fillId="7" borderId="22"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6" fillId="7" borderId="23" xfId="0" applyFont="1" applyFill="1" applyBorder="1" applyAlignment="1">
      <alignment horizontal="center" vertical="center" wrapText="1"/>
    </xf>
    <xf numFmtId="0" fontId="2" fillId="0" borderId="22" xfId="0" applyFont="1" applyBorder="1" applyAlignment="1">
      <alignment horizontal="left" vertical="center"/>
    </xf>
    <xf numFmtId="49" fontId="6" fillId="7" borderId="6" xfId="3" applyFont="1" applyFill="1" applyBorder="1" applyAlignment="1">
      <alignment horizontal="center" vertical="center" wrapText="1"/>
    </xf>
    <xf numFmtId="49" fontId="6" fillId="7" borderId="21" xfId="3" applyFont="1" applyFill="1" applyBorder="1" applyAlignment="1">
      <alignment horizontal="center" vertical="center" wrapText="1"/>
    </xf>
    <xf numFmtId="49" fontId="6" fillId="7" borderId="12" xfId="3" applyNumberFormat="1" applyFont="1" applyFill="1" applyBorder="1" applyAlignment="1" applyProtection="1">
      <alignment horizontal="center" vertical="center" wrapText="1"/>
    </xf>
    <xf numFmtId="49" fontId="6" fillId="7" borderId="11" xfId="3" applyNumberFormat="1" applyFont="1" applyFill="1" applyBorder="1" applyAlignment="1" applyProtection="1">
      <alignment horizontal="center" vertical="center" wrapText="1"/>
    </xf>
    <xf numFmtId="49" fontId="6" fillId="7" borderId="49" xfId="3" applyFont="1" applyFill="1" applyBorder="1" applyAlignment="1">
      <alignment horizontal="center" vertical="center" wrapText="1"/>
    </xf>
    <xf numFmtId="0" fontId="6" fillId="7" borderId="19" xfId="0" applyFont="1" applyFill="1" applyBorder="1" applyAlignment="1">
      <alignment horizontal="center" wrapText="1"/>
    </xf>
    <xf numFmtId="0" fontId="6" fillId="7" borderId="20" xfId="0" applyFont="1" applyFill="1" applyBorder="1" applyAlignment="1">
      <alignment horizontal="center" wrapText="1"/>
    </xf>
    <xf numFmtId="0" fontId="6" fillId="7" borderId="18" xfId="0" applyFont="1" applyFill="1" applyBorder="1" applyAlignment="1">
      <alignment horizontal="center" wrapText="1"/>
    </xf>
    <xf numFmtId="0" fontId="6" fillId="7" borderId="6" xfId="0" applyFont="1" applyFill="1" applyBorder="1" applyAlignment="1">
      <alignment horizontal="center" wrapText="1"/>
    </xf>
    <xf numFmtId="0" fontId="6" fillId="7" borderId="49" xfId="0" applyFont="1" applyFill="1" applyBorder="1" applyAlignment="1">
      <alignment horizontal="center" wrapText="1"/>
    </xf>
    <xf numFmtId="0" fontId="6" fillId="7" borderId="12" xfId="0" applyFont="1" applyFill="1" applyBorder="1" applyAlignment="1">
      <alignment horizontal="center" vertical="center"/>
    </xf>
    <xf numFmtId="0" fontId="6" fillId="7" borderId="11" xfId="0" applyFont="1" applyFill="1" applyBorder="1" applyAlignment="1">
      <alignment horizontal="center" vertical="center"/>
    </xf>
    <xf numFmtId="0" fontId="17" fillId="7" borderId="19" xfId="0" applyFont="1" applyFill="1" applyBorder="1" applyAlignment="1">
      <alignment horizontal="center" vertical="center"/>
    </xf>
    <xf numFmtId="0" fontId="17" fillId="7" borderId="18" xfId="0" applyFont="1" applyFill="1" applyBorder="1" applyAlignment="1">
      <alignment horizontal="center" vertical="center"/>
    </xf>
    <xf numFmtId="0" fontId="17" fillId="7" borderId="5" xfId="0" applyFont="1" applyFill="1" applyBorder="1" applyAlignment="1">
      <alignment horizontal="center" vertical="center"/>
    </xf>
    <xf numFmtId="0" fontId="17" fillId="7" borderId="20" xfId="0" applyFont="1" applyFill="1" applyBorder="1" applyAlignment="1">
      <alignment horizontal="center" vertical="center"/>
    </xf>
    <xf numFmtId="0" fontId="17" fillId="7" borderId="11" xfId="0" applyFont="1" applyFill="1" applyBorder="1" applyAlignment="1">
      <alignment horizontal="center" vertical="center"/>
    </xf>
    <xf numFmtId="0" fontId="17" fillId="7" borderId="19" xfId="0" applyFont="1" applyFill="1" applyBorder="1" applyAlignment="1">
      <alignment horizontal="center" vertical="center" wrapText="1"/>
    </xf>
    <xf numFmtId="0" fontId="17" fillId="7" borderId="18" xfId="0" applyFont="1" applyFill="1" applyBorder="1" applyAlignment="1">
      <alignment horizontal="center" vertical="center" wrapText="1"/>
    </xf>
    <xf numFmtId="49" fontId="10" fillId="7" borderId="32" xfId="3" applyFont="1" applyFill="1" applyBorder="1" applyAlignment="1">
      <alignment horizontal="center" vertical="center" wrapText="1"/>
    </xf>
    <xf numFmtId="49" fontId="10" fillId="7" borderId="31" xfId="3" applyFont="1" applyFill="1" applyBorder="1" applyAlignment="1">
      <alignment horizontal="center" vertical="center" wrapText="1"/>
    </xf>
    <xf numFmtId="0" fontId="10" fillId="7" borderId="12" xfId="0" applyFont="1" applyFill="1" applyBorder="1" applyAlignment="1">
      <alignment horizontal="center" vertical="center"/>
    </xf>
    <xf numFmtId="0" fontId="10" fillId="7" borderId="11" xfId="0" applyFont="1" applyFill="1" applyBorder="1" applyAlignment="1">
      <alignment horizontal="center" vertical="center"/>
    </xf>
    <xf numFmtId="49" fontId="10" fillId="7" borderId="30" xfId="3" applyFont="1" applyFill="1" applyBorder="1" applyAlignment="1">
      <alignment horizontal="center" vertical="center"/>
    </xf>
    <xf numFmtId="49" fontId="10" fillId="7" borderId="32" xfId="3" applyFont="1" applyFill="1" applyBorder="1" applyAlignment="1">
      <alignment horizontal="center" vertical="center"/>
    </xf>
    <xf numFmtId="49" fontId="10" fillId="7" borderId="31" xfId="3" applyFont="1" applyFill="1" applyBorder="1" applyAlignment="1">
      <alignment horizontal="center" vertical="center"/>
    </xf>
    <xf numFmtId="49" fontId="10" fillId="7" borderId="30" xfId="3" applyFont="1" applyFill="1" applyBorder="1" applyAlignment="1">
      <alignment horizontal="center" vertical="center" wrapText="1"/>
    </xf>
    <xf numFmtId="49" fontId="10" fillId="7" borderId="68" xfId="3" applyFont="1" applyFill="1" applyBorder="1" applyAlignment="1">
      <alignment horizontal="center" vertical="center" wrapText="1"/>
    </xf>
    <xf numFmtId="0" fontId="10" fillId="7" borderId="12"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6" fillId="7" borderId="65" xfId="2" applyFont="1" applyFill="1" applyBorder="1" applyAlignment="1">
      <alignment horizontal="center" vertical="center"/>
    </xf>
    <xf numFmtId="0" fontId="6" fillId="7" borderId="69" xfId="2" applyFont="1" applyFill="1" applyBorder="1" applyAlignment="1">
      <alignment horizontal="center" vertical="center"/>
    </xf>
    <xf numFmtId="0" fontId="6" fillId="7" borderId="62" xfId="2" applyFont="1" applyFill="1" applyBorder="1" applyAlignment="1">
      <alignment horizontal="center" vertical="center"/>
    </xf>
    <xf numFmtId="0" fontId="10" fillId="7" borderId="49" xfId="2" applyFont="1" applyFill="1" applyBorder="1" applyAlignment="1">
      <alignment horizontal="center" vertical="center"/>
    </xf>
    <xf numFmtId="0" fontId="10" fillId="7" borderId="19" xfId="2" applyFont="1" applyFill="1" applyBorder="1" applyAlignment="1">
      <alignment horizontal="center" vertical="center"/>
    </xf>
    <xf numFmtId="0" fontId="10" fillId="7" borderId="20" xfId="2" applyFont="1" applyFill="1" applyBorder="1" applyAlignment="1">
      <alignment horizontal="center" vertical="center"/>
    </xf>
    <xf numFmtId="0" fontId="10" fillId="7" borderId="18" xfId="2" applyFont="1" applyFill="1" applyBorder="1" applyAlignment="1">
      <alignment horizontal="center" vertical="center"/>
    </xf>
    <xf numFmtId="0" fontId="10" fillId="7" borderId="14" xfId="0" applyFont="1" applyFill="1" applyBorder="1" applyAlignment="1">
      <alignment horizontal="center" vertical="center" wrapText="1"/>
    </xf>
    <xf numFmtId="0" fontId="9" fillId="7" borderId="11" xfId="0" applyFont="1" applyFill="1" applyBorder="1" applyAlignment="1">
      <alignment horizontal="center" vertical="center" wrapText="1"/>
    </xf>
    <xf numFmtId="0" fontId="10" fillId="7" borderId="20" xfId="0" applyFont="1" applyFill="1" applyBorder="1" applyAlignment="1">
      <alignment horizontal="center"/>
    </xf>
    <xf numFmtId="0" fontId="10" fillId="7" borderId="19" xfId="0" applyFont="1" applyFill="1" applyBorder="1" applyAlignment="1">
      <alignment horizontal="center"/>
    </xf>
    <xf numFmtId="0" fontId="10" fillId="7" borderId="18" xfId="0" applyFont="1" applyFill="1" applyBorder="1" applyAlignment="1">
      <alignment horizontal="center"/>
    </xf>
    <xf numFmtId="0" fontId="10" fillId="7" borderId="19" xfId="0" applyFont="1" applyFill="1" applyBorder="1" applyAlignment="1">
      <alignment horizontal="center" wrapText="1"/>
    </xf>
    <xf numFmtId="0" fontId="10" fillId="7" borderId="18" xfId="0" applyFont="1" applyFill="1" applyBorder="1" applyAlignment="1">
      <alignment horizontal="center" wrapText="1"/>
    </xf>
    <xf numFmtId="0" fontId="10" fillId="7" borderId="6" xfId="2" applyFont="1" applyFill="1" applyBorder="1" applyAlignment="1">
      <alignment horizontal="center" vertical="center" wrapText="1"/>
    </xf>
    <xf numFmtId="0" fontId="10" fillId="7" borderId="19" xfId="2" applyFont="1" applyFill="1" applyBorder="1" applyAlignment="1">
      <alignment horizontal="center" vertical="center" wrapText="1"/>
    </xf>
    <xf numFmtId="0" fontId="10" fillId="7" borderId="30" xfId="2" applyFont="1" applyFill="1" applyBorder="1" applyAlignment="1">
      <alignment horizontal="center" vertical="center" wrapText="1"/>
    </xf>
    <xf numFmtId="0" fontId="10" fillId="7" borderId="39" xfId="2" applyFont="1" applyFill="1" applyBorder="1" applyAlignment="1">
      <alignment horizontal="center" vertical="center" wrapText="1"/>
    </xf>
    <xf numFmtId="0" fontId="10" fillId="7" borderId="33" xfId="2" applyFont="1" applyFill="1" applyBorder="1" applyAlignment="1">
      <alignment horizontal="center" vertical="center" wrapText="1"/>
    </xf>
    <xf numFmtId="0" fontId="10" fillId="7" borderId="42" xfId="2" applyFont="1" applyFill="1" applyBorder="1" applyAlignment="1">
      <alignment horizontal="center" vertical="center" wrapText="1"/>
    </xf>
    <xf numFmtId="0" fontId="10" fillId="7" borderId="31" xfId="2" applyFont="1" applyFill="1" applyBorder="1" applyAlignment="1">
      <alignment horizontal="center" vertical="center" wrapText="1"/>
    </xf>
    <xf numFmtId="0" fontId="10" fillId="7" borderId="40" xfId="2" applyFont="1" applyFill="1" applyBorder="1" applyAlignment="1">
      <alignment horizontal="center" vertical="center" wrapText="1"/>
    </xf>
    <xf numFmtId="0" fontId="10" fillId="7" borderId="66" xfId="2" applyFont="1" applyFill="1" applyBorder="1" applyAlignment="1">
      <alignment horizontal="center" vertical="center" wrapText="1"/>
    </xf>
    <xf numFmtId="0" fontId="10" fillId="7" borderId="67" xfId="2" applyFont="1" applyFill="1" applyBorder="1" applyAlignment="1">
      <alignment horizontal="center" vertical="center" wrapText="1"/>
    </xf>
    <xf numFmtId="0" fontId="10" fillId="7" borderId="65" xfId="2" applyFont="1" applyFill="1" applyBorder="1" applyAlignment="1">
      <alignment horizontal="center" vertical="center" wrapText="1"/>
    </xf>
    <xf numFmtId="0" fontId="10" fillId="7" borderId="68" xfId="2" applyFont="1" applyFill="1" applyBorder="1" applyAlignment="1">
      <alignment horizontal="center" vertical="center" wrapText="1"/>
    </xf>
    <xf numFmtId="0" fontId="10" fillId="7" borderId="53" xfId="2" applyFont="1" applyFill="1" applyBorder="1" applyAlignment="1">
      <alignment horizontal="center" vertical="center" wrapText="1"/>
    </xf>
    <xf numFmtId="0" fontId="10" fillId="7" borderId="12" xfId="2" applyFont="1" applyFill="1" applyBorder="1" applyAlignment="1">
      <alignment horizontal="center" vertical="center"/>
    </xf>
    <xf numFmtId="0" fontId="10" fillId="7" borderId="5" xfId="2" applyFont="1" applyFill="1" applyBorder="1" applyAlignment="1">
      <alignment horizontal="center" vertical="center"/>
    </xf>
    <xf numFmtId="0" fontId="10" fillId="7" borderId="11" xfId="2" applyFont="1" applyFill="1" applyBorder="1" applyAlignment="1">
      <alignment horizontal="center" vertical="center"/>
    </xf>
    <xf numFmtId="0" fontId="10" fillId="8" borderId="5" xfId="4" applyFont="1" applyFill="1" applyBorder="1" applyAlignment="1">
      <alignment horizontal="center" vertical="center"/>
    </xf>
    <xf numFmtId="0" fontId="10" fillId="8" borderId="14" xfId="4" applyFont="1" applyFill="1" applyBorder="1" applyAlignment="1">
      <alignment horizontal="center" vertical="center"/>
    </xf>
    <xf numFmtId="0" fontId="10" fillId="8" borderId="19" xfId="4" applyFont="1" applyFill="1" applyBorder="1" applyAlignment="1">
      <alignment horizontal="center"/>
    </xf>
    <xf numFmtId="0" fontId="10" fillId="8" borderId="20" xfId="4" applyFont="1" applyFill="1" applyBorder="1" applyAlignment="1">
      <alignment horizontal="center"/>
    </xf>
    <xf numFmtId="0" fontId="10" fillId="7" borderId="19" xfId="0" applyFont="1" applyFill="1" applyBorder="1" applyAlignment="1">
      <alignment horizontal="center" vertical="center" wrapText="1"/>
    </xf>
    <xf numFmtId="0" fontId="10" fillId="7" borderId="20" xfId="0" applyFont="1" applyFill="1" applyBorder="1" applyAlignment="1">
      <alignment horizontal="center" vertical="center" wrapText="1"/>
    </xf>
    <xf numFmtId="0" fontId="10" fillId="7" borderId="18" xfId="0" applyFont="1" applyFill="1" applyBorder="1" applyAlignment="1">
      <alignment horizontal="center" vertical="center" wrapText="1"/>
    </xf>
    <xf numFmtId="0" fontId="10" fillId="7" borderId="43"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10" fillId="7" borderId="17" xfId="0" applyFont="1" applyFill="1" applyBorder="1" applyAlignment="1">
      <alignment horizontal="center" vertical="center" wrapText="1"/>
    </xf>
    <xf numFmtId="0" fontId="10" fillId="7" borderId="44" xfId="0" applyFont="1" applyFill="1" applyBorder="1" applyAlignment="1">
      <alignment horizontal="center" vertical="center" wrapText="1"/>
    </xf>
    <xf numFmtId="164" fontId="10" fillId="7" borderId="19" xfId="0" applyNumberFormat="1" applyFont="1" applyFill="1" applyBorder="1" applyAlignment="1">
      <alignment horizontal="center" vertical="center" wrapText="1"/>
    </xf>
    <xf numFmtId="164" fontId="10" fillId="7" borderId="20" xfId="0" applyNumberFormat="1" applyFont="1" applyFill="1" applyBorder="1" applyAlignment="1">
      <alignment horizontal="center" vertical="center" wrapText="1"/>
    </xf>
    <xf numFmtId="164" fontId="10" fillId="7" borderId="18" xfId="0" applyNumberFormat="1" applyFont="1" applyFill="1" applyBorder="1" applyAlignment="1">
      <alignment horizontal="center" vertical="center" wrapText="1"/>
    </xf>
    <xf numFmtId="0" fontId="10" fillId="7" borderId="21" xfId="4" applyFont="1" applyFill="1" applyBorder="1" applyAlignment="1">
      <alignment horizontal="center" vertical="center" wrapText="1"/>
    </xf>
    <xf numFmtId="0" fontId="10" fillId="7" borderId="8" xfId="4" applyFont="1" applyFill="1" applyBorder="1" applyAlignment="1">
      <alignment horizontal="center" vertical="center" wrapText="1"/>
    </xf>
    <xf numFmtId="0" fontId="10" fillId="7" borderId="19" xfId="4" applyFont="1" applyFill="1" applyBorder="1" applyAlignment="1">
      <alignment horizontal="center" vertical="center" wrapText="1"/>
    </xf>
    <xf numFmtId="0" fontId="10" fillId="7" borderId="18" xfId="4" applyFont="1" applyFill="1" applyBorder="1" applyAlignment="1">
      <alignment horizontal="center" vertical="center" wrapText="1"/>
    </xf>
    <xf numFmtId="0" fontId="10" fillId="7" borderId="20" xfId="4" applyFont="1" applyFill="1" applyBorder="1" applyAlignment="1">
      <alignment horizontal="center" vertical="center" wrapText="1"/>
    </xf>
    <xf numFmtId="0" fontId="10" fillId="7" borderId="43" xfId="4" applyFont="1" applyFill="1" applyBorder="1" applyAlignment="1">
      <alignment horizontal="center" vertical="center" wrapText="1"/>
    </xf>
    <xf numFmtId="0" fontId="10" fillId="7" borderId="16" xfId="4" applyFont="1" applyFill="1" applyBorder="1" applyAlignment="1">
      <alignment horizontal="center" vertical="center" wrapText="1"/>
    </xf>
    <xf numFmtId="0" fontId="10" fillId="7" borderId="44" xfId="4" applyFont="1" applyFill="1" applyBorder="1" applyAlignment="1">
      <alignment horizontal="center" vertical="center" wrapText="1"/>
    </xf>
    <xf numFmtId="0" fontId="10" fillId="7" borderId="12" xfId="4" applyFont="1" applyFill="1" applyBorder="1" applyAlignment="1">
      <alignment horizontal="center" vertical="center" wrapText="1"/>
    </xf>
    <xf numFmtId="0" fontId="10" fillId="7" borderId="11" xfId="4" applyFont="1" applyFill="1" applyBorder="1" applyAlignment="1">
      <alignment horizontal="center" vertical="center" wrapText="1"/>
    </xf>
  </cellXfs>
  <cellStyles count="6">
    <cellStyle name="Millares 2" xfId="5" xr:uid="{813B9E8A-9D07-4FBB-B913-F7FACC3B9FA4}"/>
    <cellStyle name="Normal" xfId="0" builtinId="0"/>
    <cellStyle name="Normal 2" xfId="4" xr:uid="{00000000-0005-0000-0000-000001000000}"/>
    <cellStyle name="Normal_ESTR98" xfId="1" xr:uid="{00000000-0005-0000-0000-000002000000}"/>
    <cellStyle name="Normal_PLAZAS98" xfId="2" xr:uid="{00000000-0005-0000-0000-000003000000}"/>
    <cellStyle name="Normal_SPGG98"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532024</xdr:colOff>
      <xdr:row>15</xdr:row>
      <xdr:rowOff>131260</xdr:rowOff>
    </xdr:from>
    <xdr:ext cx="5011526" cy="937629"/>
    <xdr:sp macro="" textlink="">
      <xdr:nvSpPr>
        <xdr:cNvPr id="2" name="Rectángulo 1">
          <a:extLst>
            <a:ext uri="{FF2B5EF4-FFF2-40B4-BE49-F238E27FC236}">
              <a16:creationId xmlns:a16="http://schemas.microsoft.com/office/drawing/2014/main" id="{A620C0EB-8EE7-4882-8C3A-4736678D3AC6}"/>
            </a:ext>
          </a:extLst>
        </xdr:cNvPr>
        <xdr:cNvSpPr/>
      </xdr:nvSpPr>
      <xdr:spPr>
        <a:xfrm>
          <a:off x="3160924" y="3417385"/>
          <a:ext cx="5011526" cy="937629"/>
        </a:xfrm>
        <a:prstGeom prst="rect">
          <a:avLst/>
        </a:prstGeom>
        <a:noFill/>
      </xdr:spPr>
      <xdr:txBody>
        <a:bodyPr wrap="square" lIns="91440" tIns="45720" rIns="91440" bIns="45720">
          <a:spAutoFit/>
        </a:bodyPr>
        <a:lstStyle/>
        <a:p>
          <a:pPr algn="ctr"/>
          <a:r>
            <a:rPr lang="es-ES" sz="5400" b="0" cap="none" spc="0">
              <a:ln w="0"/>
              <a:solidFill>
                <a:schemeClr val="tx1"/>
              </a:solidFill>
              <a:effectLst>
                <a:outerShdw blurRad="38100" dist="19050" dir="2700000" algn="tl" rotWithShape="0">
                  <a:schemeClr val="dk1">
                    <a:alpha val="40000"/>
                  </a:schemeClr>
                </a:outerShdw>
              </a:effectLst>
            </a:rPr>
            <a:t>NO</a:t>
          </a:r>
          <a:r>
            <a:rPr lang="es-ES" sz="5400" b="0" cap="none" spc="0" baseline="0">
              <a:ln w="0"/>
              <a:solidFill>
                <a:schemeClr val="tx1"/>
              </a:solidFill>
              <a:effectLst>
                <a:outerShdw blurRad="38100" dist="19050" dir="2700000" algn="tl" rotWithShape="0">
                  <a:schemeClr val="dk1">
                    <a:alpha val="40000"/>
                  </a:schemeClr>
                </a:outerShdw>
              </a:effectLst>
            </a:rPr>
            <a:t> APLICA</a:t>
          </a:r>
          <a:endParaRPr lang="es-E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0</xdr:colOff>
      <xdr:row>6</xdr:row>
      <xdr:rowOff>123825</xdr:rowOff>
    </xdr:from>
    <xdr:ext cx="5011526" cy="937629"/>
    <xdr:sp macro="" textlink="">
      <xdr:nvSpPr>
        <xdr:cNvPr id="2" name="Rectángulo 1">
          <a:extLst>
            <a:ext uri="{FF2B5EF4-FFF2-40B4-BE49-F238E27FC236}">
              <a16:creationId xmlns:a16="http://schemas.microsoft.com/office/drawing/2014/main" id="{9E52D994-F16B-4FAE-8724-CB960A278FFD}"/>
            </a:ext>
          </a:extLst>
        </xdr:cNvPr>
        <xdr:cNvSpPr/>
      </xdr:nvSpPr>
      <xdr:spPr>
        <a:xfrm>
          <a:off x="4429125" y="1066800"/>
          <a:ext cx="5011526" cy="937629"/>
        </a:xfrm>
        <a:prstGeom prst="rect">
          <a:avLst/>
        </a:prstGeom>
        <a:noFill/>
      </xdr:spPr>
      <xdr:txBody>
        <a:bodyPr wrap="square" lIns="91440" tIns="45720" rIns="91440" bIns="45720">
          <a:spAutoFit/>
        </a:bodyPr>
        <a:lstStyle/>
        <a:p>
          <a:pPr algn="ctr"/>
          <a:r>
            <a:rPr lang="es-ES" sz="5400" b="0" cap="none" spc="0">
              <a:ln w="0"/>
              <a:solidFill>
                <a:schemeClr val="tx1"/>
              </a:solidFill>
              <a:effectLst>
                <a:outerShdw blurRad="38100" dist="19050" dir="2700000" algn="tl" rotWithShape="0">
                  <a:schemeClr val="dk1">
                    <a:alpha val="40000"/>
                  </a:schemeClr>
                </a:outerShdw>
              </a:effectLst>
            </a:rPr>
            <a:t>NO</a:t>
          </a:r>
          <a:r>
            <a:rPr lang="es-ES" sz="5400" b="0" cap="none" spc="0" baseline="0">
              <a:ln w="0"/>
              <a:solidFill>
                <a:schemeClr val="tx1"/>
              </a:solidFill>
              <a:effectLst>
                <a:outerShdw blurRad="38100" dist="19050" dir="2700000" algn="tl" rotWithShape="0">
                  <a:schemeClr val="dk1">
                    <a:alpha val="40000"/>
                  </a:schemeClr>
                </a:outerShdw>
              </a:effectLst>
            </a:rPr>
            <a:t> SE TIENE</a:t>
          </a:r>
          <a:endParaRPr lang="es-E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FF00"/>
  </sheetPr>
  <dimension ref="A1:SR34"/>
  <sheetViews>
    <sheetView tabSelected="1" zoomScaleNormal="100" zoomScaleSheetLayoutView="100" zoomScalePageLayoutView="85" workbookViewId="0">
      <selection activeCell="B5" sqref="B5:E5"/>
    </sheetView>
  </sheetViews>
  <sheetFormatPr baseColWidth="10" defaultColWidth="11.42578125" defaultRowHeight="12.75" x14ac:dyDescent="0.2"/>
  <cols>
    <col min="1" max="1" width="19.85546875" style="88" customWidth="1"/>
    <col min="2" max="2" width="69.85546875" style="89" customWidth="1"/>
    <col min="3" max="5" width="8.7109375" style="88" customWidth="1"/>
    <col min="6" max="16384" width="11.42578125" style="88"/>
  </cols>
  <sheetData>
    <row r="1" spans="1:512" s="87" customFormat="1" ht="15.75" x14ac:dyDescent="0.2">
      <c r="A1" s="85" t="s">
        <v>339</v>
      </c>
      <c r="B1" s="86"/>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c r="BS1" s="92"/>
      <c r="BT1" s="92"/>
      <c r="BU1" s="92"/>
      <c r="BV1" s="92"/>
      <c r="BW1" s="92"/>
      <c r="BX1" s="92"/>
      <c r="BY1" s="92"/>
      <c r="BZ1" s="92"/>
      <c r="CA1" s="92"/>
      <c r="CB1" s="92"/>
      <c r="CC1" s="92"/>
      <c r="CD1" s="92"/>
      <c r="CE1" s="92"/>
      <c r="CF1" s="92"/>
      <c r="CG1" s="92"/>
      <c r="CH1" s="92"/>
      <c r="CI1" s="92"/>
      <c r="CJ1" s="92"/>
      <c r="CK1" s="92"/>
      <c r="CL1" s="92"/>
      <c r="CM1" s="92"/>
      <c r="CN1" s="92"/>
      <c r="CO1" s="92"/>
      <c r="CP1" s="92"/>
      <c r="CQ1" s="92"/>
      <c r="CR1" s="92"/>
      <c r="CS1" s="92"/>
      <c r="CT1" s="92"/>
      <c r="CU1" s="92"/>
      <c r="CV1" s="92"/>
      <c r="CW1" s="92"/>
      <c r="CX1" s="92"/>
      <c r="CY1" s="92"/>
      <c r="CZ1" s="92"/>
      <c r="DA1" s="92"/>
      <c r="DB1" s="92"/>
      <c r="DC1" s="92"/>
      <c r="DD1" s="92"/>
      <c r="DE1" s="92"/>
      <c r="DF1" s="92"/>
      <c r="DG1" s="92"/>
      <c r="DH1" s="92"/>
      <c r="DI1" s="92"/>
      <c r="DJ1" s="92"/>
      <c r="DK1" s="92"/>
      <c r="DL1" s="92"/>
      <c r="DM1" s="92"/>
      <c r="DN1" s="92"/>
      <c r="DO1" s="92"/>
      <c r="DP1" s="92"/>
      <c r="DQ1" s="92"/>
      <c r="DR1" s="92"/>
      <c r="DS1" s="92"/>
      <c r="DT1" s="92"/>
      <c r="DU1" s="92"/>
      <c r="DV1" s="92"/>
      <c r="DW1" s="92"/>
      <c r="DX1" s="92"/>
      <c r="DY1" s="92"/>
      <c r="DZ1" s="92"/>
      <c r="EA1" s="92"/>
      <c r="EB1" s="92"/>
      <c r="EC1" s="92"/>
      <c r="ED1" s="92"/>
      <c r="EE1" s="92"/>
      <c r="EF1" s="92"/>
      <c r="EG1" s="92"/>
      <c r="EH1" s="92"/>
      <c r="EI1" s="92"/>
      <c r="EJ1" s="92"/>
      <c r="EK1" s="92"/>
      <c r="EL1" s="92"/>
      <c r="EM1" s="92"/>
      <c r="EN1" s="92"/>
      <c r="EO1" s="92"/>
      <c r="EP1" s="92"/>
      <c r="EQ1" s="92"/>
      <c r="ER1" s="92"/>
      <c r="ES1" s="92"/>
      <c r="ET1" s="92"/>
      <c r="EU1" s="92"/>
      <c r="EV1" s="92"/>
      <c r="EW1" s="92"/>
      <c r="EX1" s="92"/>
      <c r="EY1" s="92"/>
      <c r="EZ1" s="92"/>
      <c r="FA1" s="92"/>
      <c r="FB1" s="92"/>
      <c r="FC1" s="92"/>
      <c r="FD1" s="92"/>
      <c r="FE1" s="92"/>
      <c r="FF1" s="92"/>
      <c r="FG1" s="92"/>
      <c r="FH1" s="92"/>
      <c r="FI1" s="92"/>
      <c r="FJ1" s="92"/>
      <c r="FK1" s="92"/>
      <c r="FL1" s="92"/>
      <c r="FM1" s="92"/>
      <c r="FN1" s="92"/>
      <c r="FO1" s="92"/>
      <c r="FP1" s="92"/>
      <c r="FQ1" s="92"/>
      <c r="FR1" s="92"/>
      <c r="FS1" s="92"/>
      <c r="FT1" s="92"/>
      <c r="FU1" s="92"/>
      <c r="FV1" s="92"/>
      <c r="FW1" s="92"/>
      <c r="FX1" s="92"/>
      <c r="FY1" s="92"/>
      <c r="FZ1" s="92"/>
      <c r="GA1" s="92"/>
      <c r="GB1" s="92"/>
      <c r="GC1" s="92"/>
      <c r="GD1" s="92"/>
      <c r="GE1" s="92"/>
      <c r="GF1" s="92"/>
      <c r="GG1" s="92"/>
      <c r="GH1" s="92"/>
      <c r="GI1" s="92"/>
      <c r="GJ1" s="92"/>
      <c r="GK1" s="92"/>
      <c r="GL1" s="92"/>
      <c r="GM1" s="92"/>
      <c r="GN1" s="92"/>
      <c r="GO1" s="92"/>
      <c r="GP1" s="92"/>
      <c r="GQ1" s="92"/>
      <c r="GR1" s="92"/>
      <c r="GS1" s="92"/>
      <c r="GT1" s="92"/>
      <c r="GU1" s="92"/>
      <c r="GV1" s="92"/>
      <c r="GW1" s="92"/>
      <c r="GX1" s="92"/>
      <c r="GY1" s="92"/>
      <c r="GZ1" s="92"/>
      <c r="HA1" s="92"/>
      <c r="HB1" s="92"/>
      <c r="HC1" s="92"/>
      <c r="HD1" s="92"/>
      <c r="HE1" s="92"/>
      <c r="HF1" s="92"/>
      <c r="HG1" s="92"/>
      <c r="HH1" s="92"/>
      <c r="HI1" s="92"/>
      <c r="HJ1" s="92"/>
      <c r="HK1" s="92"/>
      <c r="HL1" s="92"/>
      <c r="HM1" s="92"/>
      <c r="HN1" s="92"/>
      <c r="HO1" s="92"/>
      <c r="HP1" s="92"/>
      <c r="HQ1" s="92"/>
      <c r="HR1" s="92"/>
      <c r="HS1" s="92"/>
      <c r="HT1" s="92"/>
      <c r="HU1" s="92"/>
      <c r="HV1" s="92"/>
      <c r="HW1" s="92"/>
      <c r="HX1" s="92"/>
      <c r="HY1" s="92"/>
      <c r="HZ1" s="92"/>
      <c r="IA1" s="92"/>
      <c r="IB1" s="92"/>
      <c r="IC1" s="92"/>
      <c r="ID1" s="92"/>
      <c r="IE1" s="92"/>
      <c r="IF1" s="92"/>
      <c r="IG1" s="92"/>
      <c r="IH1" s="92"/>
      <c r="II1" s="92"/>
      <c r="IJ1" s="92"/>
      <c r="IK1" s="92"/>
      <c r="IL1" s="92"/>
      <c r="IM1" s="92"/>
      <c r="IN1" s="92"/>
      <c r="IO1" s="92"/>
      <c r="IP1" s="92"/>
      <c r="IQ1" s="92"/>
      <c r="IR1" s="92"/>
      <c r="IS1" s="92"/>
      <c r="IT1" s="92"/>
      <c r="IU1" s="92"/>
      <c r="IV1" s="92"/>
      <c r="IW1" s="92"/>
      <c r="IX1" s="92"/>
      <c r="IY1" s="92"/>
      <c r="IZ1" s="92"/>
      <c r="JA1" s="92"/>
      <c r="JB1" s="92"/>
      <c r="JC1" s="92"/>
      <c r="JD1" s="92"/>
      <c r="JE1" s="92"/>
      <c r="JF1" s="92"/>
      <c r="JG1" s="92"/>
      <c r="JH1" s="92"/>
      <c r="JI1" s="92"/>
      <c r="JJ1" s="92"/>
      <c r="JK1" s="92"/>
      <c r="JL1" s="92"/>
      <c r="JM1" s="92"/>
      <c r="JN1" s="92"/>
      <c r="JO1" s="92"/>
      <c r="JP1" s="92"/>
      <c r="JQ1" s="92"/>
      <c r="JR1" s="92"/>
      <c r="JS1" s="92"/>
      <c r="JT1" s="92"/>
      <c r="JU1" s="92"/>
      <c r="JV1" s="92"/>
      <c r="JW1" s="92"/>
      <c r="JX1" s="92"/>
      <c r="JY1" s="92"/>
      <c r="JZ1" s="92"/>
      <c r="KA1" s="92"/>
      <c r="KB1" s="92"/>
      <c r="KC1" s="92"/>
      <c r="KD1" s="92"/>
      <c r="KE1" s="92"/>
      <c r="KF1" s="92"/>
      <c r="KG1" s="92"/>
      <c r="KH1" s="92"/>
      <c r="KI1" s="92"/>
      <c r="KJ1" s="92"/>
      <c r="KK1" s="92"/>
      <c r="KL1" s="92"/>
      <c r="KM1" s="92"/>
      <c r="KN1" s="92"/>
      <c r="KO1" s="92"/>
      <c r="KP1" s="92"/>
      <c r="KQ1" s="92"/>
      <c r="KR1" s="92"/>
      <c r="KS1" s="92"/>
      <c r="KT1" s="92"/>
      <c r="KU1" s="92"/>
      <c r="KV1" s="92"/>
      <c r="KW1" s="92"/>
      <c r="KX1" s="92"/>
      <c r="KY1" s="92"/>
      <c r="KZ1" s="92"/>
      <c r="LA1" s="92"/>
      <c r="LB1" s="92"/>
      <c r="LC1" s="92"/>
      <c r="LD1" s="92"/>
      <c r="LE1" s="92"/>
      <c r="LF1" s="92"/>
      <c r="LG1" s="92"/>
      <c r="LH1" s="92"/>
      <c r="LI1" s="92"/>
      <c r="LJ1" s="92"/>
      <c r="LK1" s="92"/>
      <c r="LL1" s="92"/>
      <c r="LM1" s="92"/>
      <c r="LN1" s="92"/>
      <c r="LO1" s="92"/>
      <c r="LP1" s="92"/>
      <c r="LQ1" s="92"/>
      <c r="LR1" s="92"/>
      <c r="LS1" s="92"/>
      <c r="LT1" s="92"/>
      <c r="LU1" s="92"/>
      <c r="LV1" s="92"/>
      <c r="LW1" s="92"/>
      <c r="LX1" s="92"/>
      <c r="LY1" s="92"/>
      <c r="LZ1" s="92"/>
      <c r="MA1" s="92"/>
      <c r="MB1" s="92"/>
      <c r="MC1" s="92"/>
      <c r="MD1" s="92"/>
      <c r="ME1" s="92"/>
      <c r="MF1" s="92"/>
      <c r="MG1" s="92"/>
      <c r="MH1" s="92"/>
      <c r="MI1" s="92"/>
      <c r="MJ1" s="92"/>
      <c r="MK1" s="92"/>
      <c r="ML1" s="92"/>
      <c r="MM1" s="92"/>
      <c r="MN1" s="92"/>
      <c r="MO1" s="92"/>
      <c r="MP1" s="92"/>
      <c r="MQ1" s="92"/>
      <c r="MR1" s="92"/>
      <c r="MS1" s="92"/>
      <c r="MT1" s="92"/>
      <c r="MU1" s="92"/>
      <c r="MV1" s="92"/>
      <c r="MW1" s="92"/>
      <c r="MX1" s="92"/>
      <c r="MY1" s="92"/>
      <c r="MZ1" s="92"/>
      <c r="NA1" s="92"/>
      <c r="NB1" s="92"/>
      <c r="NC1" s="92"/>
      <c r="ND1" s="92"/>
      <c r="NE1" s="92"/>
      <c r="NF1" s="92"/>
      <c r="NG1" s="92"/>
      <c r="NH1" s="92"/>
      <c r="NI1" s="92"/>
      <c r="NJ1" s="92"/>
      <c r="NK1" s="92"/>
      <c r="NL1" s="92"/>
      <c r="NM1" s="92"/>
      <c r="NN1" s="92"/>
      <c r="NO1" s="92"/>
      <c r="NP1" s="92"/>
      <c r="NQ1" s="92"/>
      <c r="NR1" s="92"/>
      <c r="NS1" s="92"/>
      <c r="NT1" s="92"/>
      <c r="NU1" s="92"/>
      <c r="NV1" s="92"/>
      <c r="NW1" s="92"/>
      <c r="NX1" s="92"/>
      <c r="NY1" s="92"/>
      <c r="NZ1" s="92"/>
      <c r="OA1" s="92"/>
      <c r="OB1" s="92"/>
      <c r="OC1" s="92"/>
      <c r="OD1" s="92"/>
      <c r="OE1" s="92"/>
      <c r="OF1" s="92"/>
      <c r="OG1" s="92"/>
      <c r="OH1" s="92"/>
      <c r="OI1" s="92"/>
      <c r="OJ1" s="92"/>
      <c r="OK1" s="92"/>
      <c r="OL1" s="92"/>
      <c r="OM1" s="92"/>
      <c r="ON1" s="92"/>
      <c r="OO1" s="92"/>
      <c r="OP1" s="92"/>
      <c r="OQ1" s="92"/>
      <c r="OR1" s="92"/>
      <c r="OS1" s="92"/>
      <c r="OT1" s="92"/>
      <c r="OU1" s="92"/>
      <c r="OV1" s="92"/>
      <c r="OW1" s="92"/>
      <c r="OX1" s="92"/>
      <c r="OY1" s="92"/>
      <c r="OZ1" s="92"/>
      <c r="PA1" s="92"/>
      <c r="PB1" s="92"/>
      <c r="PC1" s="92"/>
      <c r="PD1" s="92"/>
      <c r="PE1" s="92"/>
      <c r="PF1" s="92"/>
      <c r="PG1" s="92"/>
      <c r="PH1" s="92"/>
      <c r="PI1" s="92"/>
      <c r="PJ1" s="92"/>
      <c r="PK1" s="92"/>
      <c r="PL1" s="92"/>
      <c r="PM1" s="92"/>
      <c r="PN1" s="92"/>
      <c r="PO1" s="92"/>
      <c r="PP1" s="92"/>
      <c r="PQ1" s="92"/>
      <c r="PR1" s="92"/>
      <c r="PS1" s="92"/>
      <c r="PT1" s="92"/>
      <c r="PU1" s="92"/>
      <c r="PV1" s="92"/>
      <c r="PW1" s="92"/>
      <c r="PX1" s="92"/>
      <c r="PY1" s="92"/>
      <c r="PZ1" s="92"/>
      <c r="QA1" s="92"/>
      <c r="QB1" s="92"/>
      <c r="QC1" s="92"/>
      <c r="QD1" s="92"/>
      <c r="QE1" s="92"/>
      <c r="QF1" s="92"/>
      <c r="QG1" s="92"/>
      <c r="QH1" s="92"/>
      <c r="QI1" s="92"/>
      <c r="QJ1" s="92"/>
      <c r="QK1" s="92"/>
      <c r="QL1" s="92"/>
      <c r="QM1" s="92"/>
      <c r="QN1" s="92"/>
      <c r="QO1" s="92"/>
      <c r="QP1" s="92"/>
      <c r="QQ1" s="92"/>
      <c r="QR1" s="92"/>
      <c r="QS1" s="92"/>
      <c r="QT1" s="92"/>
      <c r="QU1" s="92"/>
      <c r="QV1" s="92"/>
      <c r="QW1" s="92"/>
      <c r="QX1" s="92"/>
      <c r="QY1" s="92"/>
      <c r="QZ1" s="92"/>
      <c r="RA1" s="92"/>
      <c r="RB1" s="92"/>
      <c r="RC1" s="92"/>
      <c r="RD1" s="92"/>
      <c r="RE1" s="92"/>
      <c r="RF1" s="92"/>
      <c r="RG1" s="92"/>
      <c r="RH1" s="92"/>
      <c r="RI1" s="92"/>
      <c r="RJ1" s="92"/>
      <c r="RK1" s="92"/>
      <c r="RL1" s="92"/>
      <c r="RM1" s="92"/>
      <c r="RN1" s="92"/>
      <c r="RO1" s="92"/>
      <c r="RP1" s="92"/>
      <c r="RQ1" s="92"/>
      <c r="RR1" s="92"/>
      <c r="RS1" s="92"/>
      <c r="RT1" s="92"/>
      <c r="RU1" s="92"/>
      <c r="RV1" s="92"/>
      <c r="RW1" s="92"/>
      <c r="RX1" s="92"/>
      <c r="RY1" s="92"/>
      <c r="RZ1" s="92"/>
      <c r="SA1" s="92"/>
      <c r="SB1" s="92"/>
      <c r="SC1" s="92"/>
      <c r="SD1" s="92"/>
      <c r="SE1" s="92"/>
      <c r="SF1" s="92"/>
      <c r="SG1" s="92"/>
      <c r="SH1" s="92"/>
      <c r="SI1" s="92"/>
      <c r="SJ1" s="92"/>
      <c r="SK1" s="92"/>
      <c r="SL1" s="92"/>
      <c r="SM1" s="92"/>
      <c r="SN1" s="92"/>
      <c r="SO1" s="92"/>
      <c r="SP1" s="92"/>
      <c r="SQ1" s="92"/>
      <c r="SR1" s="92"/>
    </row>
    <row r="2" spans="1:512" x14ac:dyDescent="0.2">
      <c r="C2" s="90"/>
      <c r="D2" s="90"/>
      <c r="E2" s="94"/>
      <c r="F2" s="93"/>
    </row>
    <row r="3" spans="1:512" x14ac:dyDescent="0.2">
      <c r="A3" s="91" t="s">
        <v>358</v>
      </c>
      <c r="E3" s="93"/>
      <c r="F3" s="93"/>
    </row>
    <row r="4" spans="1:512" x14ac:dyDescent="0.2">
      <c r="E4" s="93"/>
      <c r="F4" s="93"/>
    </row>
    <row r="5" spans="1:512" s="254" customFormat="1" ht="27" customHeight="1" x14ac:dyDescent="0.2">
      <c r="A5" s="259" t="s">
        <v>340</v>
      </c>
      <c r="B5" s="566" t="s">
        <v>409</v>
      </c>
      <c r="C5" s="567"/>
      <c r="D5" s="567"/>
      <c r="E5" s="568"/>
      <c r="F5" s="255"/>
    </row>
    <row r="6" spans="1:512" x14ac:dyDescent="0.2">
      <c r="A6" s="91"/>
      <c r="B6" s="253"/>
      <c r="C6" s="254"/>
      <c r="D6" s="254"/>
      <c r="E6" s="255"/>
      <c r="F6" s="93"/>
    </row>
    <row r="7" spans="1:512" x14ac:dyDescent="0.2">
      <c r="A7" s="91" t="s">
        <v>359</v>
      </c>
      <c r="B7" s="253"/>
      <c r="C7" s="254"/>
      <c r="D7" s="254"/>
      <c r="E7" s="255"/>
      <c r="F7" s="93"/>
    </row>
    <row r="8" spans="1:512" x14ac:dyDescent="0.2">
      <c r="A8" s="91"/>
      <c r="B8" s="253"/>
      <c r="C8" s="254"/>
      <c r="D8" s="254"/>
      <c r="E8" s="255"/>
      <c r="F8" s="93"/>
    </row>
    <row r="9" spans="1:512" s="254" customFormat="1" ht="27" customHeight="1" x14ac:dyDescent="0.2">
      <c r="A9" s="259" t="s">
        <v>341</v>
      </c>
      <c r="B9" s="566" t="s">
        <v>410</v>
      </c>
      <c r="C9" s="567"/>
      <c r="D9" s="567"/>
      <c r="E9" s="568"/>
      <c r="F9" s="255"/>
    </row>
    <row r="10" spans="1:512" s="254" customFormat="1" ht="27" customHeight="1" x14ac:dyDescent="0.2">
      <c r="A10" s="259" t="s">
        <v>342</v>
      </c>
      <c r="B10" s="566" t="s">
        <v>411</v>
      </c>
      <c r="C10" s="567"/>
      <c r="D10" s="567"/>
      <c r="E10" s="568"/>
      <c r="F10" s="255"/>
    </row>
    <row r="11" spans="1:512" s="254" customFormat="1" ht="27" customHeight="1" x14ac:dyDescent="0.2">
      <c r="A11" s="259" t="s">
        <v>343</v>
      </c>
      <c r="B11" s="566" t="s">
        <v>412</v>
      </c>
      <c r="C11" s="567"/>
      <c r="D11" s="567"/>
      <c r="E11" s="568"/>
      <c r="F11" s="255"/>
    </row>
    <row r="12" spans="1:512" s="254" customFormat="1" ht="27" customHeight="1" x14ac:dyDescent="0.2">
      <c r="A12" s="259" t="s">
        <v>344</v>
      </c>
      <c r="B12" s="566" t="s">
        <v>413</v>
      </c>
      <c r="C12" s="567"/>
      <c r="D12" s="567"/>
      <c r="E12" s="568"/>
      <c r="F12" s="255"/>
    </row>
    <row r="13" spans="1:512" s="254" customFormat="1" ht="27" customHeight="1" x14ac:dyDescent="0.2">
      <c r="A13" s="259" t="s">
        <v>345</v>
      </c>
      <c r="B13" s="566" t="s">
        <v>414</v>
      </c>
      <c r="C13" s="567"/>
      <c r="D13" s="567"/>
      <c r="E13" s="568"/>
      <c r="F13" s="255"/>
    </row>
    <row r="14" spans="1:512" s="254" customFormat="1" ht="27" customHeight="1" x14ac:dyDescent="0.2">
      <c r="A14" s="259" t="s">
        <v>346</v>
      </c>
      <c r="B14" s="566" t="s">
        <v>415</v>
      </c>
      <c r="C14" s="567"/>
      <c r="D14" s="567"/>
      <c r="E14" s="568"/>
      <c r="F14" s="255"/>
    </row>
    <row r="15" spans="1:512" s="254" customFormat="1" ht="27" customHeight="1" x14ac:dyDescent="0.2">
      <c r="A15" s="259" t="s">
        <v>347</v>
      </c>
      <c r="B15" s="566" t="s">
        <v>416</v>
      </c>
      <c r="C15" s="567"/>
      <c r="D15" s="567"/>
      <c r="E15" s="568"/>
      <c r="F15" s="255"/>
    </row>
    <row r="16" spans="1:512" x14ac:dyDescent="0.2">
      <c r="A16" s="91"/>
      <c r="B16" s="253"/>
      <c r="C16" s="254"/>
      <c r="D16" s="254"/>
      <c r="E16" s="255"/>
      <c r="F16" s="93"/>
    </row>
    <row r="17" spans="1:6" x14ac:dyDescent="0.2">
      <c r="A17" s="91" t="s">
        <v>360</v>
      </c>
      <c r="B17" s="253"/>
      <c r="C17" s="254"/>
      <c r="D17" s="254"/>
      <c r="E17" s="255"/>
      <c r="F17" s="93"/>
    </row>
    <row r="18" spans="1:6" x14ac:dyDescent="0.2">
      <c r="A18" s="91"/>
      <c r="B18" s="253"/>
      <c r="C18" s="254"/>
      <c r="D18" s="254"/>
      <c r="E18" s="255"/>
      <c r="F18" s="93"/>
    </row>
    <row r="19" spans="1:6" s="254" customFormat="1" ht="27" customHeight="1" x14ac:dyDescent="0.2">
      <c r="A19" s="259" t="s">
        <v>348</v>
      </c>
      <c r="B19" s="566" t="s">
        <v>417</v>
      </c>
      <c r="C19" s="567"/>
      <c r="D19" s="567"/>
      <c r="E19" s="568"/>
      <c r="F19" s="255"/>
    </row>
    <row r="20" spans="1:6" s="254" customFormat="1" ht="27" customHeight="1" x14ac:dyDescent="0.2">
      <c r="A20" s="259" t="s">
        <v>349</v>
      </c>
      <c r="B20" s="566" t="s">
        <v>418</v>
      </c>
      <c r="C20" s="567"/>
      <c r="D20" s="567"/>
      <c r="E20" s="568"/>
      <c r="F20" s="255"/>
    </row>
    <row r="21" spans="1:6" s="254" customFormat="1" ht="27" customHeight="1" x14ac:dyDescent="0.2">
      <c r="A21" s="259" t="s">
        <v>350</v>
      </c>
      <c r="B21" s="566" t="s">
        <v>419</v>
      </c>
      <c r="C21" s="567"/>
      <c r="D21" s="567"/>
      <c r="E21" s="568"/>
      <c r="F21" s="255"/>
    </row>
    <row r="22" spans="1:6" x14ac:dyDescent="0.2">
      <c r="A22" s="91"/>
      <c r="B22" s="253"/>
      <c r="C22" s="254"/>
      <c r="D22" s="254"/>
      <c r="E22" s="255"/>
      <c r="F22" s="93"/>
    </row>
    <row r="23" spans="1:6" x14ac:dyDescent="0.2">
      <c r="A23" s="91" t="s">
        <v>361</v>
      </c>
      <c r="B23" s="253"/>
      <c r="C23" s="254"/>
      <c r="D23" s="254"/>
      <c r="E23" s="255"/>
      <c r="F23" s="93"/>
    </row>
    <row r="24" spans="1:6" x14ac:dyDescent="0.2">
      <c r="A24" s="91"/>
      <c r="B24" s="253"/>
      <c r="C24" s="254"/>
      <c r="D24" s="254"/>
      <c r="E24" s="255"/>
      <c r="F24" s="93"/>
    </row>
    <row r="25" spans="1:6" s="254" customFormat="1" ht="27" customHeight="1" x14ac:dyDescent="0.2">
      <c r="A25" s="259" t="s">
        <v>351</v>
      </c>
      <c r="B25" s="566" t="s">
        <v>420</v>
      </c>
      <c r="C25" s="567"/>
      <c r="D25" s="567"/>
      <c r="E25" s="568"/>
      <c r="F25" s="255"/>
    </row>
    <row r="26" spans="1:6" s="254" customFormat="1" ht="27" customHeight="1" x14ac:dyDescent="0.2">
      <c r="A26" s="259" t="s">
        <v>352</v>
      </c>
      <c r="B26" s="566" t="s">
        <v>421</v>
      </c>
      <c r="C26" s="567"/>
      <c r="D26" s="567"/>
      <c r="E26" s="568"/>
      <c r="F26" s="255"/>
    </row>
    <row r="27" spans="1:6" s="254" customFormat="1" ht="27" customHeight="1" x14ac:dyDescent="0.2">
      <c r="A27" s="259" t="s">
        <v>353</v>
      </c>
      <c r="B27" s="566" t="s">
        <v>422</v>
      </c>
      <c r="C27" s="567"/>
      <c r="D27" s="567"/>
      <c r="E27" s="568"/>
      <c r="F27" s="255"/>
    </row>
    <row r="28" spans="1:6" s="254" customFormat="1" ht="27" customHeight="1" x14ac:dyDescent="0.2">
      <c r="A28" s="259" t="s">
        <v>354</v>
      </c>
      <c r="B28" s="566" t="s">
        <v>423</v>
      </c>
      <c r="C28" s="567"/>
      <c r="D28" s="567"/>
      <c r="E28" s="568"/>
      <c r="F28" s="255"/>
    </row>
    <row r="29" spans="1:6" s="254" customFormat="1" ht="27" customHeight="1" x14ac:dyDescent="0.2">
      <c r="A29" s="259" t="s">
        <v>355</v>
      </c>
      <c r="B29" s="566" t="s">
        <v>424</v>
      </c>
      <c r="C29" s="567"/>
      <c r="D29" s="567"/>
      <c r="E29" s="568"/>
      <c r="F29" s="255"/>
    </row>
    <row r="30" spans="1:6" x14ac:dyDescent="0.2">
      <c r="A30" s="91"/>
      <c r="B30" s="253"/>
      <c r="C30" s="254"/>
      <c r="D30" s="254"/>
      <c r="E30" s="255"/>
      <c r="F30" s="93"/>
    </row>
    <row r="31" spans="1:6" x14ac:dyDescent="0.2">
      <c r="A31" s="91" t="s">
        <v>24</v>
      </c>
      <c r="B31" s="253"/>
      <c r="C31" s="254"/>
      <c r="D31" s="254"/>
      <c r="E31" s="255"/>
      <c r="F31" s="93"/>
    </row>
    <row r="32" spans="1:6" x14ac:dyDescent="0.2">
      <c r="A32" s="91"/>
      <c r="B32" s="253"/>
      <c r="C32" s="254"/>
      <c r="D32" s="254"/>
      <c r="E32" s="255"/>
      <c r="F32" s="93"/>
    </row>
    <row r="33" spans="1:6" s="254" customFormat="1" ht="27" customHeight="1" x14ac:dyDescent="0.2">
      <c r="A33" s="259" t="s">
        <v>356</v>
      </c>
      <c r="B33" s="566" t="s">
        <v>425</v>
      </c>
      <c r="C33" s="567"/>
      <c r="D33" s="567"/>
      <c r="E33" s="568"/>
      <c r="F33" s="255"/>
    </row>
    <row r="34" spans="1:6" s="254" customFormat="1" ht="27" customHeight="1" x14ac:dyDescent="0.2">
      <c r="A34" s="259" t="s">
        <v>357</v>
      </c>
      <c r="B34" s="566" t="s">
        <v>426</v>
      </c>
      <c r="C34" s="567"/>
      <c r="D34" s="567"/>
      <c r="E34" s="568"/>
      <c r="F34" s="255"/>
    </row>
  </sheetData>
  <mergeCells count="18">
    <mergeCell ref="B33:E33"/>
    <mergeCell ref="B34:E34"/>
    <mergeCell ref="B9:E9"/>
    <mergeCell ref="B10:E10"/>
    <mergeCell ref="B11:E11"/>
    <mergeCell ref="B15:E15"/>
    <mergeCell ref="B21:E21"/>
    <mergeCell ref="B25:E25"/>
    <mergeCell ref="B26:E26"/>
    <mergeCell ref="B27:E27"/>
    <mergeCell ref="B28:E28"/>
    <mergeCell ref="B29:E29"/>
    <mergeCell ref="B20:E20"/>
    <mergeCell ref="B5:E5"/>
    <mergeCell ref="B12:E12"/>
    <mergeCell ref="B13:E13"/>
    <mergeCell ref="B14:E14"/>
    <mergeCell ref="B19:E19"/>
  </mergeCells>
  <pageMargins left="0.82677165354330717" right="0.70866141732283472" top="0.74803149606299213" bottom="0.74803149606299213" header="0.31496062992125984" footer="0.31496062992125984"/>
  <pageSetup paperSize="9" scale="75" orientation="portrait" r:id="rId1"/>
  <headerFooter>
    <oddHeader xml:space="preserve">&amp;C&amp;"Arial,Negrita"&amp;18FORMATOS DEL PROYECTO DE PRESUPUESTO 2022
</oddHeader>
    <oddFooter>&amp;L&amp;"Arial,Negrita"&amp;8PROYECTO DE PRESUPUESTO PARA EL AÑO FISCAL 2022
INFORMACIÓN PARA LA COMISIÓN DE PRESUPUESTO Y CUENTA GENERAL DE LA REPÚBLICA DEL CONGRESO DE LA REPÚBLICA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9BE35-30D3-4619-BF26-29C130C5DE66}">
  <sheetPr>
    <tabColor theme="9" tint="-0.249977111117893"/>
  </sheetPr>
  <dimension ref="A1:W158"/>
  <sheetViews>
    <sheetView view="pageBreakPreview" zoomScaleNormal="100" zoomScaleSheetLayoutView="100" zoomScalePageLayoutView="85" workbookViewId="0">
      <selection activeCell="B5" sqref="B5:E5"/>
    </sheetView>
  </sheetViews>
  <sheetFormatPr baseColWidth="10" defaultColWidth="11.42578125" defaultRowHeight="12" x14ac:dyDescent="0.2"/>
  <cols>
    <col min="1" max="1" width="41.28515625" style="23" customWidth="1"/>
    <col min="2" max="4" width="7" style="23" customWidth="1"/>
    <col min="5" max="7" width="5.42578125" style="23" bestFit="1" customWidth="1"/>
    <col min="8" max="8" width="6.140625" style="23" customWidth="1"/>
    <col min="9" max="9" width="7" style="23" customWidth="1"/>
    <col min="10" max="10" width="5.7109375" style="23" customWidth="1"/>
    <col min="11" max="11" width="6.5703125" style="23" customWidth="1"/>
    <col min="12" max="12" width="11.42578125" style="23" customWidth="1"/>
    <col min="13" max="15" width="7" style="23" customWidth="1"/>
    <col min="16" max="18" width="5.42578125" style="23" bestFit="1" customWidth="1"/>
    <col min="19" max="22" width="7" style="23" customWidth="1"/>
    <col min="23" max="23" width="11.5703125" style="23" customWidth="1"/>
    <col min="24" max="16384" width="11.42578125" style="95"/>
  </cols>
  <sheetData>
    <row r="1" spans="1:23" s="488" customFormat="1" ht="15.75" x14ac:dyDescent="0.2">
      <c r="A1" s="487" t="s">
        <v>386</v>
      </c>
      <c r="B1" s="398"/>
      <c r="C1" s="398"/>
      <c r="D1" s="398"/>
      <c r="E1" s="398"/>
      <c r="F1" s="398"/>
      <c r="G1" s="398"/>
      <c r="H1" s="398"/>
      <c r="I1" s="398"/>
      <c r="J1" s="398"/>
      <c r="K1" s="398"/>
      <c r="L1" s="398"/>
      <c r="M1" s="398"/>
      <c r="N1" s="398"/>
      <c r="O1" s="398"/>
      <c r="P1" s="398"/>
      <c r="Q1" s="398"/>
      <c r="R1" s="398"/>
      <c r="S1" s="398"/>
      <c r="T1" s="398"/>
      <c r="U1" s="398"/>
      <c r="V1" s="398"/>
      <c r="W1" s="398"/>
    </row>
    <row r="2" spans="1:23" s="488" customFormat="1" ht="15.75" x14ac:dyDescent="0.2">
      <c r="A2" s="487" t="s">
        <v>473</v>
      </c>
      <c r="B2" s="398"/>
      <c r="C2" s="398"/>
      <c r="D2" s="398"/>
      <c r="E2" s="398"/>
      <c r="F2" s="398"/>
      <c r="G2" s="398"/>
      <c r="H2" s="398"/>
      <c r="I2" s="398"/>
      <c r="J2" s="398"/>
      <c r="K2" s="398"/>
      <c r="L2" s="398"/>
      <c r="M2" s="398"/>
      <c r="N2" s="398"/>
      <c r="O2" s="398"/>
      <c r="P2" s="398"/>
      <c r="Q2" s="398"/>
      <c r="R2" s="398"/>
      <c r="S2" s="398"/>
      <c r="T2" s="398"/>
      <c r="U2" s="398"/>
      <c r="V2" s="398"/>
      <c r="W2" s="398"/>
    </row>
    <row r="3" spans="1:23" ht="12.75" thickBot="1" x14ac:dyDescent="0.25">
      <c r="L3" s="384"/>
      <c r="W3" s="384"/>
    </row>
    <row r="4" spans="1:23" s="60" customFormat="1" ht="26.25" customHeight="1" x14ac:dyDescent="0.2">
      <c r="A4" s="144" t="s">
        <v>10</v>
      </c>
      <c r="B4" s="612" t="s">
        <v>430</v>
      </c>
      <c r="C4" s="613"/>
      <c r="D4" s="613"/>
      <c r="E4" s="613"/>
      <c r="F4" s="613"/>
      <c r="G4" s="613"/>
      <c r="H4" s="613"/>
      <c r="I4" s="613"/>
      <c r="J4" s="613"/>
      <c r="K4" s="613"/>
      <c r="L4" s="614"/>
      <c r="M4" s="612" t="s">
        <v>431</v>
      </c>
      <c r="N4" s="613"/>
      <c r="O4" s="613"/>
      <c r="P4" s="613"/>
      <c r="Q4" s="613"/>
      <c r="R4" s="613"/>
      <c r="S4" s="613"/>
      <c r="T4" s="613"/>
      <c r="U4" s="613"/>
      <c r="V4" s="613"/>
      <c r="W4" s="614"/>
    </row>
    <row r="5" spans="1:23" s="61" customFormat="1" ht="99.95" customHeight="1" x14ac:dyDescent="0.2">
      <c r="A5" s="145" t="s">
        <v>9</v>
      </c>
      <c r="B5" s="146" t="s">
        <v>324</v>
      </c>
      <c r="C5" s="146" t="s">
        <v>110</v>
      </c>
      <c r="D5" s="147" t="s">
        <v>283</v>
      </c>
      <c r="E5" s="147" t="s">
        <v>277</v>
      </c>
      <c r="F5" s="147" t="s">
        <v>285</v>
      </c>
      <c r="G5" s="147" t="s">
        <v>286</v>
      </c>
      <c r="H5" s="147" t="s">
        <v>287</v>
      </c>
      <c r="I5" s="147" t="s">
        <v>294</v>
      </c>
      <c r="J5" s="148" t="s">
        <v>289</v>
      </c>
      <c r="K5" s="149" t="s">
        <v>291</v>
      </c>
      <c r="L5" s="150" t="s">
        <v>293</v>
      </c>
      <c r="M5" s="146" t="s">
        <v>324</v>
      </c>
      <c r="N5" s="146" t="s">
        <v>110</v>
      </c>
      <c r="O5" s="147" t="s">
        <v>283</v>
      </c>
      <c r="P5" s="147" t="s">
        <v>277</v>
      </c>
      <c r="Q5" s="147" t="s">
        <v>285</v>
      </c>
      <c r="R5" s="147" t="s">
        <v>286</v>
      </c>
      <c r="S5" s="147" t="s">
        <v>287</v>
      </c>
      <c r="T5" s="147" t="s">
        <v>294</v>
      </c>
      <c r="U5" s="148" t="s">
        <v>289</v>
      </c>
      <c r="V5" s="149" t="s">
        <v>291</v>
      </c>
      <c r="W5" s="150" t="s">
        <v>292</v>
      </c>
    </row>
    <row r="6" spans="1:23" x14ac:dyDescent="0.2">
      <c r="A6" s="27"/>
      <c r="L6" s="30"/>
      <c r="W6" s="30"/>
    </row>
    <row r="7" spans="1:23" x14ac:dyDescent="0.2">
      <c r="A7" s="28" t="s">
        <v>7</v>
      </c>
      <c r="B7" s="489">
        <f>SUM(B8:B15)</f>
        <v>200</v>
      </c>
      <c r="C7" s="490"/>
      <c r="D7" s="490"/>
      <c r="E7" s="490"/>
      <c r="F7" s="490"/>
      <c r="G7" s="490"/>
      <c r="H7" s="490"/>
      <c r="I7" s="490"/>
      <c r="J7" s="490"/>
      <c r="K7" s="489">
        <f>SUM(K8:K15)</f>
        <v>200</v>
      </c>
      <c r="L7" s="491">
        <f>SUM(L8:L15)</f>
        <v>6018676.1600000001</v>
      </c>
      <c r="M7" s="489">
        <f>SUM(M8:M15)</f>
        <v>200</v>
      </c>
      <c r="N7" s="490"/>
      <c r="O7" s="490"/>
      <c r="P7" s="490"/>
      <c r="Q7" s="490"/>
      <c r="R7" s="490"/>
      <c r="S7" s="490"/>
      <c r="T7" s="490"/>
      <c r="U7" s="490"/>
      <c r="V7" s="490"/>
      <c r="W7" s="491">
        <f>SUM(W8:W15)</f>
        <v>6018676.1600000001</v>
      </c>
    </row>
    <row r="8" spans="1:23" x14ac:dyDescent="0.2">
      <c r="A8" s="27" t="s">
        <v>3</v>
      </c>
      <c r="B8" s="492">
        <v>1</v>
      </c>
      <c r="C8" s="492"/>
      <c r="D8" s="492"/>
      <c r="E8" s="492"/>
      <c r="F8" s="492"/>
      <c r="G8" s="492"/>
      <c r="H8" s="492"/>
      <c r="I8" s="492"/>
      <c r="J8" s="492"/>
      <c r="K8" s="492">
        <f>SUM(B8:J8)</f>
        <v>1</v>
      </c>
      <c r="L8" s="493">
        <v>12255.52</v>
      </c>
      <c r="M8" s="492">
        <v>1</v>
      </c>
      <c r="N8" s="492"/>
      <c r="O8" s="492"/>
      <c r="P8" s="492"/>
      <c r="Q8" s="492"/>
      <c r="R8" s="492"/>
      <c r="S8" s="492"/>
      <c r="T8" s="492"/>
      <c r="U8" s="492"/>
      <c r="V8" s="492"/>
      <c r="W8" s="493">
        <f>+L8</f>
        <v>12255.52</v>
      </c>
    </row>
    <row r="9" spans="1:23" x14ac:dyDescent="0.2">
      <c r="A9" s="27" t="s">
        <v>889</v>
      </c>
      <c r="B9" s="492">
        <v>1</v>
      </c>
      <c r="C9" s="492"/>
      <c r="D9" s="492"/>
      <c r="E9" s="492"/>
      <c r="F9" s="492"/>
      <c r="G9" s="492"/>
      <c r="H9" s="492"/>
      <c r="I9" s="492"/>
      <c r="J9" s="492"/>
      <c r="K9" s="492">
        <f t="shared" ref="K9:K15" si="0">SUM(B9:J9)</f>
        <v>1</v>
      </c>
      <c r="L9" s="493">
        <v>12027.76</v>
      </c>
      <c r="M9" s="492">
        <v>1</v>
      </c>
      <c r="N9" s="492"/>
      <c r="O9" s="492"/>
      <c r="P9" s="492"/>
      <c r="Q9" s="492"/>
      <c r="R9" s="492"/>
      <c r="S9" s="492"/>
      <c r="T9" s="492"/>
      <c r="U9" s="492"/>
      <c r="V9" s="492"/>
      <c r="W9" s="493">
        <f t="shared" ref="W9:W15" si="1">+L9</f>
        <v>12027.76</v>
      </c>
    </row>
    <row r="10" spans="1:23" x14ac:dyDescent="0.2">
      <c r="A10" s="27" t="s">
        <v>890</v>
      </c>
      <c r="B10" s="492">
        <v>2</v>
      </c>
      <c r="C10" s="492"/>
      <c r="D10" s="492"/>
      <c r="E10" s="492"/>
      <c r="F10" s="492"/>
      <c r="G10" s="492"/>
      <c r="H10" s="492"/>
      <c r="I10" s="492"/>
      <c r="J10" s="492"/>
      <c r="K10" s="492">
        <f t="shared" si="0"/>
        <v>2</v>
      </c>
      <c r="L10" s="493">
        <v>75453.320000000007</v>
      </c>
      <c r="M10" s="492">
        <v>2</v>
      </c>
      <c r="N10" s="492"/>
      <c r="O10" s="492"/>
      <c r="P10" s="492"/>
      <c r="Q10" s="492"/>
      <c r="R10" s="492"/>
      <c r="S10" s="492"/>
      <c r="T10" s="492"/>
      <c r="U10" s="492"/>
      <c r="V10" s="492"/>
      <c r="W10" s="493">
        <f t="shared" si="1"/>
        <v>75453.320000000007</v>
      </c>
    </row>
    <row r="11" spans="1:23" x14ac:dyDescent="0.2">
      <c r="A11" s="27" t="s">
        <v>891</v>
      </c>
      <c r="B11" s="492">
        <v>26</v>
      </c>
      <c r="C11" s="492"/>
      <c r="D11" s="492"/>
      <c r="E11" s="492"/>
      <c r="F11" s="492"/>
      <c r="G11" s="492"/>
      <c r="H11" s="492"/>
      <c r="I11" s="492"/>
      <c r="J11" s="492"/>
      <c r="K11" s="492">
        <f t="shared" si="0"/>
        <v>26</v>
      </c>
      <c r="L11" s="493">
        <v>832221.92</v>
      </c>
      <c r="M11" s="492">
        <v>26</v>
      </c>
      <c r="N11" s="492"/>
      <c r="O11" s="492"/>
      <c r="P11" s="492"/>
      <c r="Q11" s="492"/>
      <c r="R11" s="492"/>
      <c r="S11" s="492"/>
      <c r="T11" s="492"/>
      <c r="U11" s="492"/>
      <c r="V11" s="492"/>
      <c r="W11" s="493">
        <f t="shared" si="1"/>
        <v>832221.92</v>
      </c>
    </row>
    <row r="12" spans="1:23" x14ac:dyDescent="0.2">
      <c r="A12" s="27" t="s">
        <v>892</v>
      </c>
      <c r="B12" s="492">
        <v>44</v>
      </c>
      <c r="C12" s="492"/>
      <c r="D12" s="492"/>
      <c r="E12" s="492"/>
      <c r="F12" s="492"/>
      <c r="G12" s="492"/>
      <c r="H12" s="492"/>
      <c r="I12" s="492"/>
      <c r="J12" s="492"/>
      <c r="K12" s="492">
        <f t="shared" si="0"/>
        <v>44</v>
      </c>
      <c r="L12" s="493">
        <v>1406547.44</v>
      </c>
      <c r="M12" s="492">
        <v>44</v>
      </c>
      <c r="N12" s="492"/>
      <c r="O12" s="492"/>
      <c r="P12" s="492"/>
      <c r="Q12" s="492"/>
      <c r="R12" s="492"/>
      <c r="S12" s="492"/>
      <c r="T12" s="492"/>
      <c r="U12" s="492"/>
      <c r="V12" s="492"/>
      <c r="W12" s="493">
        <f t="shared" si="1"/>
        <v>1406547.44</v>
      </c>
    </row>
    <row r="13" spans="1:23" x14ac:dyDescent="0.2">
      <c r="A13" s="27" t="s">
        <v>893</v>
      </c>
      <c r="B13" s="492">
        <v>39</v>
      </c>
      <c r="C13" s="492"/>
      <c r="D13" s="492"/>
      <c r="E13" s="492"/>
      <c r="F13" s="492"/>
      <c r="G13" s="492"/>
      <c r="H13" s="492"/>
      <c r="I13" s="492"/>
      <c r="J13" s="492"/>
      <c r="K13" s="492">
        <f t="shared" si="0"/>
        <v>39</v>
      </c>
      <c r="L13" s="493">
        <v>1240408.92</v>
      </c>
      <c r="M13" s="492">
        <v>39</v>
      </c>
      <c r="N13" s="492"/>
      <c r="O13" s="492"/>
      <c r="P13" s="492"/>
      <c r="Q13" s="492"/>
      <c r="R13" s="492"/>
      <c r="S13" s="492"/>
      <c r="T13" s="492"/>
      <c r="U13" s="492"/>
      <c r="V13" s="492"/>
      <c r="W13" s="493">
        <f t="shared" si="1"/>
        <v>1240408.92</v>
      </c>
    </row>
    <row r="14" spans="1:23" x14ac:dyDescent="0.2">
      <c r="A14" s="27" t="s">
        <v>894</v>
      </c>
      <c r="B14" s="492">
        <v>27</v>
      </c>
      <c r="C14" s="492"/>
      <c r="D14" s="492"/>
      <c r="E14" s="492"/>
      <c r="F14" s="492"/>
      <c r="G14" s="492"/>
      <c r="H14" s="492"/>
      <c r="I14" s="492"/>
      <c r="J14" s="492"/>
      <c r="K14" s="492">
        <f t="shared" si="0"/>
        <v>27</v>
      </c>
      <c r="L14" s="493">
        <v>779310.36</v>
      </c>
      <c r="M14" s="492">
        <v>27</v>
      </c>
      <c r="N14" s="492"/>
      <c r="O14" s="492"/>
      <c r="P14" s="492"/>
      <c r="Q14" s="492"/>
      <c r="R14" s="492"/>
      <c r="S14" s="492"/>
      <c r="T14" s="492"/>
      <c r="U14" s="492"/>
      <c r="V14" s="492"/>
      <c r="W14" s="493">
        <f t="shared" si="1"/>
        <v>779310.36</v>
      </c>
    </row>
    <row r="15" spans="1:23" x14ac:dyDescent="0.2">
      <c r="A15" s="27" t="s">
        <v>12</v>
      </c>
      <c r="B15" s="492">
        <v>60</v>
      </c>
      <c r="C15" s="492"/>
      <c r="D15" s="492"/>
      <c r="E15" s="492"/>
      <c r="F15" s="492"/>
      <c r="G15" s="492"/>
      <c r="H15" s="492"/>
      <c r="I15" s="492"/>
      <c r="J15" s="492"/>
      <c r="K15" s="492">
        <f t="shared" si="0"/>
        <v>60</v>
      </c>
      <c r="L15" s="493">
        <v>1660450.92</v>
      </c>
      <c r="M15" s="492">
        <v>60</v>
      </c>
      <c r="N15" s="492"/>
      <c r="O15" s="492"/>
      <c r="P15" s="492"/>
      <c r="Q15" s="492"/>
      <c r="R15" s="492"/>
      <c r="S15" s="492"/>
      <c r="T15" s="492"/>
      <c r="U15" s="492"/>
      <c r="V15" s="492"/>
      <c r="W15" s="493">
        <f t="shared" si="1"/>
        <v>1660450.92</v>
      </c>
    </row>
    <row r="16" spans="1:23" x14ac:dyDescent="0.2">
      <c r="A16" s="77"/>
      <c r="B16" s="492"/>
      <c r="C16" s="492"/>
      <c r="D16" s="492"/>
      <c r="E16" s="492"/>
      <c r="F16" s="492"/>
      <c r="G16" s="492"/>
      <c r="H16" s="492"/>
      <c r="I16" s="492"/>
      <c r="J16" s="492"/>
      <c r="K16" s="492"/>
      <c r="L16" s="493"/>
      <c r="M16" s="492"/>
      <c r="N16" s="492"/>
      <c r="O16" s="492"/>
      <c r="P16" s="492"/>
      <c r="Q16" s="492"/>
      <c r="R16" s="492"/>
      <c r="S16" s="492"/>
      <c r="T16" s="492"/>
      <c r="U16" s="492"/>
      <c r="V16" s="492"/>
      <c r="W16" s="493"/>
    </row>
    <row r="17" spans="1:23" x14ac:dyDescent="0.2">
      <c r="A17" s="28" t="s">
        <v>4</v>
      </c>
      <c r="B17" s="489">
        <f>SUM(B18:B23)</f>
        <v>96</v>
      </c>
      <c r="C17" s="489"/>
      <c r="D17" s="489"/>
      <c r="E17" s="489"/>
      <c r="F17" s="489"/>
      <c r="G17" s="489"/>
      <c r="H17" s="489"/>
      <c r="I17" s="489"/>
      <c r="J17" s="489"/>
      <c r="K17" s="489">
        <f>SUM(K18:K23)</f>
        <v>96</v>
      </c>
      <c r="L17" s="491">
        <f>SUM(L18:L23)</f>
        <v>2673219.12</v>
      </c>
      <c r="M17" s="489">
        <f>SUM(M18:M23)</f>
        <v>96</v>
      </c>
      <c r="N17" s="489"/>
      <c r="O17" s="489"/>
      <c r="P17" s="489"/>
      <c r="Q17" s="489"/>
      <c r="R17" s="489"/>
      <c r="S17" s="489"/>
      <c r="T17" s="489"/>
      <c r="U17" s="489"/>
      <c r="V17" s="489"/>
      <c r="W17" s="491">
        <f>SUM(W18:W23)</f>
        <v>2673219.12</v>
      </c>
    </row>
    <row r="18" spans="1:23" x14ac:dyDescent="0.2">
      <c r="A18" s="27" t="s">
        <v>13</v>
      </c>
      <c r="B18" s="492">
        <v>19</v>
      </c>
      <c r="C18" s="492"/>
      <c r="D18" s="492"/>
      <c r="E18" s="492"/>
      <c r="F18" s="492"/>
      <c r="G18" s="492"/>
      <c r="H18" s="492"/>
      <c r="I18" s="492"/>
      <c r="J18" s="492"/>
      <c r="K18" s="492">
        <f t="shared" ref="K18:K23" si="2">SUM(B18:J18)</f>
        <v>19</v>
      </c>
      <c r="L18" s="493">
        <v>537963.4</v>
      </c>
      <c r="M18" s="492">
        <v>19</v>
      </c>
      <c r="N18" s="492"/>
      <c r="O18" s="492"/>
      <c r="P18" s="492"/>
      <c r="Q18" s="492"/>
      <c r="R18" s="492"/>
      <c r="S18" s="492"/>
      <c r="T18" s="492"/>
      <c r="U18" s="492"/>
      <c r="V18" s="492"/>
      <c r="W18" s="493">
        <f>+L18</f>
        <v>537963.4</v>
      </c>
    </row>
    <row r="19" spans="1:23" x14ac:dyDescent="0.2">
      <c r="A19" s="27" t="s">
        <v>895</v>
      </c>
      <c r="B19" s="492">
        <v>4</v>
      </c>
      <c r="C19" s="492"/>
      <c r="D19" s="492"/>
      <c r="E19" s="492"/>
      <c r="F19" s="492"/>
      <c r="G19" s="492"/>
      <c r="H19" s="492"/>
      <c r="I19" s="492"/>
      <c r="J19" s="492"/>
      <c r="K19" s="492">
        <f t="shared" si="2"/>
        <v>4</v>
      </c>
      <c r="L19" s="493">
        <v>103371.16</v>
      </c>
      <c r="M19" s="492">
        <v>4</v>
      </c>
      <c r="N19" s="492"/>
      <c r="O19" s="492"/>
      <c r="P19" s="492"/>
      <c r="Q19" s="492"/>
      <c r="R19" s="492"/>
      <c r="S19" s="492"/>
      <c r="T19" s="492"/>
      <c r="U19" s="492"/>
      <c r="V19" s="492"/>
      <c r="W19" s="493">
        <f t="shared" ref="W19:W23" si="3">+L19</f>
        <v>103371.16</v>
      </c>
    </row>
    <row r="20" spans="1:23" x14ac:dyDescent="0.2">
      <c r="A20" s="27" t="s">
        <v>896</v>
      </c>
      <c r="B20" s="492">
        <v>9</v>
      </c>
      <c r="C20" s="492"/>
      <c r="D20" s="492"/>
      <c r="E20" s="492"/>
      <c r="F20" s="492"/>
      <c r="G20" s="492"/>
      <c r="H20" s="492"/>
      <c r="I20" s="492"/>
      <c r="J20" s="492"/>
      <c r="K20" s="492">
        <f t="shared" si="2"/>
        <v>9</v>
      </c>
      <c r="L20" s="493">
        <v>244646.76</v>
      </c>
      <c r="M20" s="492">
        <v>9</v>
      </c>
      <c r="N20" s="492"/>
      <c r="O20" s="492"/>
      <c r="P20" s="492"/>
      <c r="Q20" s="492"/>
      <c r="R20" s="492"/>
      <c r="S20" s="492"/>
      <c r="T20" s="492"/>
      <c r="U20" s="492"/>
      <c r="V20" s="492"/>
      <c r="W20" s="493">
        <f t="shared" si="3"/>
        <v>244646.76</v>
      </c>
    </row>
    <row r="21" spans="1:23" x14ac:dyDescent="0.2">
      <c r="A21" s="27" t="s">
        <v>897</v>
      </c>
      <c r="B21" s="492">
        <v>34</v>
      </c>
      <c r="C21" s="492"/>
      <c r="D21" s="492"/>
      <c r="E21" s="492"/>
      <c r="F21" s="492"/>
      <c r="G21" s="492"/>
      <c r="H21" s="492"/>
      <c r="I21" s="492"/>
      <c r="J21" s="492"/>
      <c r="K21" s="492">
        <f t="shared" si="2"/>
        <v>34</v>
      </c>
      <c r="L21" s="493">
        <v>946860.76</v>
      </c>
      <c r="M21" s="492">
        <v>34</v>
      </c>
      <c r="N21" s="492"/>
      <c r="O21" s="492"/>
      <c r="P21" s="492"/>
      <c r="Q21" s="492"/>
      <c r="R21" s="492"/>
      <c r="S21" s="492"/>
      <c r="T21" s="492"/>
      <c r="U21" s="492"/>
      <c r="V21" s="492"/>
      <c r="W21" s="493">
        <f t="shared" si="3"/>
        <v>946860.76</v>
      </c>
    </row>
    <row r="22" spans="1:23" x14ac:dyDescent="0.2">
      <c r="A22" s="27" t="s">
        <v>14</v>
      </c>
      <c r="B22" s="492">
        <v>23</v>
      </c>
      <c r="C22" s="492"/>
      <c r="D22" s="492"/>
      <c r="E22" s="492"/>
      <c r="F22" s="492"/>
      <c r="G22" s="492"/>
      <c r="H22" s="492"/>
      <c r="I22" s="492"/>
      <c r="J22" s="492"/>
      <c r="K22" s="492">
        <f t="shared" si="2"/>
        <v>23</v>
      </c>
      <c r="L22" s="493">
        <v>644900.36</v>
      </c>
      <c r="M22" s="492">
        <v>23</v>
      </c>
      <c r="N22" s="492"/>
      <c r="O22" s="492"/>
      <c r="P22" s="492"/>
      <c r="Q22" s="492"/>
      <c r="R22" s="492"/>
      <c r="S22" s="492"/>
      <c r="T22" s="492"/>
      <c r="U22" s="492"/>
      <c r="V22" s="492"/>
      <c r="W22" s="493">
        <f t="shared" si="3"/>
        <v>644900.36</v>
      </c>
    </row>
    <row r="23" spans="1:23" x14ac:dyDescent="0.2">
      <c r="A23" s="27" t="s">
        <v>898</v>
      </c>
      <c r="B23" s="492">
        <v>7</v>
      </c>
      <c r="C23" s="492"/>
      <c r="D23" s="492"/>
      <c r="E23" s="492"/>
      <c r="F23" s="492"/>
      <c r="G23" s="492"/>
      <c r="H23" s="492"/>
      <c r="I23" s="492"/>
      <c r="J23" s="492"/>
      <c r="K23" s="492">
        <f t="shared" si="2"/>
        <v>7</v>
      </c>
      <c r="L23" s="493">
        <v>195476.68</v>
      </c>
      <c r="M23" s="492">
        <v>7</v>
      </c>
      <c r="N23" s="492"/>
      <c r="O23" s="492"/>
      <c r="P23" s="492"/>
      <c r="Q23" s="492"/>
      <c r="R23" s="492"/>
      <c r="S23" s="492"/>
      <c r="T23" s="492"/>
      <c r="U23" s="492"/>
      <c r="V23" s="492"/>
      <c r="W23" s="493">
        <f t="shared" si="3"/>
        <v>195476.68</v>
      </c>
    </row>
    <row r="24" spans="1:23" x14ac:dyDescent="0.2">
      <c r="A24" s="28" t="s">
        <v>5</v>
      </c>
      <c r="B24" s="489">
        <f>SUM(B25:B30)</f>
        <v>310</v>
      </c>
      <c r="C24" s="489"/>
      <c r="D24" s="489"/>
      <c r="E24" s="489"/>
      <c r="F24" s="489"/>
      <c r="G24" s="489"/>
      <c r="H24" s="489"/>
      <c r="I24" s="489"/>
      <c r="J24" s="489"/>
      <c r="K24" s="489">
        <f>SUM(K25:K30)</f>
        <v>310</v>
      </c>
      <c r="L24" s="491">
        <f>SUM(L25:L30)</f>
        <v>7975387.7199999997</v>
      </c>
      <c r="M24" s="489">
        <f>SUM(M25:M30)</f>
        <v>310</v>
      </c>
      <c r="N24" s="489"/>
      <c r="O24" s="489"/>
      <c r="P24" s="489"/>
      <c r="Q24" s="489"/>
      <c r="R24" s="489"/>
      <c r="S24" s="489"/>
      <c r="T24" s="489"/>
      <c r="U24" s="489"/>
      <c r="V24" s="489"/>
      <c r="W24" s="491">
        <f>SUM(W25:W30)</f>
        <v>7975387.7199999997</v>
      </c>
    </row>
    <row r="25" spans="1:23" x14ac:dyDescent="0.2">
      <c r="A25" s="27" t="s">
        <v>15</v>
      </c>
      <c r="B25" s="492">
        <v>130</v>
      </c>
      <c r="C25" s="492"/>
      <c r="D25" s="492"/>
      <c r="E25" s="492"/>
      <c r="F25" s="492"/>
      <c r="G25" s="492"/>
      <c r="H25" s="492"/>
      <c r="I25" s="492"/>
      <c r="J25" s="492"/>
      <c r="K25" s="492">
        <f t="shared" ref="K25:K30" si="4">SUM(B25:J25)</f>
        <v>130</v>
      </c>
      <c r="L25" s="493">
        <v>3304974.64</v>
      </c>
      <c r="M25" s="492">
        <v>130</v>
      </c>
      <c r="N25" s="492"/>
      <c r="O25" s="492"/>
      <c r="P25" s="492"/>
      <c r="Q25" s="492"/>
      <c r="R25" s="492"/>
      <c r="S25" s="492"/>
      <c r="T25" s="492"/>
      <c r="U25" s="492"/>
      <c r="V25" s="492"/>
      <c r="W25" s="493">
        <f>+L25</f>
        <v>3304974.64</v>
      </c>
    </row>
    <row r="26" spans="1:23" x14ac:dyDescent="0.2">
      <c r="A26" s="27" t="s">
        <v>899</v>
      </c>
      <c r="B26" s="492">
        <v>53</v>
      </c>
      <c r="C26" s="492"/>
      <c r="D26" s="492"/>
      <c r="E26" s="492"/>
      <c r="F26" s="492"/>
      <c r="G26" s="492"/>
      <c r="H26" s="492"/>
      <c r="I26" s="492"/>
      <c r="J26" s="492"/>
      <c r="K26" s="492">
        <f t="shared" si="4"/>
        <v>53</v>
      </c>
      <c r="L26" s="493">
        <v>1357391.12</v>
      </c>
      <c r="M26" s="492">
        <v>53</v>
      </c>
      <c r="N26" s="492"/>
      <c r="O26" s="492"/>
      <c r="P26" s="492"/>
      <c r="Q26" s="492"/>
      <c r="R26" s="492"/>
      <c r="S26" s="492"/>
      <c r="T26" s="492"/>
      <c r="U26" s="492"/>
      <c r="V26" s="492"/>
      <c r="W26" s="493">
        <f t="shared" ref="W26:W30" si="5">+L26</f>
        <v>1357391.12</v>
      </c>
    </row>
    <row r="27" spans="1:23" x14ac:dyDescent="0.2">
      <c r="A27" s="27" t="s">
        <v>900</v>
      </c>
      <c r="B27" s="492">
        <v>56</v>
      </c>
      <c r="C27" s="492"/>
      <c r="D27" s="492"/>
      <c r="E27" s="492"/>
      <c r="F27" s="492"/>
      <c r="G27" s="492"/>
      <c r="H27" s="492"/>
      <c r="I27" s="492"/>
      <c r="J27" s="492"/>
      <c r="K27" s="492">
        <f t="shared" si="4"/>
        <v>56</v>
      </c>
      <c r="L27" s="493">
        <v>1441520.12</v>
      </c>
      <c r="M27" s="492">
        <v>56</v>
      </c>
      <c r="N27" s="492"/>
      <c r="O27" s="492"/>
      <c r="P27" s="492"/>
      <c r="Q27" s="492"/>
      <c r="R27" s="492"/>
      <c r="S27" s="492"/>
      <c r="T27" s="492"/>
      <c r="U27" s="492"/>
      <c r="V27" s="492"/>
      <c r="W27" s="493">
        <f t="shared" si="5"/>
        <v>1441520.12</v>
      </c>
    </row>
    <row r="28" spans="1:23" x14ac:dyDescent="0.2">
      <c r="A28" s="27" t="s">
        <v>901</v>
      </c>
      <c r="B28" s="492">
        <v>24</v>
      </c>
      <c r="C28" s="492"/>
      <c r="D28" s="492"/>
      <c r="E28" s="492"/>
      <c r="F28" s="492"/>
      <c r="G28" s="492"/>
      <c r="H28" s="492"/>
      <c r="I28" s="492"/>
      <c r="J28" s="492"/>
      <c r="K28" s="492">
        <f t="shared" si="4"/>
        <v>24</v>
      </c>
      <c r="L28" s="493">
        <v>634883.28</v>
      </c>
      <c r="M28" s="492">
        <v>24</v>
      </c>
      <c r="N28" s="492"/>
      <c r="O28" s="492"/>
      <c r="P28" s="492"/>
      <c r="Q28" s="492"/>
      <c r="R28" s="492"/>
      <c r="S28" s="492"/>
      <c r="T28" s="492"/>
      <c r="U28" s="492"/>
      <c r="V28" s="492"/>
      <c r="W28" s="493">
        <f t="shared" si="5"/>
        <v>634883.28</v>
      </c>
    </row>
    <row r="29" spans="1:23" x14ac:dyDescent="0.2">
      <c r="A29" s="27" t="s">
        <v>16</v>
      </c>
      <c r="B29" s="492">
        <v>45</v>
      </c>
      <c r="C29" s="492"/>
      <c r="D29" s="492"/>
      <c r="E29" s="492"/>
      <c r="F29" s="492"/>
      <c r="G29" s="492"/>
      <c r="H29" s="492"/>
      <c r="I29" s="492"/>
      <c r="J29" s="492"/>
      <c r="K29" s="492">
        <f t="shared" si="4"/>
        <v>45</v>
      </c>
      <c r="L29" s="493">
        <v>1187661.6000000001</v>
      </c>
      <c r="M29" s="492">
        <v>45</v>
      </c>
      <c r="N29" s="492"/>
      <c r="O29" s="492"/>
      <c r="P29" s="492"/>
      <c r="Q29" s="492"/>
      <c r="R29" s="492"/>
      <c r="S29" s="492"/>
      <c r="T29" s="492"/>
      <c r="U29" s="492"/>
      <c r="V29" s="492"/>
      <c r="W29" s="493">
        <f t="shared" si="5"/>
        <v>1187661.6000000001</v>
      </c>
    </row>
    <row r="30" spans="1:23" x14ac:dyDescent="0.2">
      <c r="A30" s="27" t="s">
        <v>902</v>
      </c>
      <c r="B30" s="492">
        <v>2</v>
      </c>
      <c r="C30" s="492"/>
      <c r="D30" s="492"/>
      <c r="E30" s="492"/>
      <c r="F30" s="492"/>
      <c r="G30" s="492"/>
      <c r="H30" s="492"/>
      <c r="I30" s="492"/>
      <c r="J30" s="492"/>
      <c r="K30" s="492">
        <f t="shared" si="4"/>
        <v>2</v>
      </c>
      <c r="L30" s="493">
        <v>48956.959999999999</v>
      </c>
      <c r="M30" s="492">
        <v>2</v>
      </c>
      <c r="N30" s="492"/>
      <c r="O30" s="492"/>
      <c r="P30" s="492"/>
      <c r="Q30" s="492"/>
      <c r="R30" s="492"/>
      <c r="S30" s="492"/>
      <c r="T30" s="492"/>
      <c r="U30" s="492"/>
      <c r="V30" s="492"/>
      <c r="W30" s="493">
        <f t="shared" si="5"/>
        <v>48956.959999999999</v>
      </c>
    </row>
    <row r="31" spans="1:23" x14ac:dyDescent="0.2">
      <c r="A31" s="28" t="s">
        <v>6</v>
      </c>
      <c r="B31" s="489">
        <f>SUM(B32:B36)</f>
        <v>115</v>
      </c>
      <c r="C31" s="489"/>
      <c r="D31" s="489"/>
      <c r="E31" s="489"/>
      <c r="F31" s="489"/>
      <c r="G31" s="489"/>
      <c r="H31" s="489"/>
      <c r="I31" s="489"/>
      <c r="J31" s="489"/>
      <c r="K31" s="489">
        <f>SUM(K32:K36)</f>
        <v>115</v>
      </c>
      <c r="L31" s="491">
        <f>SUM(L32:L36)</f>
        <v>2931896.2</v>
      </c>
      <c r="M31" s="489">
        <f>SUM(M32:M36)</f>
        <v>115</v>
      </c>
      <c r="N31" s="489"/>
      <c r="O31" s="489"/>
      <c r="P31" s="489"/>
      <c r="Q31" s="489"/>
      <c r="R31" s="489"/>
      <c r="S31" s="489"/>
      <c r="T31" s="489"/>
      <c r="U31" s="489"/>
      <c r="V31" s="489"/>
      <c r="W31" s="491">
        <f>SUM(W32:W36)</f>
        <v>2931896.2</v>
      </c>
    </row>
    <row r="32" spans="1:23" x14ac:dyDescent="0.2">
      <c r="A32" s="27" t="s">
        <v>17</v>
      </c>
      <c r="B32" s="492">
        <v>9</v>
      </c>
      <c r="C32" s="492"/>
      <c r="D32" s="492"/>
      <c r="E32" s="492"/>
      <c r="F32" s="492"/>
      <c r="G32" s="492"/>
      <c r="H32" s="492"/>
      <c r="I32" s="492"/>
      <c r="J32" s="492"/>
      <c r="K32" s="492">
        <f>SUM(B32:J32)</f>
        <v>9</v>
      </c>
      <c r="L32" s="493">
        <v>226554.48</v>
      </c>
      <c r="M32" s="492">
        <v>9</v>
      </c>
      <c r="N32" s="492"/>
      <c r="O32" s="492"/>
      <c r="P32" s="492"/>
      <c r="Q32" s="492"/>
      <c r="R32" s="492"/>
      <c r="S32" s="492"/>
      <c r="T32" s="492"/>
      <c r="U32" s="492"/>
      <c r="V32" s="492"/>
      <c r="W32" s="493">
        <f>+L32</f>
        <v>226554.48</v>
      </c>
    </row>
    <row r="33" spans="1:23" x14ac:dyDescent="0.2">
      <c r="A33" s="27" t="s">
        <v>903</v>
      </c>
      <c r="B33" s="492">
        <v>2</v>
      </c>
      <c r="C33" s="492"/>
      <c r="D33" s="492"/>
      <c r="E33" s="492"/>
      <c r="F33" s="492"/>
      <c r="G33" s="492"/>
      <c r="H33" s="492"/>
      <c r="I33" s="492"/>
      <c r="J33" s="492"/>
      <c r="K33" s="492">
        <f>SUM(B33:J33)</f>
        <v>2</v>
      </c>
      <c r="L33" s="493">
        <v>49894.400000000001</v>
      </c>
      <c r="M33" s="492">
        <v>2</v>
      </c>
      <c r="N33" s="492"/>
      <c r="O33" s="492"/>
      <c r="P33" s="492"/>
      <c r="Q33" s="492"/>
      <c r="R33" s="492"/>
      <c r="S33" s="492"/>
      <c r="T33" s="492"/>
      <c r="U33" s="492"/>
      <c r="V33" s="492"/>
      <c r="W33" s="493">
        <f t="shared" ref="W33:W35" si="6">+L33</f>
        <v>49894.400000000001</v>
      </c>
    </row>
    <row r="34" spans="1:23" x14ac:dyDescent="0.2">
      <c r="A34" s="27" t="s">
        <v>904</v>
      </c>
      <c r="B34" s="492">
        <v>5</v>
      </c>
      <c r="C34" s="492"/>
      <c r="D34" s="492"/>
      <c r="E34" s="492"/>
      <c r="F34" s="492"/>
      <c r="G34" s="492"/>
      <c r="H34" s="492"/>
      <c r="I34" s="492"/>
      <c r="J34" s="492"/>
      <c r="K34" s="492">
        <f>SUM(B34:J34)</f>
        <v>5</v>
      </c>
      <c r="L34" s="493">
        <v>128127.8</v>
      </c>
      <c r="M34" s="492">
        <v>5</v>
      </c>
      <c r="N34" s="492"/>
      <c r="O34" s="492"/>
      <c r="P34" s="492"/>
      <c r="Q34" s="492"/>
      <c r="R34" s="492"/>
      <c r="S34" s="492"/>
      <c r="T34" s="492"/>
      <c r="U34" s="492"/>
      <c r="V34" s="492"/>
      <c r="W34" s="493">
        <f t="shared" si="6"/>
        <v>128127.8</v>
      </c>
    </row>
    <row r="35" spans="1:23" x14ac:dyDescent="0.2">
      <c r="A35" s="27" t="s">
        <v>18</v>
      </c>
      <c r="B35" s="492">
        <v>99</v>
      </c>
      <c r="C35" s="492"/>
      <c r="D35" s="492"/>
      <c r="E35" s="492"/>
      <c r="F35" s="492"/>
      <c r="G35" s="492"/>
      <c r="H35" s="492"/>
      <c r="I35" s="492"/>
      <c r="J35" s="492"/>
      <c r="K35" s="492">
        <f>SUM(B35:J35)</f>
        <v>99</v>
      </c>
      <c r="L35" s="493">
        <v>2527319.52</v>
      </c>
      <c r="M35" s="492">
        <v>99</v>
      </c>
      <c r="N35" s="492"/>
      <c r="O35" s="492"/>
      <c r="P35" s="492"/>
      <c r="Q35" s="492"/>
      <c r="R35" s="492"/>
      <c r="S35" s="492"/>
      <c r="T35" s="492"/>
      <c r="U35" s="492"/>
      <c r="V35" s="492"/>
      <c r="W35" s="493">
        <f t="shared" si="6"/>
        <v>2527319.52</v>
      </c>
    </row>
    <row r="36" spans="1:23" x14ac:dyDescent="0.2">
      <c r="A36" s="27"/>
      <c r="B36" s="492"/>
      <c r="C36" s="492"/>
      <c r="D36" s="492"/>
      <c r="E36" s="492"/>
      <c r="F36" s="492"/>
      <c r="G36" s="492"/>
      <c r="H36" s="492"/>
      <c r="I36" s="492"/>
      <c r="J36" s="492"/>
      <c r="K36" s="492"/>
      <c r="L36" s="493"/>
      <c r="M36" s="492"/>
      <c r="N36" s="492"/>
      <c r="O36" s="492"/>
      <c r="P36" s="492"/>
      <c r="Q36" s="492"/>
      <c r="R36" s="492"/>
      <c r="S36" s="492"/>
      <c r="T36" s="492"/>
      <c r="U36" s="492"/>
      <c r="V36" s="492"/>
      <c r="W36" s="493"/>
    </row>
    <row r="37" spans="1:23" x14ac:dyDescent="0.2">
      <c r="A37" s="28" t="s">
        <v>905</v>
      </c>
      <c r="B37" s="489"/>
      <c r="C37" s="489"/>
      <c r="D37" s="489"/>
      <c r="E37" s="489"/>
      <c r="F37" s="489"/>
      <c r="G37" s="489"/>
      <c r="H37" s="489"/>
      <c r="I37" s="489"/>
      <c r="J37" s="489"/>
      <c r="K37" s="489"/>
      <c r="L37" s="491"/>
      <c r="M37" s="489"/>
      <c r="N37" s="489"/>
      <c r="O37" s="489"/>
      <c r="P37" s="489"/>
      <c r="Q37" s="489"/>
      <c r="R37" s="489"/>
      <c r="S37" s="489"/>
      <c r="T37" s="489"/>
      <c r="U37" s="489"/>
      <c r="V37" s="489"/>
      <c r="W37" s="491"/>
    </row>
    <row r="38" spans="1:23" x14ac:dyDescent="0.2">
      <c r="A38" s="28" t="s">
        <v>4</v>
      </c>
      <c r="B38" s="489">
        <f>SUM(B39:B40)</f>
        <v>11</v>
      </c>
      <c r="C38" s="489"/>
      <c r="D38" s="489"/>
      <c r="E38" s="489"/>
      <c r="F38" s="489"/>
      <c r="G38" s="489"/>
      <c r="H38" s="489"/>
      <c r="I38" s="489"/>
      <c r="J38" s="489"/>
      <c r="K38" s="489">
        <f>+B38</f>
        <v>11</v>
      </c>
      <c r="L38" s="491">
        <f>SUM(L39:L40)</f>
        <v>451988.96</v>
      </c>
      <c r="M38" s="489">
        <f>+K38</f>
        <v>11</v>
      </c>
      <c r="N38" s="489"/>
      <c r="O38" s="489"/>
      <c r="P38" s="489"/>
      <c r="Q38" s="489"/>
      <c r="R38" s="489"/>
      <c r="S38" s="489"/>
      <c r="T38" s="489"/>
      <c r="U38" s="489"/>
      <c r="V38" s="489"/>
      <c r="W38" s="491">
        <f>SUM(W39:W40)</f>
        <v>451988.96</v>
      </c>
    </row>
    <row r="39" spans="1:23" x14ac:dyDescent="0.2">
      <c r="A39" s="27" t="s">
        <v>897</v>
      </c>
      <c r="B39" s="492">
        <v>1</v>
      </c>
      <c r="C39" s="492"/>
      <c r="D39" s="492"/>
      <c r="E39" s="492"/>
      <c r="F39" s="492"/>
      <c r="G39" s="492"/>
      <c r="H39" s="492"/>
      <c r="I39" s="492"/>
      <c r="J39" s="492"/>
      <c r="K39" s="492">
        <f t="shared" ref="K39:K40" si="7">SUM(B39:J39)</f>
        <v>1</v>
      </c>
      <c r="L39" s="493">
        <v>40960.959999999999</v>
      </c>
      <c r="M39" s="492">
        <f>+K39</f>
        <v>1</v>
      </c>
      <c r="N39" s="492"/>
      <c r="O39" s="492"/>
      <c r="P39" s="492"/>
      <c r="Q39" s="492"/>
      <c r="R39" s="492"/>
      <c r="S39" s="492"/>
      <c r="T39" s="492"/>
      <c r="U39" s="492"/>
      <c r="V39" s="492"/>
      <c r="W39" s="493">
        <f>+L39</f>
        <v>40960.959999999999</v>
      </c>
    </row>
    <row r="40" spans="1:23" x14ac:dyDescent="0.2">
      <c r="A40" s="27" t="s">
        <v>14</v>
      </c>
      <c r="B40" s="492">
        <v>10</v>
      </c>
      <c r="C40" s="492"/>
      <c r="D40" s="492"/>
      <c r="E40" s="492"/>
      <c r="F40" s="492"/>
      <c r="G40" s="492"/>
      <c r="H40" s="492"/>
      <c r="I40" s="492"/>
      <c r="J40" s="492"/>
      <c r="K40" s="492">
        <f t="shared" si="7"/>
        <v>10</v>
      </c>
      <c r="L40" s="493">
        <v>411028</v>
      </c>
      <c r="M40" s="492">
        <f>+K40</f>
        <v>10</v>
      </c>
      <c r="N40" s="492"/>
      <c r="O40" s="492"/>
      <c r="P40" s="492"/>
      <c r="Q40" s="492"/>
      <c r="R40" s="492"/>
      <c r="S40" s="492"/>
      <c r="T40" s="492"/>
      <c r="U40" s="492"/>
      <c r="V40" s="492"/>
      <c r="W40" s="493">
        <f>+L40</f>
        <v>411028</v>
      </c>
    </row>
    <row r="41" spans="1:23" x14ac:dyDescent="0.2">
      <c r="A41" s="27"/>
      <c r="B41" s="492"/>
      <c r="C41" s="492"/>
      <c r="D41" s="492"/>
      <c r="E41" s="492"/>
      <c r="F41" s="492"/>
      <c r="G41" s="492"/>
      <c r="H41" s="492"/>
      <c r="I41" s="492"/>
      <c r="J41" s="492"/>
      <c r="K41" s="492"/>
      <c r="L41" s="493"/>
      <c r="M41" s="492"/>
      <c r="N41" s="492"/>
      <c r="O41" s="492"/>
      <c r="P41" s="492"/>
      <c r="Q41" s="492"/>
      <c r="R41" s="492"/>
      <c r="S41" s="492"/>
      <c r="T41" s="492"/>
      <c r="U41" s="492"/>
      <c r="V41" s="492"/>
      <c r="W41" s="493"/>
    </row>
    <row r="42" spans="1:23" x14ac:dyDescent="0.2">
      <c r="A42" s="28" t="s">
        <v>5</v>
      </c>
      <c r="B42" s="489">
        <f>SUM(B43:B47)</f>
        <v>430</v>
      </c>
      <c r="C42" s="489"/>
      <c r="D42" s="489"/>
      <c r="E42" s="489"/>
      <c r="F42" s="489"/>
      <c r="G42" s="489"/>
      <c r="H42" s="489"/>
      <c r="I42" s="489"/>
      <c r="J42" s="489"/>
      <c r="K42" s="489">
        <f>SUM(K43:K47)</f>
        <v>430</v>
      </c>
      <c r="L42" s="491">
        <f>SUM(L43:L47)</f>
        <v>19181897.32</v>
      </c>
      <c r="M42" s="489">
        <f>SUM(M43:M47)</f>
        <v>430</v>
      </c>
      <c r="N42" s="489"/>
      <c r="O42" s="489"/>
      <c r="P42" s="489"/>
      <c r="Q42" s="489"/>
      <c r="R42" s="489"/>
      <c r="S42" s="489"/>
      <c r="T42" s="489"/>
      <c r="U42" s="489"/>
      <c r="V42" s="489"/>
      <c r="W42" s="491">
        <f>SUM(W43:W47)</f>
        <v>19181897.32</v>
      </c>
    </row>
    <row r="43" spans="1:23" x14ac:dyDescent="0.2">
      <c r="A43" s="27" t="s">
        <v>15</v>
      </c>
      <c r="B43" s="492">
        <v>77</v>
      </c>
      <c r="C43" s="492"/>
      <c r="D43" s="492"/>
      <c r="E43" s="492"/>
      <c r="F43" s="492"/>
      <c r="G43" s="492"/>
      <c r="H43" s="492"/>
      <c r="I43" s="492"/>
      <c r="J43" s="492"/>
      <c r="K43" s="492">
        <f t="shared" ref="K43:K47" si="8">SUM(B43:J43)</f>
        <v>77</v>
      </c>
      <c r="L43" s="493">
        <v>3597760.76</v>
      </c>
      <c r="M43" s="492">
        <f t="shared" ref="M43:M47" si="9">+K43</f>
        <v>77</v>
      </c>
      <c r="N43" s="492"/>
      <c r="O43" s="492"/>
      <c r="P43" s="492"/>
      <c r="Q43" s="492"/>
      <c r="R43" s="492"/>
      <c r="S43" s="492"/>
      <c r="T43" s="492"/>
      <c r="U43" s="492"/>
      <c r="V43" s="492"/>
      <c r="W43" s="493">
        <f t="shared" ref="W43:W47" si="10">+L43</f>
        <v>3597760.76</v>
      </c>
    </row>
    <row r="44" spans="1:23" x14ac:dyDescent="0.2">
      <c r="A44" s="27" t="s">
        <v>899</v>
      </c>
      <c r="B44" s="492">
        <v>93</v>
      </c>
      <c r="C44" s="492"/>
      <c r="D44" s="492"/>
      <c r="E44" s="492"/>
      <c r="F44" s="492"/>
      <c r="G44" s="492"/>
      <c r="H44" s="492"/>
      <c r="I44" s="492"/>
      <c r="J44" s="492"/>
      <c r="K44" s="492">
        <f t="shared" si="8"/>
        <v>93</v>
      </c>
      <c r="L44" s="493">
        <v>4271305.8</v>
      </c>
      <c r="M44" s="492">
        <f t="shared" si="9"/>
        <v>93</v>
      </c>
      <c r="N44" s="492"/>
      <c r="O44" s="492"/>
      <c r="P44" s="492"/>
      <c r="Q44" s="492"/>
      <c r="R44" s="492"/>
      <c r="S44" s="492"/>
      <c r="T44" s="492"/>
      <c r="U44" s="492"/>
      <c r="V44" s="492"/>
      <c r="W44" s="493">
        <f t="shared" si="10"/>
        <v>4271305.8</v>
      </c>
    </row>
    <row r="45" spans="1:23" x14ac:dyDescent="0.2">
      <c r="A45" s="27" t="s">
        <v>900</v>
      </c>
      <c r="B45" s="492">
        <v>82</v>
      </c>
      <c r="C45" s="492"/>
      <c r="D45" s="492"/>
      <c r="E45" s="492"/>
      <c r="F45" s="492"/>
      <c r="G45" s="492"/>
      <c r="H45" s="492"/>
      <c r="I45" s="492"/>
      <c r="J45" s="492"/>
      <c r="K45" s="492">
        <f t="shared" si="8"/>
        <v>82</v>
      </c>
      <c r="L45" s="493">
        <v>3784747.12</v>
      </c>
      <c r="M45" s="492">
        <f t="shared" si="9"/>
        <v>82</v>
      </c>
      <c r="N45" s="492"/>
      <c r="O45" s="492"/>
      <c r="P45" s="492"/>
      <c r="Q45" s="492"/>
      <c r="R45" s="492"/>
      <c r="S45" s="492"/>
      <c r="T45" s="492"/>
      <c r="U45" s="492"/>
      <c r="V45" s="492"/>
      <c r="W45" s="493">
        <f t="shared" si="10"/>
        <v>3784747.12</v>
      </c>
    </row>
    <row r="46" spans="1:23" x14ac:dyDescent="0.2">
      <c r="A46" s="27" t="s">
        <v>901</v>
      </c>
      <c r="B46" s="492">
        <v>19</v>
      </c>
      <c r="C46" s="492"/>
      <c r="D46" s="492"/>
      <c r="E46" s="492"/>
      <c r="F46" s="492"/>
      <c r="G46" s="492"/>
      <c r="H46" s="492"/>
      <c r="I46" s="492"/>
      <c r="J46" s="492"/>
      <c r="K46" s="492">
        <f t="shared" si="8"/>
        <v>19</v>
      </c>
      <c r="L46" s="493">
        <v>675678.64</v>
      </c>
      <c r="M46" s="492">
        <f t="shared" si="9"/>
        <v>19</v>
      </c>
      <c r="N46" s="492"/>
      <c r="O46" s="492"/>
      <c r="P46" s="492"/>
      <c r="Q46" s="492"/>
      <c r="R46" s="492"/>
      <c r="S46" s="492"/>
      <c r="T46" s="492"/>
      <c r="U46" s="492"/>
      <c r="V46" s="492"/>
      <c r="W46" s="493">
        <f t="shared" si="10"/>
        <v>675678.64</v>
      </c>
    </row>
    <row r="47" spans="1:23" x14ac:dyDescent="0.2">
      <c r="A47" s="27" t="s">
        <v>902</v>
      </c>
      <c r="B47" s="492">
        <v>159</v>
      </c>
      <c r="C47" s="492"/>
      <c r="D47" s="492"/>
      <c r="E47" s="492"/>
      <c r="F47" s="492"/>
      <c r="G47" s="492"/>
      <c r="H47" s="492"/>
      <c r="I47" s="492"/>
      <c r="J47" s="492"/>
      <c r="K47" s="492">
        <f t="shared" si="8"/>
        <v>159</v>
      </c>
      <c r="L47" s="493">
        <v>6852405</v>
      </c>
      <c r="M47" s="492">
        <f t="shared" si="9"/>
        <v>159</v>
      </c>
      <c r="N47" s="492"/>
      <c r="O47" s="492"/>
      <c r="P47" s="492"/>
      <c r="Q47" s="492"/>
      <c r="R47" s="492"/>
      <c r="S47" s="492"/>
      <c r="T47" s="492"/>
      <c r="U47" s="492"/>
      <c r="V47" s="492"/>
      <c r="W47" s="493">
        <f t="shared" si="10"/>
        <v>6852405</v>
      </c>
    </row>
    <row r="48" spans="1:23" x14ac:dyDescent="0.2">
      <c r="A48" s="27"/>
      <c r="B48" s="492"/>
      <c r="C48" s="492"/>
      <c r="D48" s="492"/>
      <c r="E48" s="492"/>
      <c r="F48" s="492"/>
      <c r="G48" s="492"/>
      <c r="H48" s="492"/>
      <c r="I48" s="492"/>
      <c r="J48" s="492"/>
      <c r="K48" s="492"/>
      <c r="L48" s="493"/>
      <c r="M48" s="492"/>
      <c r="N48" s="492"/>
      <c r="O48" s="492"/>
      <c r="P48" s="492"/>
      <c r="Q48" s="492"/>
      <c r="R48" s="492"/>
      <c r="S48" s="492"/>
      <c r="T48" s="492"/>
      <c r="U48" s="492"/>
      <c r="V48" s="492"/>
      <c r="W48" s="493"/>
    </row>
    <row r="49" spans="1:23" x14ac:dyDescent="0.2">
      <c r="A49" s="28" t="s">
        <v>906</v>
      </c>
      <c r="B49" s="489"/>
      <c r="C49" s="489"/>
      <c r="D49" s="489"/>
      <c r="E49" s="489"/>
      <c r="F49" s="489"/>
      <c r="G49" s="489"/>
      <c r="H49" s="489"/>
      <c r="I49" s="489"/>
      <c r="J49" s="489"/>
      <c r="K49" s="489"/>
      <c r="L49" s="491"/>
      <c r="M49" s="489"/>
      <c r="N49" s="489"/>
      <c r="O49" s="489"/>
      <c r="P49" s="489"/>
      <c r="Q49" s="489"/>
      <c r="R49" s="489"/>
      <c r="S49" s="489"/>
      <c r="T49" s="489"/>
      <c r="U49" s="489"/>
      <c r="V49" s="489"/>
      <c r="W49" s="491"/>
    </row>
    <row r="50" spans="1:23" x14ac:dyDescent="0.2">
      <c r="A50" s="28" t="s">
        <v>907</v>
      </c>
      <c r="B50" s="489">
        <f>SUM(B51:B80)</f>
        <v>378</v>
      </c>
      <c r="C50" s="489"/>
      <c r="D50" s="489"/>
      <c r="E50" s="489"/>
      <c r="F50" s="489"/>
      <c r="G50" s="489"/>
      <c r="H50" s="489"/>
      <c r="I50" s="489"/>
      <c r="J50" s="489"/>
      <c r="K50" s="489">
        <f>+B50</f>
        <v>378</v>
      </c>
      <c r="L50" s="491">
        <f>SUM(L51:L80)</f>
        <v>31110767.039999999</v>
      </c>
      <c r="M50" s="489">
        <f>+K50</f>
        <v>378</v>
      </c>
      <c r="N50" s="489"/>
      <c r="O50" s="489"/>
      <c r="P50" s="489"/>
      <c r="Q50" s="489"/>
      <c r="R50" s="489"/>
      <c r="S50" s="489"/>
      <c r="T50" s="489"/>
      <c r="U50" s="489"/>
      <c r="V50" s="489"/>
      <c r="W50" s="491">
        <f>SUM(W51:W80)</f>
        <v>31110767.039999999</v>
      </c>
    </row>
    <row r="51" spans="1:23" x14ac:dyDescent="0.2">
      <c r="A51" s="27" t="s">
        <v>908</v>
      </c>
      <c r="B51" s="492">
        <v>13</v>
      </c>
      <c r="C51" s="492"/>
      <c r="D51" s="492"/>
      <c r="E51" s="492"/>
      <c r="F51" s="492"/>
      <c r="G51" s="492"/>
      <c r="H51" s="492"/>
      <c r="I51" s="492"/>
      <c r="J51" s="492"/>
      <c r="K51" s="492">
        <f t="shared" ref="K51:K80" si="11">SUM(B51:J51)</f>
        <v>13</v>
      </c>
      <c r="L51" s="493">
        <v>1613182.72</v>
      </c>
      <c r="M51" s="492">
        <f t="shared" ref="M51:M80" si="12">+K51</f>
        <v>13</v>
      </c>
      <c r="N51" s="492"/>
      <c r="O51" s="492"/>
      <c r="P51" s="492"/>
      <c r="Q51" s="492"/>
      <c r="R51" s="492"/>
      <c r="S51" s="492"/>
      <c r="T51" s="492"/>
      <c r="U51" s="492"/>
      <c r="V51" s="492"/>
      <c r="W51" s="493">
        <f t="shared" ref="W51:W80" si="13">+L51</f>
        <v>1613182.72</v>
      </c>
    </row>
    <row r="52" spans="1:23" x14ac:dyDescent="0.2">
      <c r="A52" s="27" t="s">
        <v>909</v>
      </c>
      <c r="B52" s="492">
        <v>4</v>
      </c>
      <c r="C52" s="492"/>
      <c r="D52" s="492"/>
      <c r="E52" s="492"/>
      <c r="F52" s="492"/>
      <c r="G52" s="492"/>
      <c r="H52" s="492"/>
      <c r="I52" s="492"/>
      <c r="J52" s="492"/>
      <c r="K52" s="492">
        <f t="shared" si="11"/>
        <v>4</v>
      </c>
      <c r="L52" s="493">
        <v>517915.84</v>
      </c>
      <c r="M52" s="492">
        <f t="shared" si="12"/>
        <v>4</v>
      </c>
      <c r="N52" s="492"/>
      <c r="O52" s="492"/>
      <c r="P52" s="492"/>
      <c r="Q52" s="492"/>
      <c r="R52" s="492"/>
      <c r="S52" s="492"/>
      <c r="T52" s="492"/>
      <c r="U52" s="492"/>
      <c r="V52" s="492"/>
      <c r="W52" s="493">
        <f t="shared" si="13"/>
        <v>517915.84</v>
      </c>
    </row>
    <row r="53" spans="1:23" x14ac:dyDescent="0.2">
      <c r="A53" s="27" t="s">
        <v>910</v>
      </c>
      <c r="B53" s="492">
        <v>18</v>
      </c>
      <c r="C53" s="492"/>
      <c r="D53" s="492"/>
      <c r="E53" s="492"/>
      <c r="F53" s="492"/>
      <c r="G53" s="492"/>
      <c r="H53" s="492"/>
      <c r="I53" s="492"/>
      <c r="J53" s="492"/>
      <c r="K53" s="492">
        <f t="shared" si="11"/>
        <v>18</v>
      </c>
      <c r="L53" s="493">
        <v>2197501.3199999998</v>
      </c>
      <c r="M53" s="492">
        <f t="shared" si="12"/>
        <v>18</v>
      </c>
      <c r="N53" s="492"/>
      <c r="O53" s="492"/>
      <c r="P53" s="492"/>
      <c r="Q53" s="492"/>
      <c r="R53" s="492"/>
      <c r="S53" s="492"/>
      <c r="T53" s="492"/>
      <c r="U53" s="492"/>
      <c r="V53" s="492"/>
      <c r="W53" s="493">
        <f t="shared" si="13"/>
        <v>2197501.3199999998</v>
      </c>
    </row>
    <row r="54" spans="1:23" x14ac:dyDescent="0.2">
      <c r="A54" s="27" t="s">
        <v>911</v>
      </c>
      <c r="B54" s="492">
        <v>17</v>
      </c>
      <c r="C54" s="492"/>
      <c r="D54" s="492"/>
      <c r="E54" s="492"/>
      <c r="F54" s="492"/>
      <c r="G54" s="492"/>
      <c r="H54" s="492"/>
      <c r="I54" s="492"/>
      <c r="J54" s="492"/>
      <c r="K54" s="492">
        <f t="shared" si="11"/>
        <v>17</v>
      </c>
      <c r="L54" s="493">
        <v>2001726.2</v>
      </c>
      <c r="M54" s="492">
        <f t="shared" si="12"/>
        <v>17</v>
      </c>
      <c r="N54" s="492"/>
      <c r="O54" s="492"/>
      <c r="P54" s="492"/>
      <c r="Q54" s="492"/>
      <c r="R54" s="492"/>
      <c r="S54" s="492"/>
      <c r="T54" s="492"/>
      <c r="U54" s="492"/>
      <c r="V54" s="492"/>
      <c r="W54" s="493">
        <f t="shared" si="13"/>
        <v>2001726.2</v>
      </c>
    </row>
    <row r="55" spans="1:23" x14ac:dyDescent="0.2">
      <c r="A55" s="27" t="s">
        <v>912</v>
      </c>
      <c r="B55" s="492">
        <v>30</v>
      </c>
      <c r="C55" s="492"/>
      <c r="D55" s="492"/>
      <c r="E55" s="492"/>
      <c r="F55" s="492"/>
      <c r="G55" s="492"/>
      <c r="H55" s="492"/>
      <c r="I55" s="492"/>
      <c r="J55" s="492"/>
      <c r="K55" s="492">
        <f t="shared" si="11"/>
        <v>30</v>
      </c>
      <c r="L55" s="493">
        <v>3175575.12</v>
      </c>
      <c r="M55" s="492">
        <f t="shared" si="12"/>
        <v>30</v>
      </c>
      <c r="N55" s="492"/>
      <c r="O55" s="492"/>
      <c r="P55" s="492"/>
      <c r="Q55" s="492"/>
      <c r="R55" s="492"/>
      <c r="S55" s="492"/>
      <c r="T55" s="492"/>
      <c r="U55" s="492"/>
      <c r="V55" s="492"/>
      <c r="W55" s="493">
        <f t="shared" si="13"/>
        <v>3175575.12</v>
      </c>
    </row>
    <row r="56" spans="1:23" x14ac:dyDescent="0.2">
      <c r="A56" s="27" t="s">
        <v>913</v>
      </c>
      <c r="B56" s="492">
        <v>3</v>
      </c>
      <c r="C56" s="492"/>
      <c r="D56" s="492"/>
      <c r="E56" s="492"/>
      <c r="F56" s="492"/>
      <c r="G56" s="492"/>
      <c r="H56" s="492"/>
      <c r="I56" s="492"/>
      <c r="J56" s="492"/>
      <c r="K56" s="492">
        <f t="shared" si="11"/>
        <v>3</v>
      </c>
      <c r="L56" s="493">
        <v>233040.6</v>
      </c>
      <c r="M56" s="492">
        <f t="shared" si="12"/>
        <v>3</v>
      </c>
      <c r="N56" s="492"/>
      <c r="O56" s="492"/>
      <c r="P56" s="492"/>
      <c r="Q56" s="492"/>
      <c r="R56" s="492"/>
      <c r="S56" s="492"/>
      <c r="T56" s="492"/>
      <c r="U56" s="492"/>
      <c r="V56" s="492"/>
      <c r="W56" s="493">
        <f t="shared" si="13"/>
        <v>233040.6</v>
      </c>
    </row>
    <row r="57" spans="1:23" x14ac:dyDescent="0.2">
      <c r="A57" s="27" t="s">
        <v>914</v>
      </c>
      <c r="B57" s="492">
        <v>2</v>
      </c>
      <c r="C57" s="492"/>
      <c r="D57" s="492"/>
      <c r="E57" s="492"/>
      <c r="F57" s="492"/>
      <c r="G57" s="492"/>
      <c r="H57" s="492"/>
      <c r="I57" s="492"/>
      <c r="J57" s="492"/>
      <c r="K57" s="492">
        <f t="shared" si="11"/>
        <v>2</v>
      </c>
      <c r="L57" s="493">
        <v>157676.6</v>
      </c>
      <c r="M57" s="492">
        <f t="shared" si="12"/>
        <v>2</v>
      </c>
      <c r="N57" s="492"/>
      <c r="O57" s="492"/>
      <c r="P57" s="492"/>
      <c r="Q57" s="492"/>
      <c r="R57" s="492"/>
      <c r="S57" s="492"/>
      <c r="T57" s="492"/>
      <c r="U57" s="492"/>
      <c r="V57" s="492"/>
      <c r="W57" s="493">
        <f t="shared" si="13"/>
        <v>157676.6</v>
      </c>
    </row>
    <row r="58" spans="1:23" x14ac:dyDescent="0.2">
      <c r="A58" s="27" t="s">
        <v>915</v>
      </c>
      <c r="B58" s="492">
        <v>13</v>
      </c>
      <c r="C58" s="492"/>
      <c r="D58" s="492"/>
      <c r="E58" s="492"/>
      <c r="F58" s="492"/>
      <c r="G58" s="492"/>
      <c r="H58" s="492"/>
      <c r="I58" s="492"/>
      <c r="J58" s="492"/>
      <c r="K58" s="492">
        <f t="shared" si="11"/>
        <v>13</v>
      </c>
      <c r="L58" s="493">
        <v>1002607.84</v>
      </c>
      <c r="M58" s="492">
        <f t="shared" si="12"/>
        <v>13</v>
      </c>
      <c r="N58" s="492"/>
      <c r="O58" s="492"/>
      <c r="P58" s="492"/>
      <c r="Q58" s="492"/>
      <c r="R58" s="492"/>
      <c r="S58" s="492"/>
      <c r="T58" s="492"/>
      <c r="U58" s="492"/>
      <c r="V58" s="492"/>
      <c r="W58" s="493">
        <f t="shared" si="13"/>
        <v>1002607.84</v>
      </c>
    </row>
    <row r="59" spans="1:23" x14ac:dyDescent="0.2">
      <c r="A59" s="27" t="s">
        <v>916</v>
      </c>
      <c r="B59" s="492">
        <v>22</v>
      </c>
      <c r="C59" s="492"/>
      <c r="D59" s="492"/>
      <c r="E59" s="492"/>
      <c r="F59" s="492"/>
      <c r="G59" s="492"/>
      <c r="H59" s="492"/>
      <c r="I59" s="492"/>
      <c r="J59" s="492"/>
      <c r="K59" s="492">
        <f t="shared" si="11"/>
        <v>22</v>
      </c>
      <c r="L59" s="493">
        <v>1819130.68</v>
      </c>
      <c r="M59" s="492">
        <f t="shared" si="12"/>
        <v>22</v>
      </c>
      <c r="N59" s="492"/>
      <c r="O59" s="492"/>
      <c r="P59" s="492"/>
      <c r="Q59" s="492"/>
      <c r="R59" s="492"/>
      <c r="S59" s="492"/>
      <c r="T59" s="492"/>
      <c r="U59" s="492"/>
      <c r="V59" s="492"/>
      <c r="W59" s="493">
        <f t="shared" si="13"/>
        <v>1819130.68</v>
      </c>
    </row>
    <row r="60" spans="1:23" x14ac:dyDescent="0.2">
      <c r="A60" s="27" t="s">
        <v>917</v>
      </c>
      <c r="B60" s="492">
        <v>8</v>
      </c>
      <c r="C60" s="492"/>
      <c r="D60" s="492"/>
      <c r="E60" s="492"/>
      <c r="F60" s="492"/>
      <c r="G60" s="492"/>
      <c r="H60" s="492"/>
      <c r="I60" s="492"/>
      <c r="J60" s="492"/>
      <c r="K60" s="492">
        <f t="shared" si="11"/>
        <v>8</v>
      </c>
      <c r="L60" s="493">
        <v>629692.64</v>
      </c>
      <c r="M60" s="492">
        <f t="shared" si="12"/>
        <v>8</v>
      </c>
      <c r="N60" s="492"/>
      <c r="O60" s="492"/>
      <c r="P60" s="492"/>
      <c r="Q60" s="492"/>
      <c r="R60" s="492"/>
      <c r="S60" s="492"/>
      <c r="T60" s="492"/>
      <c r="U60" s="492"/>
      <c r="V60" s="492"/>
      <c r="W60" s="493">
        <f t="shared" si="13"/>
        <v>629692.64</v>
      </c>
    </row>
    <row r="61" spans="1:23" x14ac:dyDescent="0.2">
      <c r="A61" s="27" t="s">
        <v>918</v>
      </c>
      <c r="B61" s="492">
        <v>20</v>
      </c>
      <c r="C61" s="492"/>
      <c r="D61" s="492"/>
      <c r="E61" s="492"/>
      <c r="F61" s="492"/>
      <c r="G61" s="492"/>
      <c r="H61" s="492"/>
      <c r="I61" s="492"/>
      <c r="J61" s="492"/>
      <c r="K61" s="492">
        <f t="shared" si="11"/>
        <v>20</v>
      </c>
      <c r="L61" s="493">
        <v>1581879.2</v>
      </c>
      <c r="M61" s="492">
        <f t="shared" si="12"/>
        <v>20</v>
      </c>
      <c r="N61" s="492"/>
      <c r="O61" s="492"/>
      <c r="P61" s="492"/>
      <c r="Q61" s="492"/>
      <c r="R61" s="492"/>
      <c r="S61" s="492"/>
      <c r="T61" s="492"/>
      <c r="U61" s="492"/>
      <c r="V61" s="492"/>
      <c r="W61" s="493">
        <f t="shared" si="13"/>
        <v>1581879.2</v>
      </c>
    </row>
    <row r="62" spans="1:23" x14ac:dyDescent="0.2">
      <c r="A62" s="27" t="s">
        <v>919</v>
      </c>
      <c r="B62" s="492">
        <v>9</v>
      </c>
      <c r="C62" s="492"/>
      <c r="D62" s="492"/>
      <c r="E62" s="492"/>
      <c r="F62" s="492"/>
      <c r="G62" s="492"/>
      <c r="H62" s="492"/>
      <c r="I62" s="492"/>
      <c r="J62" s="492"/>
      <c r="K62" s="492">
        <f t="shared" si="11"/>
        <v>9</v>
      </c>
      <c r="L62" s="493">
        <v>707804.88</v>
      </c>
      <c r="M62" s="492">
        <f t="shared" si="12"/>
        <v>9</v>
      </c>
      <c r="N62" s="492"/>
      <c r="O62" s="492"/>
      <c r="P62" s="492"/>
      <c r="Q62" s="492"/>
      <c r="R62" s="492"/>
      <c r="S62" s="492"/>
      <c r="T62" s="492"/>
      <c r="U62" s="492"/>
      <c r="V62" s="492"/>
      <c r="W62" s="493">
        <f t="shared" si="13"/>
        <v>707804.88</v>
      </c>
    </row>
    <row r="63" spans="1:23" x14ac:dyDescent="0.2">
      <c r="A63" s="27" t="s">
        <v>920</v>
      </c>
      <c r="B63" s="492">
        <v>77</v>
      </c>
      <c r="C63" s="492"/>
      <c r="D63" s="492"/>
      <c r="E63" s="492"/>
      <c r="F63" s="492"/>
      <c r="G63" s="492"/>
      <c r="H63" s="492"/>
      <c r="I63" s="492"/>
      <c r="J63" s="492"/>
      <c r="K63" s="492">
        <f t="shared" si="11"/>
        <v>77</v>
      </c>
      <c r="L63" s="493">
        <v>5114935.5199999996</v>
      </c>
      <c r="M63" s="492">
        <f t="shared" si="12"/>
        <v>77</v>
      </c>
      <c r="N63" s="492"/>
      <c r="O63" s="492"/>
      <c r="P63" s="492"/>
      <c r="Q63" s="492"/>
      <c r="R63" s="492"/>
      <c r="S63" s="492"/>
      <c r="T63" s="492"/>
      <c r="U63" s="492"/>
      <c r="V63" s="492"/>
      <c r="W63" s="493">
        <f t="shared" si="13"/>
        <v>5114935.5199999996</v>
      </c>
    </row>
    <row r="64" spans="1:23" s="84" customFormat="1" x14ac:dyDescent="0.2">
      <c r="A64" s="27" t="s">
        <v>921</v>
      </c>
      <c r="B64" s="492">
        <v>8</v>
      </c>
      <c r="C64" s="492"/>
      <c r="D64" s="492"/>
      <c r="E64" s="492"/>
      <c r="F64" s="492"/>
      <c r="G64" s="492"/>
      <c r="H64" s="492"/>
      <c r="I64" s="492"/>
      <c r="J64" s="492"/>
      <c r="K64" s="492">
        <f t="shared" si="11"/>
        <v>8</v>
      </c>
      <c r="L64" s="493">
        <v>651351.31999999995</v>
      </c>
      <c r="M64" s="492">
        <f t="shared" si="12"/>
        <v>8</v>
      </c>
      <c r="N64" s="492"/>
      <c r="O64" s="492"/>
      <c r="P64" s="492"/>
      <c r="Q64" s="492"/>
      <c r="R64" s="492"/>
      <c r="S64" s="492"/>
      <c r="T64" s="492"/>
      <c r="U64" s="492"/>
      <c r="V64" s="492"/>
      <c r="W64" s="493">
        <f t="shared" si="13"/>
        <v>651351.31999999995</v>
      </c>
    </row>
    <row r="65" spans="1:23" s="84" customFormat="1" x14ac:dyDescent="0.2">
      <c r="A65" s="27" t="s">
        <v>922</v>
      </c>
      <c r="B65" s="492">
        <v>5</v>
      </c>
      <c r="C65" s="492"/>
      <c r="D65" s="492"/>
      <c r="E65" s="492"/>
      <c r="F65" s="492"/>
      <c r="G65" s="492"/>
      <c r="H65" s="492"/>
      <c r="I65" s="492"/>
      <c r="J65" s="492"/>
      <c r="K65" s="492">
        <f t="shared" si="11"/>
        <v>5</v>
      </c>
      <c r="L65" s="493">
        <v>430335.2</v>
      </c>
      <c r="M65" s="492">
        <f t="shared" si="12"/>
        <v>5</v>
      </c>
      <c r="N65" s="492"/>
      <c r="O65" s="492"/>
      <c r="P65" s="492"/>
      <c r="Q65" s="492"/>
      <c r="R65" s="492"/>
      <c r="S65" s="492"/>
      <c r="T65" s="492"/>
      <c r="U65" s="492"/>
      <c r="V65" s="492"/>
      <c r="W65" s="493">
        <f t="shared" si="13"/>
        <v>430335.2</v>
      </c>
    </row>
    <row r="66" spans="1:23" s="84" customFormat="1" x14ac:dyDescent="0.2">
      <c r="A66" s="27" t="s">
        <v>923</v>
      </c>
      <c r="B66" s="492">
        <v>6</v>
      </c>
      <c r="C66" s="492"/>
      <c r="D66" s="492"/>
      <c r="E66" s="492"/>
      <c r="F66" s="492"/>
      <c r="G66" s="492"/>
      <c r="H66" s="492"/>
      <c r="I66" s="492"/>
      <c r="J66" s="492"/>
      <c r="K66" s="492">
        <f t="shared" si="11"/>
        <v>6</v>
      </c>
      <c r="L66" s="493">
        <v>455123.04</v>
      </c>
      <c r="M66" s="492">
        <f t="shared" si="12"/>
        <v>6</v>
      </c>
      <c r="N66" s="492"/>
      <c r="O66" s="492"/>
      <c r="P66" s="492"/>
      <c r="Q66" s="492"/>
      <c r="R66" s="492"/>
      <c r="S66" s="492"/>
      <c r="T66" s="492"/>
      <c r="U66" s="492"/>
      <c r="V66" s="492"/>
      <c r="W66" s="493">
        <f t="shared" si="13"/>
        <v>455123.04</v>
      </c>
    </row>
    <row r="67" spans="1:23" s="84" customFormat="1" x14ac:dyDescent="0.2">
      <c r="A67" s="27" t="s">
        <v>924</v>
      </c>
      <c r="B67" s="492">
        <v>9</v>
      </c>
      <c r="C67" s="492"/>
      <c r="D67" s="492"/>
      <c r="E67" s="492"/>
      <c r="F67" s="492"/>
      <c r="G67" s="492"/>
      <c r="H67" s="492"/>
      <c r="I67" s="492"/>
      <c r="J67" s="492"/>
      <c r="K67" s="492">
        <f t="shared" si="11"/>
        <v>9</v>
      </c>
      <c r="L67" s="493">
        <v>767896.68</v>
      </c>
      <c r="M67" s="492">
        <f t="shared" si="12"/>
        <v>9</v>
      </c>
      <c r="N67" s="492"/>
      <c r="O67" s="492"/>
      <c r="P67" s="492"/>
      <c r="Q67" s="492"/>
      <c r="R67" s="492"/>
      <c r="S67" s="492"/>
      <c r="T67" s="492"/>
      <c r="U67" s="492"/>
      <c r="V67" s="492"/>
      <c r="W67" s="493">
        <f t="shared" si="13"/>
        <v>767896.68</v>
      </c>
    </row>
    <row r="68" spans="1:23" s="84" customFormat="1" x14ac:dyDescent="0.2">
      <c r="A68" s="27" t="s">
        <v>925</v>
      </c>
      <c r="B68" s="492">
        <v>60</v>
      </c>
      <c r="C68" s="492"/>
      <c r="D68" s="492"/>
      <c r="E68" s="492"/>
      <c r="F68" s="492"/>
      <c r="G68" s="492"/>
      <c r="H68" s="492"/>
      <c r="I68" s="492"/>
      <c r="J68" s="492"/>
      <c r="K68" s="492">
        <f t="shared" si="11"/>
        <v>60</v>
      </c>
      <c r="L68" s="493">
        <v>4270830.84</v>
      </c>
      <c r="M68" s="492">
        <f t="shared" si="12"/>
        <v>60</v>
      </c>
      <c r="N68" s="492"/>
      <c r="O68" s="492"/>
      <c r="P68" s="492"/>
      <c r="Q68" s="492"/>
      <c r="R68" s="492"/>
      <c r="S68" s="492"/>
      <c r="T68" s="492"/>
      <c r="U68" s="492"/>
      <c r="V68" s="492"/>
      <c r="W68" s="493">
        <f t="shared" si="13"/>
        <v>4270830.84</v>
      </c>
    </row>
    <row r="69" spans="1:23" s="84" customFormat="1" x14ac:dyDescent="0.2">
      <c r="A69" s="27" t="s">
        <v>926</v>
      </c>
      <c r="B69" s="492">
        <v>1</v>
      </c>
      <c r="C69" s="492"/>
      <c r="D69" s="492"/>
      <c r="E69" s="492"/>
      <c r="F69" s="492"/>
      <c r="G69" s="492"/>
      <c r="H69" s="492"/>
      <c r="I69" s="492"/>
      <c r="J69" s="492"/>
      <c r="K69" s="492">
        <f t="shared" si="11"/>
        <v>1</v>
      </c>
      <c r="L69" s="493">
        <v>60353.8</v>
      </c>
      <c r="M69" s="492">
        <f t="shared" si="12"/>
        <v>1</v>
      </c>
      <c r="N69" s="492"/>
      <c r="O69" s="492"/>
      <c r="P69" s="492"/>
      <c r="Q69" s="492"/>
      <c r="R69" s="492"/>
      <c r="S69" s="492"/>
      <c r="T69" s="492"/>
      <c r="U69" s="492"/>
      <c r="V69" s="492"/>
      <c r="W69" s="493">
        <f t="shared" si="13"/>
        <v>60353.8</v>
      </c>
    </row>
    <row r="70" spans="1:23" s="84" customFormat="1" x14ac:dyDescent="0.2">
      <c r="A70" s="27" t="s">
        <v>927</v>
      </c>
      <c r="B70" s="492">
        <v>1</v>
      </c>
      <c r="C70" s="492"/>
      <c r="D70" s="492"/>
      <c r="E70" s="492"/>
      <c r="F70" s="492"/>
      <c r="G70" s="492"/>
      <c r="H70" s="492"/>
      <c r="I70" s="492"/>
      <c r="J70" s="492"/>
      <c r="K70" s="492">
        <f t="shared" si="11"/>
        <v>1</v>
      </c>
      <c r="L70" s="493">
        <v>57305.32</v>
      </c>
      <c r="M70" s="492">
        <f t="shared" si="12"/>
        <v>1</v>
      </c>
      <c r="N70" s="492"/>
      <c r="O70" s="492"/>
      <c r="P70" s="492"/>
      <c r="Q70" s="492"/>
      <c r="R70" s="492"/>
      <c r="S70" s="492"/>
      <c r="T70" s="492"/>
      <c r="U70" s="492"/>
      <c r="V70" s="492"/>
      <c r="W70" s="493">
        <f t="shared" si="13"/>
        <v>57305.32</v>
      </c>
    </row>
    <row r="71" spans="1:23" s="84" customFormat="1" x14ac:dyDescent="0.2">
      <c r="A71" s="27" t="s">
        <v>928</v>
      </c>
      <c r="B71" s="492">
        <v>1</v>
      </c>
      <c r="C71" s="492"/>
      <c r="D71" s="492"/>
      <c r="E71" s="492"/>
      <c r="F71" s="492"/>
      <c r="G71" s="492"/>
      <c r="H71" s="492"/>
      <c r="I71" s="492"/>
      <c r="J71" s="492"/>
      <c r="K71" s="492">
        <f t="shared" si="11"/>
        <v>1</v>
      </c>
      <c r="L71" s="493">
        <v>53291.44</v>
      </c>
      <c r="M71" s="492">
        <f t="shared" si="12"/>
        <v>1</v>
      </c>
      <c r="N71" s="492"/>
      <c r="O71" s="492"/>
      <c r="P71" s="492"/>
      <c r="Q71" s="492"/>
      <c r="R71" s="492"/>
      <c r="S71" s="492"/>
      <c r="T71" s="492"/>
      <c r="U71" s="492"/>
      <c r="V71" s="492"/>
      <c r="W71" s="493">
        <f t="shared" si="13"/>
        <v>53291.44</v>
      </c>
    </row>
    <row r="72" spans="1:23" s="84" customFormat="1" x14ac:dyDescent="0.2">
      <c r="A72" s="27" t="s">
        <v>929</v>
      </c>
      <c r="B72" s="492">
        <v>1</v>
      </c>
      <c r="C72" s="492"/>
      <c r="D72" s="492"/>
      <c r="E72" s="492"/>
      <c r="F72" s="492"/>
      <c r="G72" s="492"/>
      <c r="H72" s="492"/>
      <c r="I72" s="492"/>
      <c r="J72" s="492"/>
      <c r="K72" s="492">
        <f t="shared" si="11"/>
        <v>1</v>
      </c>
      <c r="L72" s="493">
        <v>76843.600000000006</v>
      </c>
      <c r="M72" s="492">
        <f t="shared" si="12"/>
        <v>1</v>
      </c>
      <c r="N72" s="492"/>
      <c r="O72" s="492"/>
      <c r="P72" s="492"/>
      <c r="Q72" s="492"/>
      <c r="R72" s="492"/>
      <c r="S72" s="492"/>
      <c r="T72" s="492"/>
      <c r="U72" s="492"/>
      <c r="V72" s="492"/>
      <c r="W72" s="493">
        <f t="shared" si="13"/>
        <v>76843.600000000006</v>
      </c>
    </row>
    <row r="73" spans="1:23" s="84" customFormat="1" x14ac:dyDescent="0.2">
      <c r="A73" s="27" t="s">
        <v>929</v>
      </c>
      <c r="B73" s="492">
        <v>3</v>
      </c>
      <c r="C73" s="492"/>
      <c r="D73" s="492"/>
      <c r="E73" s="492"/>
      <c r="F73" s="492"/>
      <c r="G73" s="492"/>
      <c r="H73" s="492"/>
      <c r="I73" s="492"/>
      <c r="J73" s="492"/>
      <c r="K73" s="492">
        <f t="shared" si="11"/>
        <v>3</v>
      </c>
      <c r="L73" s="493">
        <v>206748</v>
      </c>
      <c r="M73" s="492">
        <f t="shared" si="12"/>
        <v>3</v>
      </c>
      <c r="N73" s="492"/>
      <c r="O73" s="492"/>
      <c r="P73" s="492"/>
      <c r="Q73" s="492"/>
      <c r="R73" s="492"/>
      <c r="S73" s="492"/>
      <c r="T73" s="492"/>
      <c r="U73" s="492"/>
      <c r="V73" s="492"/>
      <c r="W73" s="493">
        <f t="shared" si="13"/>
        <v>206748</v>
      </c>
    </row>
    <row r="74" spans="1:23" s="84" customFormat="1" x14ac:dyDescent="0.2">
      <c r="A74" s="27" t="s">
        <v>930</v>
      </c>
      <c r="B74" s="492">
        <v>2</v>
      </c>
      <c r="C74" s="492"/>
      <c r="D74" s="492"/>
      <c r="E74" s="492"/>
      <c r="F74" s="492"/>
      <c r="G74" s="492"/>
      <c r="H74" s="492"/>
      <c r="I74" s="492"/>
      <c r="J74" s="492"/>
      <c r="K74" s="492">
        <f t="shared" si="11"/>
        <v>2</v>
      </c>
      <c r="L74" s="493">
        <v>140779.88</v>
      </c>
      <c r="M74" s="492">
        <f t="shared" si="12"/>
        <v>2</v>
      </c>
      <c r="N74" s="492"/>
      <c r="O74" s="492"/>
      <c r="P74" s="492"/>
      <c r="Q74" s="492"/>
      <c r="R74" s="492"/>
      <c r="S74" s="492"/>
      <c r="T74" s="492"/>
      <c r="U74" s="492"/>
      <c r="V74" s="492"/>
      <c r="W74" s="493">
        <f t="shared" si="13"/>
        <v>140779.88</v>
      </c>
    </row>
    <row r="75" spans="1:23" s="84" customFormat="1" x14ac:dyDescent="0.2">
      <c r="A75" s="27" t="s">
        <v>931</v>
      </c>
      <c r="B75" s="492">
        <v>3</v>
      </c>
      <c r="C75" s="492"/>
      <c r="D75" s="492"/>
      <c r="E75" s="492"/>
      <c r="F75" s="492"/>
      <c r="G75" s="492"/>
      <c r="H75" s="492"/>
      <c r="I75" s="492"/>
      <c r="J75" s="492"/>
      <c r="K75" s="492">
        <f t="shared" si="11"/>
        <v>3</v>
      </c>
      <c r="L75" s="493">
        <v>240160.32</v>
      </c>
      <c r="M75" s="492">
        <f t="shared" si="12"/>
        <v>3</v>
      </c>
      <c r="N75" s="492"/>
      <c r="O75" s="492"/>
      <c r="P75" s="492"/>
      <c r="Q75" s="492"/>
      <c r="R75" s="492"/>
      <c r="S75" s="492"/>
      <c r="T75" s="492"/>
      <c r="U75" s="492"/>
      <c r="V75" s="492"/>
      <c r="W75" s="493">
        <f t="shared" si="13"/>
        <v>240160.32</v>
      </c>
    </row>
    <row r="76" spans="1:23" s="84" customFormat="1" x14ac:dyDescent="0.2">
      <c r="A76" s="27" t="s">
        <v>932</v>
      </c>
      <c r="B76" s="492">
        <v>4</v>
      </c>
      <c r="C76" s="492"/>
      <c r="D76" s="492"/>
      <c r="E76" s="492"/>
      <c r="F76" s="492"/>
      <c r="G76" s="492"/>
      <c r="H76" s="492"/>
      <c r="I76" s="492"/>
      <c r="J76" s="492"/>
      <c r="K76" s="492">
        <f t="shared" si="11"/>
        <v>4</v>
      </c>
      <c r="L76" s="493">
        <v>286294.12</v>
      </c>
      <c r="M76" s="492">
        <f t="shared" si="12"/>
        <v>4</v>
      </c>
      <c r="N76" s="492"/>
      <c r="O76" s="492"/>
      <c r="P76" s="492"/>
      <c r="Q76" s="492"/>
      <c r="R76" s="492"/>
      <c r="S76" s="492"/>
      <c r="T76" s="492"/>
      <c r="U76" s="492"/>
      <c r="V76" s="492"/>
      <c r="W76" s="493">
        <f t="shared" si="13"/>
        <v>286294.12</v>
      </c>
    </row>
    <row r="77" spans="1:23" s="84" customFormat="1" x14ac:dyDescent="0.2">
      <c r="A77" s="27" t="s">
        <v>933</v>
      </c>
      <c r="B77" s="492">
        <v>3</v>
      </c>
      <c r="C77" s="492"/>
      <c r="D77" s="492"/>
      <c r="E77" s="492"/>
      <c r="F77" s="492"/>
      <c r="G77" s="492"/>
      <c r="H77" s="492"/>
      <c r="I77" s="492"/>
      <c r="J77" s="492"/>
      <c r="K77" s="492">
        <f t="shared" si="11"/>
        <v>3</v>
      </c>
      <c r="L77" s="493">
        <v>240393</v>
      </c>
      <c r="M77" s="492">
        <f t="shared" si="12"/>
        <v>3</v>
      </c>
      <c r="N77" s="492"/>
      <c r="O77" s="492"/>
      <c r="P77" s="492"/>
      <c r="Q77" s="492"/>
      <c r="R77" s="492"/>
      <c r="S77" s="492"/>
      <c r="T77" s="492"/>
      <c r="U77" s="492"/>
      <c r="V77" s="492"/>
      <c r="W77" s="493">
        <f t="shared" si="13"/>
        <v>240393</v>
      </c>
    </row>
    <row r="78" spans="1:23" s="84" customFormat="1" x14ac:dyDescent="0.2">
      <c r="A78" s="27" t="s">
        <v>934</v>
      </c>
      <c r="B78" s="492">
        <v>3</v>
      </c>
      <c r="C78" s="492"/>
      <c r="D78" s="492"/>
      <c r="E78" s="492"/>
      <c r="F78" s="492"/>
      <c r="G78" s="492"/>
      <c r="H78" s="492"/>
      <c r="I78" s="492"/>
      <c r="J78" s="492"/>
      <c r="K78" s="492">
        <f t="shared" si="11"/>
        <v>3</v>
      </c>
      <c r="L78" s="493">
        <v>255483.96</v>
      </c>
      <c r="M78" s="492">
        <f t="shared" si="12"/>
        <v>3</v>
      </c>
      <c r="N78" s="492"/>
      <c r="O78" s="492"/>
      <c r="P78" s="492"/>
      <c r="Q78" s="492"/>
      <c r="R78" s="492"/>
      <c r="S78" s="492"/>
      <c r="T78" s="492"/>
      <c r="U78" s="492"/>
      <c r="V78" s="492"/>
      <c r="W78" s="493">
        <f t="shared" si="13"/>
        <v>255483.96</v>
      </c>
    </row>
    <row r="79" spans="1:23" s="84" customFormat="1" x14ac:dyDescent="0.2">
      <c r="A79" s="27" t="s">
        <v>935</v>
      </c>
      <c r="B79" s="492">
        <v>31</v>
      </c>
      <c r="C79" s="492"/>
      <c r="D79" s="492"/>
      <c r="E79" s="492"/>
      <c r="F79" s="492"/>
      <c r="G79" s="492"/>
      <c r="H79" s="492"/>
      <c r="I79" s="492"/>
      <c r="J79" s="492"/>
      <c r="K79" s="492">
        <f t="shared" si="11"/>
        <v>31</v>
      </c>
      <c r="L79" s="493">
        <v>2099856.16</v>
      </c>
      <c r="M79" s="492">
        <f t="shared" si="12"/>
        <v>31</v>
      </c>
      <c r="N79" s="492"/>
      <c r="O79" s="492"/>
      <c r="P79" s="492"/>
      <c r="Q79" s="492"/>
      <c r="R79" s="492"/>
      <c r="S79" s="492"/>
      <c r="T79" s="492"/>
      <c r="U79" s="492"/>
      <c r="V79" s="492"/>
      <c r="W79" s="493">
        <f t="shared" si="13"/>
        <v>2099856.16</v>
      </c>
    </row>
    <row r="80" spans="1:23" x14ac:dyDescent="0.2">
      <c r="A80" s="27" t="s">
        <v>936</v>
      </c>
      <c r="B80" s="492">
        <v>1</v>
      </c>
      <c r="C80" s="492"/>
      <c r="D80" s="492"/>
      <c r="E80" s="492"/>
      <c r="F80" s="492"/>
      <c r="G80" s="492"/>
      <c r="H80" s="492"/>
      <c r="I80" s="492"/>
      <c r="J80" s="492"/>
      <c r="K80" s="492">
        <f t="shared" si="11"/>
        <v>1</v>
      </c>
      <c r="L80" s="493">
        <v>65051.199999999997</v>
      </c>
      <c r="M80" s="492">
        <f t="shared" si="12"/>
        <v>1</v>
      </c>
      <c r="N80" s="492"/>
      <c r="O80" s="492"/>
      <c r="P80" s="492"/>
      <c r="Q80" s="492"/>
      <c r="R80" s="492"/>
      <c r="S80" s="492"/>
      <c r="T80" s="492"/>
      <c r="U80" s="492"/>
      <c r="V80" s="492"/>
      <c r="W80" s="493">
        <f t="shared" si="13"/>
        <v>65051.199999999997</v>
      </c>
    </row>
    <row r="81" spans="1:23" x14ac:dyDescent="0.2">
      <c r="A81" s="27"/>
      <c r="B81" s="492"/>
      <c r="C81" s="492"/>
      <c r="D81" s="492"/>
      <c r="E81" s="492"/>
      <c r="F81" s="492"/>
      <c r="G81" s="492"/>
      <c r="H81" s="492"/>
      <c r="I81" s="492"/>
      <c r="J81" s="492"/>
      <c r="K81" s="492"/>
      <c r="L81" s="493"/>
      <c r="M81" s="492"/>
      <c r="N81" s="492"/>
      <c r="O81" s="492"/>
      <c r="P81" s="492"/>
      <c r="Q81" s="492"/>
      <c r="R81" s="492"/>
      <c r="S81" s="492"/>
      <c r="T81" s="492"/>
      <c r="U81" s="492"/>
      <c r="V81" s="492"/>
      <c r="W81" s="493"/>
    </row>
    <row r="82" spans="1:23" x14ac:dyDescent="0.2">
      <c r="A82" s="28" t="s">
        <v>937</v>
      </c>
      <c r="B82" s="489">
        <f>SUM(B83:B101)</f>
        <v>1221</v>
      </c>
      <c r="C82" s="489"/>
      <c r="D82" s="489"/>
      <c r="E82" s="489"/>
      <c r="F82" s="489"/>
      <c r="G82" s="489"/>
      <c r="H82" s="489"/>
      <c r="I82" s="489"/>
      <c r="J82" s="489"/>
      <c r="K82" s="489">
        <f>SUM(K83:K101)</f>
        <v>1221</v>
      </c>
      <c r="L82" s="491">
        <f>SUM(L83:L101)</f>
        <v>49913859.839999996</v>
      </c>
      <c r="M82" s="489">
        <f>SUM(M83:M101)</f>
        <v>1221</v>
      </c>
      <c r="N82" s="489"/>
      <c r="O82" s="489"/>
      <c r="P82" s="489"/>
      <c r="Q82" s="489"/>
      <c r="R82" s="489"/>
      <c r="S82" s="489"/>
      <c r="T82" s="489"/>
      <c r="U82" s="489"/>
      <c r="V82" s="489"/>
      <c r="W82" s="491">
        <f>SUM(W83:W101)</f>
        <v>49913859.839999996</v>
      </c>
    </row>
    <row r="83" spans="1:23" x14ac:dyDescent="0.2">
      <c r="A83" s="27" t="s">
        <v>938</v>
      </c>
      <c r="B83" s="492">
        <v>5</v>
      </c>
      <c r="C83" s="492"/>
      <c r="D83" s="492"/>
      <c r="E83" s="492"/>
      <c r="F83" s="492"/>
      <c r="G83" s="492"/>
      <c r="H83" s="492"/>
      <c r="I83" s="492"/>
      <c r="J83" s="492"/>
      <c r="K83" s="492">
        <f t="shared" ref="K83:K101" si="14">SUM(B83:J83)</f>
        <v>5</v>
      </c>
      <c r="L83" s="493">
        <v>415900.4</v>
      </c>
      <c r="M83" s="492">
        <f t="shared" ref="M83:M101" si="15">+K83</f>
        <v>5</v>
      </c>
      <c r="N83" s="492"/>
      <c r="O83" s="492"/>
      <c r="P83" s="492"/>
      <c r="Q83" s="492"/>
      <c r="R83" s="492"/>
      <c r="S83" s="492"/>
      <c r="T83" s="492"/>
      <c r="U83" s="492"/>
      <c r="V83" s="492"/>
      <c r="W83" s="493">
        <f t="shared" ref="W83:W101" si="16">+L83</f>
        <v>415900.4</v>
      </c>
    </row>
    <row r="84" spans="1:23" x14ac:dyDescent="0.2">
      <c r="A84" s="27" t="s">
        <v>939</v>
      </c>
      <c r="B84" s="492">
        <v>28</v>
      </c>
      <c r="C84" s="492"/>
      <c r="D84" s="492"/>
      <c r="E84" s="492"/>
      <c r="F84" s="492"/>
      <c r="G84" s="492"/>
      <c r="H84" s="492"/>
      <c r="I84" s="492"/>
      <c r="J84" s="492"/>
      <c r="K84" s="492">
        <f t="shared" si="14"/>
        <v>28</v>
      </c>
      <c r="L84" s="493">
        <v>2125098.2799999998</v>
      </c>
      <c r="M84" s="492">
        <f t="shared" si="15"/>
        <v>28</v>
      </c>
      <c r="N84" s="492"/>
      <c r="O84" s="492"/>
      <c r="P84" s="492"/>
      <c r="Q84" s="492"/>
      <c r="R84" s="492"/>
      <c r="S84" s="492"/>
      <c r="T84" s="492"/>
      <c r="U84" s="492"/>
      <c r="V84" s="492"/>
      <c r="W84" s="493">
        <f t="shared" si="16"/>
        <v>2125098.2799999998</v>
      </c>
    </row>
    <row r="85" spans="1:23" x14ac:dyDescent="0.2">
      <c r="A85" s="27" t="s">
        <v>940</v>
      </c>
      <c r="B85" s="492">
        <v>35</v>
      </c>
      <c r="C85" s="492"/>
      <c r="D85" s="492"/>
      <c r="E85" s="492"/>
      <c r="F85" s="492"/>
      <c r="G85" s="492"/>
      <c r="H85" s="492"/>
      <c r="I85" s="492"/>
      <c r="J85" s="492"/>
      <c r="K85" s="492">
        <f t="shared" si="14"/>
        <v>35</v>
      </c>
      <c r="L85" s="493">
        <v>2135562.2000000002</v>
      </c>
      <c r="M85" s="492">
        <f t="shared" si="15"/>
        <v>35</v>
      </c>
      <c r="N85" s="492"/>
      <c r="O85" s="492"/>
      <c r="P85" s="492"/>
      <c r="Q85" s="492"/>
      <c r="R85" s="492"/>
      <c r="S85" s="492"/>
      <c r="T85" s="492"/>
      <c r="U85" s="492"/>
      <c r="V85" s="492"/>
      <c r="W85" s="493">
        <f t="shared" si="16"/>
        <v>2135562.2000000002</v>
      </c>
    </row>
    <row r="86" spans="1:23" x14ac:dyDescent="0.2">
      <c r="A86" s="27" t="s">
        <v>941</v>
      </c>
      <c r="B86" s="492">
        <v>65</v>
      </c>
      <c r="C86" s="492"/>
      <c r="D86" s="492"/>
      <c r="E86" s="492"/>
      <c r="F86" s="492"/>
      <c r="G86" s="492"/>
      <c r="H86" s="492"/>
      <c r="I86" s="492"/>
      <c r="J86" s="492"/>
      <c r="K86" s="492">
        <f t="shared" si="14"/>
        <v>65</v>
      </c>
      <c r="L86" s="493">
        <v>3658577</v>
      </c>
      <c r="M86" s="492">
        <f t="shared" si="15"/>
        <v>65</v>
      </c>
      <c r="N86" s="492"/>
      <c r="O86" s="492"/>
      <c r="P86" s="492"/>
      <c r="Q86" s="492"/>
      <c r="R86" s="492"/>
      <c r="S86" s="492"/>
      <c r="T86" s="492"/>
      <c r="U86" s="492"/>
      <c r="V86" s="492"/>
      <c r="W86" s="493">
        <f t="shared" si="16"/>
        <v>3658577</v>
      </c>
    </row>
    <row r="87" spans="1:23" x14ac:dyDescent="0.2">
      <c r="A87" s="27" t="s">
        <v>942</v>
      </c>
      <c r="B87" s="492">
        <v>14</v>
      </c>
      <c r="C87" s="492"/>
      <c r="D87" s="492"/>
      <c r="E87" s="492"/>
      <c r="F87" s="492"/>
      <c r="G87" s="492"/>
      <c r="H87" s="492"/>
      <c r="I87" s="492"/>
      <c r="J87" s="492"/>
      <c r="K87" s="492">
        <f t="shared" si="14"/>
        <v>14</v>
      </c>
      <c r="L87" s="493">
        <v>732913.52</v>
      </c>
      <c r="M87" s="492">
        <f t="shared" si="15"/>
        <v>14</v>
      </c>
      <c r="N87" s="492"/>
      <c r="O87" s="492"/>
      <c r="P87" s="492"/>
      <c r="Q87" s="492"/>
      <c r="R87" s="492"/>
      <c r="S87" s="492"/>
      <c r="T87" s="492"/>
      <c r="U87" s="492"/>
      <c r="V87" s="492"/>
      <c r="W87" s="493">
        <f t="shared" si="16"/>
        <v>732913.52</v>
      </c>
    </row>
    <row r="88" spans="1:23" x14ac:dyDescent="0.2">
      <c r="A88" s="27" t="s">
        <v>943</v>
      </c>
      <c r="B88" s="492">
        <v>23</v>
      </c>
      <c r="C88" s="492"/>
      <c r="D88" s="492"/>
      <c r="E88" s="492"/>
      <c r="F88" s="492"/>
      <c r="G88" s="492"/>
      <c r="H88" s="492"/>
      <c r="I88" s="492"/>
      <c r="J88" s="492"/>
      <c r="K88" s="492">
        <f t="shared" si="14"/>
        <v>23</v>
      </c>
      <c r="L88" s="493">
        <v>1104983.1200000001</v>
      </c>
      <c r="M88" s="492">
        <f t="shared" si="15"/>
        <v>23</v>
      </c>
      <c r="N88" s="492"/>
      <c r="O88" s="492"/>
      <c r="P88" s="492"/>
      <c r="Q88" s="492"/>
      <c r="R88" s="492"/>
      <c r="S88" s="492"/>
      <c r="T88" s="492"/>
      <c r="U88" s="492"/>
      <c r="V88" s="492"/>
      <c r="W88" s="493">
        <f t="shared" si="16"/>
        <v>1104983.1200000001</v>
      </c>
    </row>
    <row r="89" spans="1:23" x14ac:dyDescent="0.2">
      <c r="A89" s="27" t="s">
        <v>944</v>
      </c>
      <c r="B89" s="492">
        <v>2</v>
      </c>
      <c r="C89" s="492"/>
      <c r="D89" s="492"/>
      <c r="E89" s="492"/>
      <c r="F89" s="492"/>
      <c r="G89" s="492"/>
      <c r="H89" s="492"/>
      <c r="I89" s="492"/>
      <c r="J89" s="492"/>
      <c r="K89" s="492">
        <f t="shared" si="14"/>
        <v>2</v>
      </c>
      <c r="L89" s="493">
        <v>101963.6</v>
      </c>
      <c r="M89" s="492">
        <f t="shared" si="15"/>
        <v>2</v>
      </c>
      <c r="N89" s="492"/>
      <c r="O89" s="492"/>
      <c r="P89" s="492"/>
      <c r="Q89" s="492"/>
      <c r="R89" s="492"/>
      <c r="S89" s="492"/>
      <c r="T89" s="492"/>
      <c r="U89" s="492"/>
      <c r="V89" s="492"/>
      <c r="W89" s="493">
        <f t="shared" si="16"/>
        <v>101963.6</v>
      </c>
    </row>
    <row r="90" spans="1:23" x14ac:dyDescent="0.2">
      <c r="A90" s="27" t="s">
        <v>945</v>
      </c>
      <c r="B90" s="492">
        <v>5</v>
      </c>
      <c r="C90" s="492"/>
      <c r="D90" s="492"/>
      <c r="E90" s="492"/>
      <c r="F90" s="492"/>
      <c r="G90" s="492"/>
      <c r="H90" s="492"/>
      <c r="I90" s="492"/>
      <c r="J90" s="492"/>
      <c r="K90" s="492">
        <f t="shared" si="14"/>
        <v>5</v>
      </c>
      <c r="L90" s="493">
        <v>222387.8</v>
      </c>
      <c r="M90" s="492">
        <f t="shared" si="15"/>
        <v>5</v>
      </c>
      <c r="N90" s="492"/>
      <c r="O90" s="492"/>
      <c r="P90" s="492"/>
      <c r="Q90" s="492"/>
      <c r="R90" s="492"/>
      <c r="S90" s="492"/>
      <c r="T90" s="492"/>
      <c r="U90" s="492"/>
      <c r="V90" s="492"/>
      <c r="W90" s="493">
        <f t="shared" si="16"/>
        <v>222387.8</v>
      </c>
    </row>
    <row r="91" spans="1:23" x14ac:dyDescent="0.2">
      <c r="A91" s="27" t="s">
        <v>946</v>
      </c>
      <c r="B91" s="492">
        <v>19</v>
      </c>
      <c r="C91" s="492"/>
      <c r="D91" s="492"/>
      <c r="E91" s="492"/>
      <c r="F91" s="492"/>
      <c r="G91" s="492"/>
      <c r="H91" s="492"/>
      <c r="I91" s="492"/>
      <c r="J91" s="492"/>
      <c r="K91" s="492">
        <f t="shared" si="14"/>
        <v>19</v>
      </c>
      <c r="L91" s="493">
        <v>784961.08</v>
      </c>
      <c r="M91" s="492">
        <f t="shared" si="15"/>
        <v>19</v>
      </c>
      <c r="N91" s="492"/>
      <c r="O91" s="492"/>
      <c r="P91" s="492"/>
      <c r="Q91" s="492"/>
      <c r="R91" s="492"/>
      <c r="S91" s="492"/>
      <c r="T91" s="492"/>
      <c r="U91" s="492"/>
      <c r="V91" s="492"/>
      <c r="W91" s="493">
        <f t="shared" si="16"/>
        <v>784961.08</v>
      </c>
    </row>
    <row r="92" spans="1:23" x14ac:dyDescent="0.2">
      <c r="A92" s="27" t="s">
        <v>947</v>
      </c>
      <c r="B92" s="492">
        <v>23</v>
      </c>
      <c r="C92" s="492"/>
      <c r="D92" s="492"/>
      <c r="E92" s="492"/>
      <c r="F92" s="492"/>
      <c r="G92" s="492"/>
      <c r="H92" s="492"/>
      <c r="I92" s="492"/>
      <c r="J92" s="492"/>
      <c r="K92" s="492">
        <f t="shared" si="14"/>
        <v>23</v>
      </c>
      <c r="L92" s="493">
        <v>874226.36</v>
      </c>
      <c r="M92" s="492">
        <f t="shared" si="15"/>
        <v>23</v>
      </c>
      <c r="N92" s="492"/>
      <c r="O92" s="492"/>
      <c r="P92" s="492"/>
      <c r="Q92" s="492"/>
      <c r="R92" s="492"/>
      <c r="S92" s="492"/>
      <c r="T92" s="492"/>
      <c r="U92" s="492"/>
      <c r="V92" s="492"/>
      <c r="W92" s="493">
        <f t="shared" si="16"/>
        <v>874226.36</v>
      </c>
    </row>
    <row r="93" spans="1:23" x14ac:dyDescent="0.2">
      <c r="A93" s="27" t="s">
        <v>948</v>
      </c>
      <c r="B93" s="492">
        <v>30</v>
      </c>
      <c r="C93" s="492"/>
      <c r="D93" s="492"/>
      <c r="E93" s="492"/>
      <c r="F93" s="492"/>
      <c r="G93" s="492"/>
      <c r="H93" s="492"/>
      <c r="I93" s="492"/>
      <c r="J93" s="492"/>
      <c r="K93" s="492">
        <f t="shared" si="14"/>
        <v>30</v>
      </c>
      <c r="L93" s="493">
        <v>1047443.4</v>
      </c>
      <c r="M93" s="492">
        <f t="shared" si="15"/>
        <v>30</v>
      </c>
      <c r="N93" s="492"/>
      <c r="O93" s="492"/>
      <c r="P93" s="492"/>
      <c r="Q93" s="492"/>
      <c r="R93" s="492"/>
      <c r="S93" s="492"/>
      <c r="T93" s="492"/>
      <c r="U93" s="492"/>
      <c r="V93" s="492"/>
      <c r="W93" s="493">
        <f t="shared" si="16"/>
        <v>1047443.4</v>
      </c>
    </row>
    <row r="94" spans="1:23" x14ac:dyDescent="0.2">
      <c r="A94" s="27" t="s">
        <v>949</v>
      </c>
      <c r="B94" s="492">
        <v>6</v>
      </c>
      <c r="C94" s="492"/>
      <c r="D94" s="492"/>
      <c r="E94" s="492"/>
      <c r="F94" s="492"/>
      <c r="G94" s="492"/>
      <c r="H94" s="492"/>
      <c r="I94" s="492"/>
      <c r="J94" s="492"/>
      <c r="K94" s="492">
        <f t="shared" si="14"/>
        <v>6</v>
      </c>
      <c r="L94" s="493">
        <v>332130.71999999997</v>
      </c>
      <c r="M94" s="492">
        <f t="shared" si="15"/>
        <v>6</v>
      </c>
      <c r="N94" s="492"/>
      <c r="O94" s="492"/>
      <c r="P94" s="492"/>
      <c r="Q94" s="492"/>
      <c r="R94" s="492"/>
      <c r="S94" s="492"/>
      <c r="T94" s="492"/>
      <c r="U94" s="492"/>
      <c r="V94" s="492"/>
      <c r="W94" s="493">
        <f t="shared" si="16"/>
        <v>332130.71999999997</v>
      </c>
    </row>
    <row r="95" spans="1:23" x14ac:dyDescent="0.2">
      <c r="A95" s="27" t="s">
        <v>950</v>
      </c>
      <c r="B95" s="492">
        <v>31</v>
      </c>
      <c r="C95" s="492"/>
      <c r="D95" s="492"/>
      <c r="E95" s="492"/>
      <c r="F95" s="492"/>
      <c r="G95" s="492"/>
      <c r="H95" s="492"/>
      <c r="I95" s="492"/>
      <c r="J95" s="492"/>
      <c r="K95" s="492">
        <f t="shared" si="14"/>
        <v>31</v>
      </c>
      <c r="L95" s="493">
        <v>1536602.8</v>
      </c>
      <c r="M95" s="492">
        <f t="shared" si="15"/>
        <v>31</v>
      </c>
      <c r="N95" s="492"/>
      <c r="O95" s="492"/>
      <c r="P95" s="492"/>
      <c r="Q95" s="492"/>
      <c r="R95" s="492"/>
      <c r="S95" s="492"/>
      <c r="T95" s="492"/>
      <c r="U95" s="492"/>
      <c r="V95" s="492"/>
      <c r="W95" s="493">
        <f t="shared" si="16"/>
        <v>1536602.8</v>
      </c>
    </row>
    <row r="96" spans="1:23" x14ac:dyDescent="0.2">
      <c r="A96" s="27" t="s">
        <v>951</v>
      </c>
      <c r="B96" s="492">
        <v>61</v>
      </c>
      <c r="C96" s="492"/>
      <c r="D96" s="492"/>
      <c r="E96" s="492"/>
      <c r="F96" s="492"/>
      <c r="G96" s="492"/>
      <c r="H96" s="492"/>
      <c r="I96" s="492"/>
      <c r="J96" s="492"/>
      <c r="K96" s="492">
        <f t="shared" si="14"/>
        <v>61</v>
      </c>
      <c r="L96" s="493">
        <v>2634226.84</v>
      </c>
      <c r="M96" s="492">
        <f t="shared" si="15"/>
        <v>61</v>
      </c>
      <c r="N96" s="492"/>
      <c r="O96" s="492"/>
      <c r="P96" s="492"/>
      <c r="Q96" s="492"/>
      <c r="R96" s="492"/>
      <c r="S96" s="492"/>
      <c r="T96" s="492"/>
      <c r="U96" s="492"/>
      <c r="V96" s="492"/>
      <c r="W96" s="493">
        <f t="shared" si="16"/>
        <v>2634226.84</v>
      </c>
    </row>
    <row r="97" spans="1:23" x14ac:dyDescent="0.2">
      <c r="A97" s="27" t="s">
        <v>952</v>
      </c>
      <c r="B97" s="492">
        <v>209</v>
      </c>
      <c r="C97" s="492"/>
      <c r="D97" s="492"/>
      <c r="E97" s="492"/>
      <c r="F97" s="492"/>
      <c r="G97" s="492"/>
      <c r="H97" s="492"/>
      <c r="I97" s="492"/>
      <c r="J97" s="492"/>
      <c r="K97" s="492">
        <f t="shared" si="14"/>
        <v>209</v>
      </c>
      <c r="L97" s="493">
        <v>8400471.4399999995</v>
      </c>
      <c r="M97" s="492">
        <f t="shared" si="15"/>
        <v>209</v>
      </c>
      <c r="N97" s="492"/>
      <c r="O97" s="492"/>
      <c r="P97" s="492"/>
      <c r="Q97" s="492"/>
      <c r="R97" s="492"/>
      <c r="S97" s="492"/>
      <c r="T97" s="492"/>
      <c r="U97" s="492"/>
      <c r="V97" s="492"/>
      <c r="W97" s="493">
        <f t="shared" si="16"/>
        <v>8400471.4399999995</v>
      </c>
    </row>
    <row r="98" spans="1:23" x14ac:dyDescent="0.2">
      <c r="A98" s="27" t="s">
        <v>953</v>
      </c>
      <c r="B98" s="492">
        <v>288</v>
      </c>
      <c r="C98" s="492"/>
      <c r="D98" s="492"/>
      <c r="E98" s="492"/>
      <c r="F98" s="492"/>
      <c r="G98" s="492"/>
      <c r="H98" s="492"/>
      <c r="I98" s="492"/>
      <c r="J98" s="492"/>
      <c r="K98" s="492">
        <f t="shared" si="14"/>
        <v>288</v>
      </c>
      <c r="L98" s="493">
        <v>10779306.119999999</v>
      </c>
      <c r="M98" s="492">
        <f t="shared" si="15"/>
        <v>288</v>
      </c>
      <c r="N98" s="492"/>
      <c r="O98" s="492"/>
      <c r="P98" s="492"/>
      <c r="Q98" s="492"/>
      <c r="R98" s="492"/>
      <c r="S98" s="492"/>
      <c r="T98" s="492"/>
      <c r="U98" s="492"/>
      <c r="V98" s="492"/>
      <c r="W98" s="493">
        <f t="shared" si="16"/>
        <v>10779306.119999999</v>
      </c>
    </row>
    <row r="99" spans="1:23" x14ac:dyDescent="0.2">
      <c r="A99" s="27" t="s">
        <v>954</v>
      </c>
      <c r="B99" s="492">
        <v>375</v>
      </c>
      <c r="C99" s="492"/>
      <c r="D99" s="492"/>
      <c r="E99" s="492"/>
      <c r="F99" s="492"/>
      <c r="G99" s="492"/>
      <c r="H99" s="492"/>
      <c r="I99" s="492"/>
      <c r="J99" s="492"/>
      <c r="K99" s="492">
        <f t="shared" si="14"/>
        <v>375</v>
      </c>
      <c r="L99" s="493">
        <v>12882739.08</v>
      </c>
      <c r="M99" s="492">
        <f t="shared" si="15"/>
        <v>375</v>
      </c>
      <c r="N99" s="492"/>
      <c r="O99" s="492"/>
      <c r="P99" s="492"/>
      <c r="Q99" s="492"/>
      <c r="R99" s="492"/>
      <c r="S99" s="492"/>
      <c r="T99" s="492"/>
      <c r="U99" s="492"/>
      <c r="V99" s="492"/>
      <c r="W99" s="493">
        <f t="shared" si="16"/>
        <v>12882739.08</v>
      </c>
    </row>
    <row r="100" spans="1:23" x14ac:dyDescent="0.2">
      <c r="A100" s="27" t="s">
        <v>955</v>
      </c>
      <c r="B100" s="492">
        <v>1</v>
      </c>
      <c r="C100" s="492"/>
      <c r="D100" s="492"/>
      <c r="E100" s="492"/>
      <c r="F100" s="492"/>
      <c r="G100" s="492"/>
      <c r="H100" s="492"/>
      <c r="I100" s="492"/>
      <c r="J100" s="492"/>
      <c r="K100" s="492">
        <f t="shared" si="14"/>
        <v>1</v>
      </c>
      <c r="L100" s="493">
        <f>59128.32+1000</f>
        <v>60128.32</v>
      </c>
      <c r="M100" s="492">
        <f t="shared" si="15"/>
        <v>1</v>
      </c>
      <c r="N100" s="492"/>
      <c r="O100" s="492"/>
      <c r="P100" s="492"/>
      <c r="Q100" s="492"/>
      <c r="R100" s="492"/>
      <c r="S100" s="492"/>
      <c r="T100" s="492"/>
      <c r="U100" s="492"/>
      <c r="V100" s="492"/>
      <c r="W100" s="493">
        <f t="shared" si="16"/>
        <v>60128.32</v>
      </c>
    </row>
    <row r="101" spans="1:23" x14ac:dyDescent="0.2">
      <c r="A101" s="27" t="s">
        <v>956</v>
      </c>
      <c r="B101" s="492">
        <v>1</v>
      </c>
      <c r="C101" s="492"/>
      <c r="D101" s="492"/>
      <c r="E101" s="492"/>
      <c r="F101" s="492"/>
      <c r="G101" s="492"/>
      <c r="H101" s="492"/>
      <c r="I101" s="492"/>
      <c r="J101" s="492"/>
      <c r="K101" s="492">
        <f t="shared" si="14"/>
        <v>1</v>
      </c>
      <c r="L101" s="493">
        <v>84237.759999999995</v>
      </c>
      <c r="M101" s="492">
        <f t="shared" si="15"/>
        <v>1</v>
      </c>
      <c r="N101" s="492"/>
      <c r="O101" s="492"/>
      <c r="P101" s="492"/>
      <c r="Q101" s="492"/>
      <c r="R101" s="492"/>
      <c r="S101" s="492"/>
      <c r="T101" s="492"/>
      <c r="U101" s="492"/>
      <c r="V101" s="492"/>
      <c r="W101" s="493">
        <f t="shared" si="16"/>
        <v>84237.759999999995</v>
      </c>
    </row>
    <row r="102" spans="1:23" x14ac:dyDescent="0.2">
      <c r="A102" s="27"/>
      <c r="B102" s="492"/>
      <c r="C102" s="492"/>
      <c r="D102" s="492"/>
      <c r="E102" s="492"/>
      <c r="F102" s="492"/>
      <c r="G102" s="492"/>
      <c r="H102" s="492"/>
      <c r="I102" s="492"/>
      <c r="J102" s="492"/>
      <c r="K102" s="492"/>
      <c r="L102" s="493"/>
      <c r="M102" s="492"/>
      <c r="N102" s="492"/>
      <c r="O102" s="492"/>
      <c r="P102" s="492"/>
      <c r="Q102" s="492"/>
      <c r="R102" s="492"/>
      <c r="S102" s="492"/>
      <c r="T102" s="492"/>
      <c r="U102" s="492"/>
      <c r="V102" s="492"/>
      <c r="W102" s="493"/>
    </row>
    <row r="103" spans="1:23" x14ac:dyDescent="0.2">
      <c r="A103" s="28" t="s">
        <v>957</v>
      </c>
      <c r="B103" s="489">
        <f>SUM(B104:B105)</f>
        <v>590</v>
      </c>
      <c r="C103" s="489"/>
      <c r="D103" s="489"/>
      <c r="E103" s="489"/>
      <c r="F103" s="489"/>
      <c r="G103" s="489"/>
      <c r="H103" s="489"/>
      <c r="I103" s="489"/>
      <c r="J103" s="489"/>
      <c r="K103" s="489">
        <f>SUM(K104:K105)</f>
        <v>590</v>
      </c>
      <c r="L103" s="491">
        <f>SUM(L104:L105)</f>
        <v>20155106.16</v>
      </c>
      <c r="M103" s="489">
        <f>SUM(M104:M105)</f>
        <v>590</v>
      </c>
      <c r="N103" s="489"/>
      <c r="O103" s="489"/>
      <c r="P103" s="489"/>
      <c r="Q103" s="489"/>
      <c r="R103" s="489"/>
      <c r="S103" s="489"/>
      <c r="T103" s="489"/>
      <c r="U103" s="489"/>
      <c r="V103" s="489"/>
      <c r="W103" s="491">
        <f>SUM(W104:W105)</f>
        <v>20155106.16</v>
      </c>
    </row>
    <row r="104" spans="1:23" x14ac:dyDescent="0.2">
      <c r="A104" s="27" t="s">
        <v>958</v>
      </c>
      <c r="B104" s="492">
        <v>5</v>
      </c>
      <c r="C104" s="492"/>
      <c r="D104" s="492"/>
      <c r="E104" s="492"/>
      <c r="F104" s="492"/>
      <c r="G104" s="492"/>
      <c r="H104" s="492"/>
      <c r="I104" s="492"/>
      <c r="J104" s="492"/>
      <c r="K104" s="492">
        <f t="shared" ref="K104:K105" si="17">SUM(B104:J104)</f>
        <v>5</v>
      </c>
      <c r="L104" s="493">
        <v>206257.2</v>
      </c>
      <c r="M104" s="492">
        <f t="shared" ref="M104:M105" si="18">+K104</f>
        <v>5</v>
      </c>
      <c r="N104" s="492"/>
      <c r="O104" s="492"/>
      <c r="P104" s="492"/>
      <c r="Q104" s="492"/>
      <c r="R104" s="492"/>
      <c r="S104" s="492"/>
      <c r="T104" s="492"/>
      <c r="U104" s="492"/>
      <c r="V104" s="492"/>
      <c r="W104" s="493">
        <f t="shared" ref="W104:W105" si="19">+L104</f>
        <v>206257.2</v>
      </c>
    </row>
    <row r="105" spans="1:23" x14ac:dyDescent="0.2">
      <c r="A105" s="27" t="s">
        <v>959</v>
      </c>
      <c r="B105" s="492">
        <v>585</v>
      </c>
      <c r="C105" s="492"/>
      <c r="D105" s="492"/>
      <c r="E105" s="492"/>
      <c r="F105" s="492"/>
      <c r="G105" s="492"/>
      <c r="H105" s="492"/>
      <c r="I105" s="492"/>
      <c r="J105" s="492"/>
      <c r="K105" s="492">
        <f t="shared" si="17"/>
        <v>585</v>
      </c>
      <c r="L105" s="493">
        <v>19948848.960000001</v>
      </c>
      <c r="M105" s="492">
        <f t="shared" si="18"/>
        <v>585</v>
      </c>
      <c r="N105" s="492"/>
      <c r="O105" s="492"/>
      <c r="P105" s="492"/>
      <c r="Q105" s="492"/>
      <c r="R105" s="492"/>
      <c r="S105" s="492"/>
      <c r="T105" s="492"/>
      <c r="U105" s="492"/>
      <c r="V105" s="492"/>
      <c r="W105" s="493">
        <f t="shared" si="19"/>
        <v>19948848.960000001</v>
      </c>
    </row>
    <row r="106" spans="1:23" x14ac:dyDescent="0.2">
      <c r="A106" s="27"/>
      <c r="B106" s="492"/>
      <c r="C106" s="492"/>
      <c r="D106" s="492"/>
      <c r="E106" s="492"/>
      <c r="F106" s="492"/>
      <c r="G106" s="492"/>
      <c r="H106" s="492"/>
      <c r="I106" s="492"/>
      <c r="J106" s="492"/>
      <c r="K106" s="492"/>
      <c r="L106" s="493"/>
      <c r="M106" s="492"/>
      <c r="N106" s="492"/>
      <c r="O106" s="492"/>
      <c r="P106" s="492"/>
      <c r="Q106" s="492"/>
      <c r="R106" s="492"/>
      <c r="S106" s="492"/>
      <c r="T106" s="492"/>
      <c r="U106" s="492"/>
      <c r="V106" s="492"/>
      <c r="W106" s="493"/>
    </row>
    <row r="107" spans="1:23" x14ac:dyDescent="0.2">
      <c r="A107" s="28" t="s">
        <v>960</v>
      </c>
      <c r="B107" s="489">
        <f>SUM(B108)</f>
        <v>130</v>
      </c>
      <c r="C107" s="489"/>
      <c r="D107" s="489"/>
      <c r="E107" s="489"/>
      <c r="F107" s="489"/>
      <c r="G107" s="489"/>
      <c r="H107" s="489"/>
      <c r="I107" s="489"/>
      <c r="J107" s="489"/>
      <c r="K107" s="489">
        <f>SUM(K108)</f>
        <v>130</v>
      </c>
      <c r="L107" s="491">
        <f>SUM(L108:L108)</f>
        <v>2692732</v>
      </c>
      <c r="M107" s="489">
        <f>SUM(M108:M108)</f>
        <v>130</v>
      </c>
      <c r="N107" s="489"/>
      <c r="O107" s="489"/>
      <c r="P107" s="489"/>
      <c r="Q107" s="489"/>
      <c r="R107" s="489"/>
      <c r="S107" s="489"/>
      <c r="T107" s="489"/>
      <c r="U107" s="489"/>
      <c r="V107" s="489"/>
      <c r="W107" s="491">
        <f>SUM(W108:W108)</f>
        <v>2692732</v>
      </c>
    </row>
    <row r="108" spans="1:23" x14ac:dyDescent="0.2">
      <c r="A108" s="27" t="s">
        <v>961</v>
      </c>
      <c r="B108" s="492">
        <v>130</v>
      </c>
      <c r="C108" s="492"/>
      <c r="D108" s="492"/>
      <c r="E108" s="492"/>
      <c r="F108" s="492"/>
      <c r="G108" s="492"/>
      <c r="H108" s="492"/>
      <c r="I108" s="492"/>
      <c r="J108" s="492"/>
      <c r="K108" s="492">
        <f t="shared" ref="K108" si="20">SUM(B108:J108)</f>
        <v>130</v>
      </c>
      <c r="L108" s="493">
        <v>2692732</v>
      </c>
      <c r="M108" s="492">
        <f t="shared" ref="M108" si="21">+K108</f>
        <v>130</v>
      </c>
      <c r="N108" s="492"/>
      <c r="O108" s="492"/>
      <c r="P108" s="492"/>
      <c r="Q108" s="492"/>
      <c r="R108" s="492"/>
      <c r="S108" s="492"/>
      <c r="T108" s="492"/>
      <c r="U108" s="492"/>
      <c r="V108" s="492"/>
      <c r="W108" s="493">
        <f t="shared" ref="W108" si="22">+L108</f>
        <v>2692732</v>
      </c>
    </row>
    <row r="109" spans="1:23" x14ac:dyDescent="0.2">
      <c r="A109" s="27"/>
      <c r="B109" s="492"/>
      <c r="C109" s="492"/>
      <c r="D109" s="492"/>
      <c r="E109" s="492"/>
      <c r="F109" s="492"/>
      <c r="G109" s="492"/>
      <c r="H109" s="492"/>
      <c r="I109" s="492"/>
      <c r="J109" s="492"/>
      <c r="K109" s="492"/>
      <c r="L109" s="493"/>
      <c r="M109" s="492"/>
      <c r="N109" s="492"/>
      <c r="O109" s="492"/>
      <c r="P109" s="492"/>
      <c r="Q109" s="492"/>
      <c r="R109" s="492"/>
      <c r="S109" s="492"/>
      <c r="T109" s="492"/>
      <c r="U109" s="492"/>
      <c r="V109" s="492"/>
      <c r="W109" s="493"/>
    </row>
    <row r="110" spans="1:23" x14ac:dyDescent="0.2">
      <c r="A110" s="28" t="s">
        <v>962</v>
      </c>
      <c r="B110" s="489">
        <f>SUM(B111:B113)</f>
        <v>66</v>
      </c>
      <c r="C110" s="489"/>
      <c r="D110" s="489"/>
      <c r="E110" s="489"/>
      <c r="F110" s="489"/>
      <c r="G110" s="489"/>
      <c r="H110" s="489"/>
      <c r="I110" s="489"/>
      <c r="J110" s="489"/>
      <c r="K110" s="489">
        <f>SUM(K111:K113)</f>
        <v>66</v>
      </c>
      <c r="L110" s="491">
        <f>SUM(L111:L113)</f>
        <v>2395459.6</v>
      </c>
      <c r="M110" s="489">
        <f>SUM(M111:M113)</f>
        <v>66</v>
      </c>
      <c r="N110" s="489"/>
      <c r="O110" s="489"/>
      <c r="P110" s="489"/>
      <c r="Q110" s="489"/>
      <c r="R110" s="489"/>
      <c r="S110" s="489"/>
      <c r="T110" s="489"/>
      <c r="U110" s="489"/>
      <c r="V110" s="489"/>
      <c r="W110" s="491">
        <f>SUM(W111:W113)</f>
        <v>2395459.6</v>
      </c>
    </row>
    <row r="111" spans="1:23" x14ac:dyDescent="0.2">
      <c r="A111" s="27" t="s">
        <v>941</v>
      </c>
      <c r="B111" s="492">
        <v>5</v>
      </c>
      <c r="C111" s="492"/>
      <c r="D111" s="492"/>
      <c r="E111" s="492"/>
      <c r="F111" s="492"/>
      <c r="G111" s="492"/>
      <c r="H111" s="492"/>
      <c r="I111" s="492"/>
      <c r="J111" s="492"/>
      <c r="K111" s="492">
        <f t="shared" ref="K111:K113" si="23">SUM(B111:J111)</f>
        <v>5</v>
      </c>
      <c r="L111" s="493">
        <v>265327.40000000002</v>
      </c>
      <c r="M111" s="492">
        <f t="shared" ref="M111:M113" si="24">+K111</f>
        <v>5</v>
      </c>
      <c r="N111" s="492"/>
      <c r="O111" s="492"/>
      <c r="P111" s="492"/>
      <c r="Q111" s="492"/>
      <c r="R111" s="492"/>
      <c r="S111" s="492"/>
      <c r="T111" s="492"/>
      <c r="U111" s="492"/>
      <c r="V111" s="492"/>
      <c r="W111" s="493">
        <f t="shared" ref="W111:W113" si="25">+L111</f>
        <v>265327.40000000002</v>
      </c>
    </row>
    <row r="112" spans="1:23" x14ac:dyDescent="0.2">
      <c r="A112" s="27" t="s">
        <v>942</v>
      </c>
      <c r="B112" s="492">
        <v>6</v>
      </c>
      <c r="C112" s="492"/>
      <c r="D112" s="492"/>
      <c r="E112" s="492"/>
      <c r="F112" s="492"/>
      <c r="G112" s="492"/>
      <c r="H112" s="492"/>
      <c r="I112" s="492"/>
      <c r="J112" s="492"/>
      <c r="K112" s="492">
        <f t="shared" si="23"/>
        <v>6</v>
      </c>
      <c r="L112" s="493">
        <v>240295.2</v>
      </c>
      <c r="M112" s="492">
        <f t="shared" si="24"/>
        <v>6</v>
      </c>
      <c r="N112" s="492"/>
      <c r="O112" s="492"/>
      <c r="P112" s="492"/>
      <c r="Q112" s="492"/>
      <c r="R112" s="492"/>
      <c r="S112" s="492"/>
      <c r="T112" s="492"/>
      <c r="U112" s="492"/>
      <c r="V112" s="492"/>
      <c r="W112" s="493">
        <f t="shared" si="25"/>
        <v>240295.2</v>
      </c>
    </row>
    <row r="113" spans="1:23" x14ac:dyDescent="0.2">
      <c r="A113" s="27" t="s">
        <v>943</v>
      </c>
      <c r="B113" s="492">
        <v>55</v>
      </c>
      <c r="C113" s="492"/>
      <c r="D113" s="492"/>
      <c r="E113" s="492"/>
      <c r="F113" s="492"/>
      <c r="G113" s="492"/>
      <c r="H113" s="492"/>
      <c r="I113" s="492"/>
      <c r="J113" s="492"/>
      <c r="K113" s="492">
        <f t="shared" si="23"/>
        <v>55</v>
      </c>
      <c r="L113" s="493">
        <v>1889837</v>
      </c>
      <c r="M113" s="492">
        <f t="shared" si="24"/>
        <v>55</v>
      </c>
      <c r="N113" s="492"/>
      <c r="O113" s="492"/>
      <c r="P113" s="492"/>
      <c r="Q113" s="492"/>
      <c r="R113" s="492"/>
      <c r="S113" s="492"/>
      <c r="T113" s="492"/>
      <c r="U113" s="492"/>
      <c r="V113" s="492"/>
      <c r="W113" s="493">
        <f t="shared" si="25"/>
        <v>1889837</v>
      </c>
    </row>
    <row r="114" spans="1:23" x14ac:dyDescent="0.2">
      <c r="A114" s="27"/>
      <c r="B114" s="492"/>
      <c r="C114" s="492"/>
      <c r="D114" s="492"/>
      <c r="E114" s="492"/>
      <c r="F114" s="492"/>
      <c r="G114" s="492"/>
      <c r="H114" s="492"/>
      <c r="I114" s="492"/>
      <c r="J114" s="492"/>
      <c r="K114" s="492"/>
      <c r="L114" s="493"/>
      <c r="M114" s="492"/>
      <c r="N114" s="492"/>
      <c r="O114" s="492"/>
      <c r="P114" s="492"/>
      <c r="Q114" s="492"/>
      <c r="R114" s="492"/>
      <c r="S114" s="492"/>
      <c r="T114" s="492"/>
      <c r="U114" s="492"/>
      <c r="V114" s="492"/>
      <c r="W114" s="493"/>
    </row>
    <row r="115" spans="1:23" x14ac:dyDescent="0.2">
      <c r="A115" s="28" t="s">
        <v>963</v>
      </c>
      <c r="B115" s="489"/>
      <c r="C115" s="489"/>
      <c r="D115" s="489"/>
      <c r="E115" s="489"/>
      <c r="F115" s="489"/>
      <c r="G115" s="489"/>
      <c r="H115" s="489"/>
      <c r="I115" s="489"/>
      <c r="J115" s="489"/>
      <c r="K115" s="489"/>
      <c r="L115" s="491"/>
      <c r="M115" s="489"/>
      <c r="N115" s="489"/>
      <c r="O115" s="489"/>
      <c r="P115" s="489"/>
      <c r="Q115" s="489"/>
      <c r="R115" s="489"/>
      <c r="S115" s="489"/>
      <c r="T115" s="489"/>
      <c r="U115" s="489"/>
      <c r="V115" s="489"/>
      <c r="W115" s="491"/>
    </row>
    <row r="116" spans="1:23" x14ac:dyDescent="0.2">
      <c r="A116" s="28" t="s">
        <v>964</v>
      </c>
      <c r="B116" s="489"/>
      <c r="C116" s="489">
        <f>+C117+C118</f>
        <v>7</v>
      </c>
      <c r="D116" s="489"/>
      <c r="E116" s="489"/>
      <c r="F116" s="489"/>
      <c r="G116" s="489"/>
      <c r="H116" s="489"/>
      <c r="I116" s="489"/>
      <c r="J116" s="489"/>
      <c r="K116" s="489">
        <f>+C116</f>
        <v>7</v>
      </c>
      <c r="L116" s="491">
        <f>SUM(L117:L118)</f>
        <v>719939.05999999994</v>
      </c>
      <c r="M116" s="489"/>
      <c r="N116" s="489">
        <f>+K116</f>
        <v>7</v>
      </c>
      <c r="O116" s="489"/>
      <c r="P116" s="489"/>
      <c r="Q116" s="489"/>
      <c r="R116" s="489"/>
      <c r="S116" s="489"/>
      <c r="T116" s="489"/>
      <c r="U116" s="489"/>
      <c r="V116" s="489"/>
      <c r="W116" s="491">
        <f t="shared" ref="W116:W125" si="26">+L116</f>
        <v>719939.05999999994</v>
      </c>
    </row>
    <row r="117" spans="1:23" x14ac:dyDescent="0.2">
      <c r="A117" s="27" t="s">
        <v>965</v>
      </c>
      <c r="B117" s="492"/>
      <c r="C117" s="492">
        <v>1</v>
      </c>
      <c r="D117" s="492"/>
      <c r="E117" s="492"/>
      <c r="F117" s="492"/>
      <c r="G117" s="492"/>
      <c r="H117" s="492"/>
      <c r="I117" s="492"/>
      <c r="J117" s="492"/>
      <c r="K117" s="492">
        <f>+C117</f>
        <v>1</v>
      </c>
      <c r="L117" s="493">
        <v>129858.62</v>
      </c>
      <c r="M117" s="492"/>
      <c r="N117" s="492">
        <f>+K117</f>
        <v>1</v>
      </c>
      <c r="O117" s="492"/>
      <c r="P117" s="492"/>
      <c r="Q117" s="492"/>
      <c r="R117" s="492"/>
      <c r="S117" s="492"/>
      <c r="T117" s="492"/>
      <c r="U117" s="492"/>
      <c r="V117" s="492"/>
      <c r="W117" s="493">
        <f t="shared" si="26"/>
        <v>129858.62</v>
      </c>
    </row>
    <row r="118" spans="1:23" x14ac:dyDescent="0.2">
      <c r="A118" s="27" t="s">
        <v>966</v>
      </c>
      <c r="B118" s="492"/>
      <c r="C118" s="492">
        <v>6</v>
      </c>
      <c r="D118" s="492"/>
      <c r="E118" s="492"/>
      <c r="F118" s="492"/>
      <c r="G118" s="492"/>
      <c r="H118" s="492"/>
      <c r="I118" s="492"/>
      <c r="J118" s="492"/>
      <c r="K118" s="492">
        <f>+C118</f>
        <v>6</v>
      </c>
      <c r="L118" s="493">
        <v>590080.43999999994</v>
      </c>
      <c r="M118" s="492"/>
      <c r="N118" s="492">
        <f>+K118</f>
        <v>6</v>
      </c>
      <c r="O118" s="492"/>
      <c r="P118" s="492"/>
      <c r="Q118" s="492"/>
      <c r="R118" s="492"/>
      <c r="S118" s="492"/>
      <c r="T118" s="492"/>
      <c r="U118" s="492"/>
      <c r="V118" s="492"/>
      <c r="W118" s="493">
        <f t="shared" si="26"/>
        <v>590080.43999999994</v>
      </c>
    </row>
    <row r="119" spans="1:23" x14ac:dyDescent="0.2">
      <c r="A119" s="28" t="s">
        <v>4</v>
      </c>
      <c r="B119" s="489"/>
      <c r="C119" s="489">
        <f>SUM(C120:C125)</f>
        <v>16</v>
      </c>
      <c r="D119" s="489"/>
      <c r="E119" s="489"/>
      <c r="F119" s="489"/>
      <c r="G119" s="489"/>
      <c r="H119" s="489"/>
      <c r="I119" s="489"/>
      <c r="J119" s="489"/>
      <c r="K119" s="489">
        <f>SUM(K120:K125)</f>
        <v>16</v>
      </c>
      <c r="L119" s="491">
        <f>SUM(L120:L125)</f>
        <v>984382.99999999988</v>
      </c>
      <c r="M119" s="489"/>
      <c r="N119" s="489">
        <f>SUM(N120:N125)</f>
        <v>16</v>
      </c>
      <c r="O119" s="489"/>
      <c r="P119" s="489"/>
      <c r="Q119" s="489"/>
      <c r="R119" s="489"/>
      <c r="S119" s="489"/>
      <c r="T119" s="489"/>
      <c r="U119" s="489"/>
      <c r="V119" s="489"/>
      <c r="W119" s="491">
        <f t="shared" si="26"/>
        <v>984382.99999999988</v>
      </c>
    </row>
    <row r="120" spans="1:23" x14ac:dyDescent="0.2">
      <c r="A120" s="27" t="s">
        <v>967</v>
      </c>
      <c r="B120" s="492"/>
      <c r="C120" s="492">
        <v>1</v>
      </c>
      <c r="D120" s="492"/>
      <c r="E120" s="492"/>
      <c r="F120" s="492"/>
      <c r="G120" s="492"/>
      <c r="H120" s="492"/>
      <c r="I120" s="492"/>
      <c r="J120" s="492"/>
      <c r="K120" s="492">
        <f>+C120</f>
        <v>1</v>
      </c>
      <c r="L120" s="493">
        <v>97728.86</v>
      </c>
      <c r="M120" s="492"/>
      <c r="N120" s="492">
        <f>+K120</f>
        <v>1</v>
      </c>
      <c r="O120" s="492"/>
      <c r="P120" s="492"/>
      <c r="Q120" s="492"/>
      <c r="R120" s="492"/>
      <c r="S120" s="492"/>
      <c r="T120" s="492"/>
      <c r="U120" s="492"/>
      <c r="V120" s="492"/>
      <c r="W120" s="493">
        <f t="shared" si="26"/>
        <v>97728.86</v>
      </c>
    </row>
    <row r="121" spans="1:23" x14ac:dyDescent="0.2">
      <c r="A121" s="27" t="s">
        <v>968</v>
      </c>
      <c r="B121" s="492"/>
      <c r="C121" s="492">
        <v>2</v>
      </c>
      <c r="D121" s="492"/>
      <c r="E121" s="492"/>
      <c r="F121" s="492"/>
      <c r="G121" s="492"/>
      <c r="H121" s="492"/>
      <c r="I121" s="492"/>
      <c r="J121" s="492"/>
      <c r="K121" s="492">
        <f t="shared" ref="K121:K125" si="27">+C121</f>
        <v>2</v>
      </c>
      <c r="L121" s="493">
        <v>131230.72</v>
      </c>
      <c r="M121" s="492"/>
      <c r="N121" s="492">
        <f t="shared" ref="N121:N125" si="28">+K121</f>
        <v>2</v>
      </c>
      <c r="O121" s="492"/>
      <c r="P121" s="492"/>
      <c r="Q121" s="492"/>
      <c r="R121" s="492"/>
      <c r="S121" s="492"/>
      <c r="T121" s="492"/>
      <c r="U121" s="492"/>
      <c r="V121" s="492"/>
      <c r="W121" s="493">
        <f t="shared" si="26"/>
        <v>131230.72</v>
      </c>
    </row>
    <row r="122" spans="1:23" x14ac:dyDescent="0.2">
      <c r="A122" s="27" t="s">
        <v>969</v>
      </c>
      <c r="B122" s="492"/>
      <c r="C122" s="492">
        <v>8</v>
      </c>
      <c r="D122" s="492"/>
      <c r="E122" s="492"/>
      <c r="F122" s="492"/>
      <c r="G122" s="492"/>
      <c r="H122" s="492"/>
      <c r="I122" s="492"/>
      <c r="J122" s="492"/>
      <c r="K122" s="492">
        <f t="shared" si="27"/>
        <v>8</v>
      </c>
      <c r="L122" s="493">
        <v>537101.62</v>
      </c>
      <c r="M122" s="492"/>
      <c r="N122" s="492">
        <f t="shared" si="28"/>
        <v>8</v>
      </c>
      <c r="O122" s="492"/>
      <c r="P122" s="492"/>
      <c r="Q122" s="492"/>
      <c r="R122" s="492"/>
      <c r="S122" s="492"/>
      <c r="T122" s="492"/>
      <c r="U122" s="492"/>
      <c r="V122" s="492"/>
      <c r="W122" s="493">
        <f t="shared" si="26"/>
        <v>537101.62</v>
      </c>
    </row>
    <row r="123" spans="1:23" x14ac:dyDescent="0.2">
      <c r="A123" s="27" t="s">
        <v>970</v>
      </c>
      <c r="B123" s="492"/>
      <c r="C123" s="492">
        <v>1</v>
      </c>
      <c r="D123" s="492"/>
      <c r="E123" s="492"/>
      <c r="F123" s="492"/>
      <c r="G123" s="492"/>
      <c r="H123" s="492"/>
      <c r="I123" s="492"/>
      <c r="J123" s="492"/>
      <c r="K123" s="492">
        <f t="shared" si="27"/>
        <v>1</v>
      </c>
      <c r="L123" s="493">
        <v>46282.22</v>
      </c>
      <c r="M123" s="492"/>
      <c r="N123" s="492">
        <f t="shared" si="28"/>
        <v>1</v>
      </c>
      <c r="O123" s="492"/>
      <c r="P123" s="492"/>
      <c r="Q123" s="492"/>
      <c r="R123" s="492"/>
      <c r="S123" s="492"/>
      <c r="T123" s="492"/>
      <c r="U123" s="492"/>
      <c r="V123" s="492"/>
      <c r="W123" s="493">
        <f t="shared" si="26"/>
        <v>46282.22</v>
      </c>
    </row>
    <row r="124" spans="1:23" x14ac:dyDescent="0.2">
      <c r="A124" s="27" t="s">
        <v>971</v>
      </c>
      <c r="B124" s="492"/>
      <c r="C124" s="492">
        <v>3</v>
      </c>
      <c r="D124" s="492"/>
      <c r="E124" s="492"/>
      <c r="F124" s="492"/>
      <c r="G124" s="492"/>
      <c r="H124" s="492"/>
      <c r="I124" s="492"/>
      <c r="J124" s="492"/>
      <c r="K124" s="492">
        <f t="shared" si="27"/>
        <v>3</v>
      </c>
      <c r="L124" s="493">
        <v>138553.98000000001</v>
      </c>
      <c r="M124" s="492"/>
      <c r="N124" s="492">
        <f t="shared" si="28"/>
        <v>3</v>
      </c>
      <c r="O124" s="492"/>
      <c r="P124" s="492"/>
      <c r="Q124" s="492"/>
      <c r="R124" s="492"/>
      <c r="S124" s="492"/>
      <c r="T124" s="492"/>
      <c r="U124" s="492"/>
      <c r="V124" s="492"/>
      <c r="W124" s="493">
        <f t="shared" si="26"/>
        <v>138553.98000000001</v>
      </c>
    </row>
    <row r="125" spans="1:23" x14ac:dyDescent="0.2">
      <c r="A125" s="27" t="s">
        <v>972</v>
      </c>
      <c r="B125" s="492"/>
      <c r="C125" s="492">
        <v>1</v>
      </c>
      <c r="D125" s="492"/>
      <c r="E125" s="492"/>
      <c r="F125" s="492"/>
      <c r="G125" s="492"/>
      <c r="H125" s="492"/>
      <c r="I125" s="492"/>
      <c r="J125" s="492"/>
      <c r="K125" s="492">
        <f t="shared" si="27"/>
        <v>1</v>
      </c>
      <c r="L125" s="493">
        <v>33485.599999999999</v>
      </c>
      <c r="M125" s="492"/>
      <c r="N125" s="492">
        <f t="shared" si="28"/>
        <v>1</v>
      </c>
      <c r="O125" s="492"/>
      <c r="P125" s="492"/>
      <c r="Q125" s="492"/>
      <c r="R125" s="492"/>
      <c r="S125" s="492"/>
      <c r="T125" s="492"/>
      <c r="U125" s="492"/>
      <c r="V125" s="492"/>
      <c r="W125" s="493">
        <f t="shared" si="26"/>
        <v>33485.599999999999</v>
      </c>
    </row>
    <row r="126" spans="1:23" x14ac:dyDescent="0.2">
      <c r="A126" s="28" t="s">
        <v>5</v>
      </c>
      <c r="B126" s="489"/>
      <c r="C126" s="489">
        <f>SUM(C127:C128)</f>
        <v>12</v>
      </c>
      <c r="D126" s="489"/>
      <c r="E126" s="489"/>
      <c r="F126" s="489"/>
      <c r="G126" s="489"/>
      <c r="H126" s="489"/>
      <c r="I126" s="489"/>
      <c r="J126" s="489"/>
      <c r="K126" s="489">
        <f>SUM(K127:K128)</f>
        <v>12</v>
      </c>
      <c r="L126" s="491">
        <f>+L127+L128</f>
        <v>335697.78</v>
      </c>
      <c r="M126" s="489"/>
      <c r="N126" s="489">
        <f>+K126</f>
        <v>12</v>
      </c>
      <c r="O126" s="489"/>
      <c r="P126" s="489"/>
      <c r="Q126" s="489"/>
      <c r="R126" s="489"/>
      <c r="S126" s="489"/>
      <c r="T126" s="489"/>
      <c r="U126" s="489"/>
      <c r="V126" s="489"/>
      <c r="W126" s="491">
        <f>+L126</f>
        <v>335697.78</v>
      </c>
    </row>
    <row r="127" spans="1:23" x14ac:dyDescent="0.2">
      <c r="A127" s="27" t="s">
        <v>973</v>
      </c>
      <c r="B127" s="492"/>
      <c r="C127" s="492">
        <v>6</v>
      </c>
      <c r="D127" s="492"/>
      <c r="E127" s="492"/>
      <c r="F127" s="492"/>
      <c r="G127" s="492"/>
      <c r="H127" s="492"/>
      <c r="I127" s="492"/>
      <c r="J127" s="492"/>
      <c r="K127" s="492">
        <f>+C127</f>
        <v>6</v>
      </c>
      <c r="L127" s="493">
        <v>197385.18</v>
      </c>
      <c r="M127" s="492"/>
      <c r="N127" s="492">
        <f>+K127</f>
        <v>6</v>
      </c>
      <c r="O127" s="492"/>
      <c r="P127" s="492"/>
      <c r="Q127" s="492"/>
      <c r="R127" s="492"/>
      <c r="S127" s="492"/>
      <c r="T127" s="492"/>
      <c r="U127" s="492"/>
      <c r="V127" s="492"/>
      <c r="W127" s="493">
        <f>+L127</f>
        <v>197385.18</v>
      </c>
    </row>
    <row r="128" spans="1:23" x14ac:dyDescent="0.2">
      <c r="A128" s="27" t="s">
        <v>974</v>
      </c>
      <c r="B128" s="492"/>
      <c r="C128" s="492">
        <v>6</v>
      </c>
      <c r="D128" s="492"/>
      <c r="E128" s="492"/>
      <c r="F128" s="492"/>
      <c r="G128" s="492"/>
      <c r="H128" s="492"/>
      <c r="I128" s="492"/>
      <c r="J128" s="492"/>
      <c r="K128" s="492">
        <f>+C128</f>
        <v>6</v>
      </c>
      <c r="L128" s="493">
        <v>138312.6</v>
      </c>
      <c r="M128" s="492"/>
      <c r="N128" s="492">
        <f>+K128</f>
        <v>6</v>
      </c>
      <c r="O128" s="492"/>
      <c r="P128" s="492"/>
      <c r="Q128" s="492"/>
      <c r="R128" s="492"/>
      <c r="S128" s="492"/>
      <c r="T128" s="492"/>
      <c r="U128" s="492"/>
      <c r="V128" s="492"/>
      <c r="W128" s="493">
        <f>+L128</f>
        <v>138312.6</v>
      </c>
    </row>
    <row r="129" spans="1:23" x14ac:dyDescent="0.2">
      <c r="A129" s="27"/>
      <c r="B129" s="492"/>
      <c r="C129" s="492"/>
      <c r="D129" s="492"/>
      <c r="E129" s="492"/>
      <c r="F129" s="492"/>
      <c r="G129" s="492"/>
      <c r="H129" s="492"/>
      <c r="I129" s="492"/>
      <c r="J129" s="492"/>
      <c r="K129" s="492"/>
      <c r="L129" s="493"/>
      <c r="M129" s="492"/>
      <c r="N129" s="492"/>
      <c r="O129" s="492"/>
      <c r="P129" s="492"/>
      <c r="Q129" s="492"/>
      <c r="R129" s="492"/>
      <c r="S129" s="492"/>
      <c r="T129" s="492"/>
      <c r="U129" s="492"/>
      <c r="V129" s="492"/>
      <c r="W129" s="493"/>
    </row>
    <row r="130" spans="1:23" x14ac:dyDescent="0.2">
      <c r="A130" s="28" t="s">
        <v>6</v>
      </c>
      <c r="B130" s="489"/>
      <c r="C130" s="489">
        <f>+C131+C132</f>
        <v>9</v>
      </c>
      <c r="D130" s="489"/>
      <c r="E130" s="489"/>
      <c r="F130" s="489"/>
      <c r="G130" s="489"/>
      <c r="H130" s="489"/>
      <c r="I130" s="489"/>
      <c r="J130" s="489"/>
      <c r="K130" s="489">
        <f>+C130</f>
        <v>9</v>
      </c>
      <c r="L130" s="491">
        <f>SUM(L131:L132)</f>
        <v>154347.48000000001</v>
      </c>
      <c r="M130" s="489"/>
      <c r="N130" s="489">
        <f>+K130</f>
        <v>9</v>
      </c>
      <c r="O130" s="489"/>
      <c r="P130" s="489"/>
      <c r="Q130" s="489"/>
      <c r="R130" s="489"/>
      <c r="S130" s="489"/>
      <c r="T130" s="489"/>
      <c r="U130" s="489"/>
      <c r="V130" s="489"/>
      <c r="W130" s="491">
        <f>+L130</f>
        <v>154347.48000000001</v>
      </c>
    </row>
    <row r="131" spans="1:23" x14ac:dyDescent="0.2">
      <c r="A131" s="27" t="s">
        <v>975</v>
      </c>
      <c r="B131" s="492"/>
      <c r="C131" s="492">
        <v>3</v>
      </c>
      <c r="D131" s="492"/>
      <c r="E131" s="492"/>
      <c r="F131" s="492"/>
      <c r="G131" s="492"/>
      <c r="H131" s="492"/>
      <c r="I131" s="492"/>
      <c r="J131" s="492"/>
      <c r="K131" s="492">
        <f>+C131</f>
        <v>3</v>
      </c>
      <c r="L131" s="493">
        <v>70505.88</v>
      </c>
      <c r="M131" s="492"/>
      <c r="N131" s="492">
        <f>+K131</f>
        <v>3</v>
      </c>
      <c r="O131" s="492"/>
      <c r="P131" s="492"/>
      <c r="Q131" s="492"/>
      <c r="R131" s="492"/>
      <c r="S131" s="492"/>
      <c r="T131" s="492"/>
      <c r="U131" s="492"/>
      <c r="V131" s="492"/>
      <c r="W131" s="493">
        <f>+L131</f>
        <v>70505.88</v>
      </c>
    </row>
    <row r="132" spans="1:23" x14ac:dyDescent="0.2">
      <c r="A132" s="27" t="s">
        <v>976</v>
      </c>
      <c r="B132" s="492"/>
      <c r="C132" s="492">
        <v>6</v>
      </c>
      <c r="D132" s="492"/>
      <c r="E132" s="492"/>
      <c r="F132" s="492"/>
      <c r="G132" s="492"/>
      <c r="H132" s="492"/>
      <c r="I132" s="492"/>
      <c r="J132" s="492"/>
      <c r="K132" s="492">
        <f>+C132</f>
        <v>6</v>
      </c>
      <c r="L132" s="493">
        <v>83841.600000000006</v>
      </c>
      <c r="M132" s="492"/>
      <c r="N132" s="492">
        <f>+K132</f>
        <v>6</v>
      </c>
      <c r="O132" s="492"/>
      <c r="P132" s="492"/>
      <c r="Q132" s="492"/>
      <c r="R132" s="492"/>
      <c r="S132" s="492"/>
      <c r="T132" s="492"/>
      <c r="U132" s="492"/>
      <c r="V132" s="492"/>
      <c r="W132" s="493">
        <f>+L132</f>
        <v>83841.600000000006</v>
      </c>
    </row>
    <row r="133" spans="1:23" x14ac:dyDescent="0.2">
      <c r="A133" s="27"/>
      <c r="B133" s="492"/>
      <c r="C133" s="492"/>
      <c r="D133" s="492"/>
      <c r="E133" s="492"/>
      <c r="F133" s="492"/>
      <c r="G133" s="492"/>
      <c r="H133" s="492"/>
      <c r="I133" s="492"/>
      <c r="J133" s="492"/>
      <c r="K133" s="492"/>
      <c r="L133" s="493"/>
      <c r="M133" s="492"/>
      <c r="N133" s="492"/>
      <c r="O133" s="492"/>
      <c r="P133" s="492"/>
      <c r="Q133" s="492"/>
      <c r="R133" s="492"/>
      <c r="S133" s="492"/>
      <c r="T133" s="492"/>
      <c r="U133" s="492"/>
      <c r="V133" s="492"/>
      <c r="W133" s="493"/>
    </row>
    <row r="134" spans="1:23" s="5" customFormat="1" x14ac:dyDescent="0.2">
      <c r="A134" s="524" t="s">
        <v>977</v>
      </c>
      <c r="B134" s="525"/>
      <c r="C134" s="525"/>
      <c r="D134" s="525"/>
      <c r="E134" s="525"/>
      <c r="F134" s="525"/>
      <c r="G134" s="525"/>
      <c r="H134" s="525"/>
      <c r="I134" s="525"/>
      <c r="J134" s="526"/>
      <c r="K134" s="526"/>
      <c r="L134" s="527"/>
      <c r="M134" s="525"/>
      <c r="N134" s="525"/>
      <c r="O134" s="525"/>
      <c r="P134" s="525"/>
      <c r="Q134" s="525"/>
      <c r="R134" s="525"/>
      <c r="S134" s="525"/>
      <c r="T134" s="525"/>
      <c r="U134" s="526"/>
      <c r="V134" s="525"/>
      <c r="W134" s="527"/>
    </row>
    <row r="135" spans="1:23" s="5" customFormat="1" x14ac:dyDescent="0.2">
      <c r="A135" s="524" t="s">
        <v>978</v>
      </c>
      <c r="B135" s="525"/>
      <c r="C135" s="525"/>
      <c r="D135" s="525"/>
      <c r="E135" s="525"/>
      <c r="F135" s="525"/>
      <c r="G135" s="525"/>
      <c r="H135" s="525"/>
      <c r="I135" s="525"/>
      <c r="J135" s="526">
        <f>SUM(J136:J140)</f>
        <v>982</v>
      </c>
      <c r="K135" s="526">
        <f>SUM(K136:K140)</f>
        <v>982</v>
      </c>
      <c r="L135" s="527">
        <f>SUM(L136:L140)</f>
        <v>32705591.800000001</v>
      </c>
      <c r="M135" s="525"/>
      <c r="N135" s="525"/>
      <c r="O135" s="525"/>
      <c r="P135" s="525"/>
      <c r="Q135" s="525"/>
      <c r="R135" s="525"/>
      <c r="S135" s="525"/>
      <c r="T135" s="525"/>
      <c r="U135" s="526">
        <f>SUM(U136:U140)</f>
        <v>982</v>
      </c>
      <c r="V135" s="525"/>
      <c r="W135" s="527">
        <f>SUM(W136:W140)</f>
        <v>32705591.800000001</v>
      </c>
    </row>
    <row r="136" spans="1:23" x14ac:dyDescent="0.2">
      <c r="A136" s="27" t="s">
        <v>979</v>
      </c>
      <c r="B136" s="492"/>
      <c r="C136" s="492"/>
      <c r="D136" s="492"/>
      <c r="E136" s="492"/>
      <c r="F136" s="492"/>
      <c r="G136" s="492"/>
      <c r="H136" s="492"/>
      <c r="I136" s="492"/>
      <c r="J136" s="492">
        <v>31</v>
      </c>
      <c r="K136" s="492">
        <v>31</v>
      </c>
      <c r="L136" s="493">
        <v>2103978.64</v>
      </c>
      <c r="M136" s="492"/>
      <c r="N136" s="492"/>
      <c r="O136" s="492"/>
      <c r="P136" s="492"/>
      <c r="Q136" s="492"/>
      <c r="R136" s="492"/>
      <c r="S136" s="492"/>
      <c r="T136" s="492"/>
      <c r="U136" s="492">
        <v>31</v>
      </c>
      <c r="V136" s="492"/>
      <c r="W136" s="493">
        <f>+L136</f>
        <v>2103978.64</v>
      </c>
    </row>
    <row r="137" spans="1:23" x14ac:dyDescent="0.2">
      <c r="A137" s="27" t="s">
        <v>980</v>
      </c>
      <c r="B137" s="492"/>
      <c r="C137" s="492"/>
      <c r="D137" s="492"/>
      <c r="E137" s="492"/>
      <c r="F137" s="492"/>
      <c r="G137" s="492"/>
      <c r="H137" s="492"/>
      <c r="I137" s="492"/>
      <c r="J137" s="492">
        <v>221</v>
      </c>
      <c r="K137" s="492">
        <v>221</v>
      </c>
      <c r="L137" s="493">
        <v>5574758.3200000003</v>
      </c>
      <c r="M137" s="492"/>
      <c r="N137" s="492"/>
      <c r="O137" s="492"/>
      <c r="P137" s="492"/>
      <c r="Q137" s="492"/>
      <c r="R137" s="492"/>
      <c r="S137" s="492"/>
      <c r="T137" s="492"/>
      <c r="U137" s="492">
        <v>221</v>
      </c>
      <c r="V137" s="492"/>
      <c r="W137" s="493">
        <f>+L137</f>
        <v>5574758.3200000003</v>
      </c>
    </row>
    <row r="138" spans="1:23" x14ac:dyDescent="0.2">
      <c r="A138" s="27" t="s">
        <v>981</v>
      </c>
      <c r="B138" s="492"/>
      <c r="C138" s="492"/>
      <c r="D138" s="492"/>
      <c r="E138" s="492"/>
      <c r="F138" s="492"/>
      <c r="G138" s="492"/>
      <c r="H138" s="492"/>
      <c r="I138" s="492"/>
      <c r="J138" s="492">
        <v>9</v>
      </c>
      <c r="K138" s="492">
        <f>+J138</f>
        <v>9</v>
      </c>
      <c r="L138" s="493">
        <v>463320</v>
      </c>
      <c r="M138" s="492"/>
      <c r="N138" s="492"/>
      <c r="O138" s="492"/>
      <c r="P138" s="492"/>
      <c r="Q138" s="492"/>
      <c r="R138" s="492"/>
      <c r="S138" s="492"/>
      <c r="T138" s="492"/>
      <c r="U138" s="492">
        <v>9</v>
      </c>
      <c r="V138" s="492"/>
      <c r="W138" s="493">
        <f t="shared" ref="W138:W140" si="29">+L138</f>
        <v>463320</v>
      </c>
    </row>
    <row r="139" spans="1:23" x14ac:dyDescent="0.2">
      <c r="A139" s="27" t="s">
        <v>982</v>
      </c>
      <c r="B139" s="492"/>
      <c r="C139" s="492"/>
      <c r="D139" s="492"/>
      <c r="E139" s="492"/>
      <c r="F139" s="492"/>
      <c r="G139" s="492"/>
      <c r="H139" s="492"/>
      <c r="I139" s="492"/>
      <c r="J139" s="492">
        <v>719</v>
      </c>
      <c r="K139" s="492">
        <v>719</v>
      </c>
      <c r="L139" s="493">
        <v>24533534.84</v>
      </c>
      <c r="M139" s="492"/>
      <c r="N139" s="492"/>
      <c r="O139" s="492"/>
      <c r="P139" s="492"/>
      <c r="Q139" s="492"/>
      <c r="R139" s="492"/>
      <c r="S139" s="492"/>
      <c r="T139" s="492"/>
      <c r="U139" s="492">
        <v>719</v>
      </c>
      <c r="V139" s="492"/>
      <c r="W139" s="493">
        <f t="shared" si="29"/>
        <v>24533534.84</v>
      </c>
    </row>
    <row r="140" spans="1:23" x14ac:dyDescent="0.2">
      <c r="A140" s="27" t="s">
        <v>983</v>
      </c>
      <c r="B140" s="492"/>
      <c r="C140" s="492"/>
      <c r="D140" s="492"/>
      <c r="E140" s="492"/>
      <c r="F140" s="492"/>
      <c r="G140" s="492"/>
      <c r="H140" s="492"/>
      <c r="I140" s="492"/>
      <c r="J140" s="492">
        <v>2</v>
      </c>
      <c r="K140" s="492">
        <v>2</v>
      </c>
      <c r="L140" s="493">
        <v>30000</v>
      </c>
      <c r="M140" s="492"/>
      <c r="N140" s="492"/>
      <c r="O140" s="492"/>
      <c r="P140" s="492"/>
      <c r="Q140" s="492"/>
      <c r="R140" s="492"/>
      <c r="S140" s="492"/>
      <c r="T140" s="492"/>
      <c r="U140" s="492">
        <v>2</v>
      </c>
      <c r="V140" s="492"/>
      <c r="W140" s="493">
        <f t="shared" si="29"/>
        <v>30000</v>
      </c>
    </row>
    <row r="141" spans="1:23" x14ac:dyDescent="0.2">
      <c r="A141" s="27"/>
      <c r="B141" s="492"/>
      <c r="C141" s="492"/>
      <c r="D141" s="492"/>
      <c r="E141" s="492"/>
      <c r="F141" s="492"/>
      <c r="G141" s="492"/>
      <c r="H141" s="492"/>
      <c r="I141" s="492"/>
      <c r="J141" s="492"/>
      <c r="K141" s="492"/>
      <c r="L141" s="493"/>
      <c r="M141" s="492"/>
      <c r="N141" s="492"/>
      <c r="O141" s="492"/>
      <c r="P141" s="492"/>
      <c r="Q141" s="492"/>
      <c r="R141" s="492"/>
      <c r="S141" s="492"/>
      <c r="T141" s="492"/>
      <c r="U141" s="492"/>
      <c r="V141" s="492"/>
      <c r="W141" s="493"/>
    </row>
    <row r="142" spans="1:23" s="5" customFormat="1" x14ac:dyDescent="0.2">
      <c r="A142" s="524" t="s">
        <v>251</v>
      </c>
      <c r="B142" s="525"/>
      <c r="C142" s="525"/>
      <c r="D142" s="525">
        <f>SUM(D143:D145)</f>
        <v>653</v>
      </c>
      <c r="E142" s="525"/>
      <c r="F142" s="525"/>
      <c r="G142" s="525"/>
      <c r="H142" s="525"/>
      <c r="I142" s="525"/>
      <c r="J142" s="526"/>
      <c r="K142" s="526">
        <f>+D142</f>
        <v>653</v>
      </c>
      <c r="L142" s="527">
        <f>SUM(L143:L145)</f>
        <v>17381164.32</v>
      </c>
      <c r="M142" s="525"/>
      <c r="N142" s="525"/>
      <c r="O142" s="525"/>
      <c r="P142" s="525"/>
      <c r="Q142" s="525"/>
      <c r="R142" s="525"/>
      <c r="S142" s="525"/>
      <c r="T142" s="525"/>
      <c r="U142" s="526">
        <f>+K142</f>
        <v>653</v>
      </c>
      <c r="V142" s="525"/>
      <c r="W142" s="527">
        <f>+L142</f>
        <v>17381164.32</v>
      </c>
    </row>
    <row r="143" spans="1:23" x14ac:dyDescent="0.2">
      <c r="A143" s="27" t="s">
        <v>79</v>
      </c>
      <c r="B143" s="492"/>
      <c r="C143" s="492"/>
      <c r="D143" s="492">
        <v>546</v>
      </c>
      <c r="E143" s="492"/>
      <c r="F143" s="492"/>
      <c r="G143" s="492"/>
      <c r="H143" s="492"/>
      <c r="I143" s="492"/>
      <c r="J143" s="492"/>
      <c r="K143" s="492">
        <f>+D143</f>
        <v>546</v>
      </c>
      <c r="L143" s="493">
        <v>14551209.119999999</v>
      </c>
      <c r="M143" s="492"/>
      <c r="N143" s="492"/>
      <c r="O143" s="492"/>
      <c r="P143" s="492"/>
      <c r="Q143" s="492"/>
      <c r="R143" s="492"/>
      <c r="S143" s="492"/>
      <c r="T143" s="492"/>
      <c r="U143" s="492">
        <f>+K143</f>
        <v>546</v>
      </c>
      <c r="V143" s="492"/>
      <c r="W143" s="493">
        <f>+L143</f>
        <v>14551209.119999999</v>
      </c>
    </row>
    <row r="144" spans="1:23" x14ac:dyDescent="0.2">
      <c r="A144" s="27" t="s">
        <v>984</v>
      </c>
      <c r="B144" s="492"/>
      <c r="C144" s="492"/>
      <c r="D144" s="492">
        <v>104</v>
      </c>
      <c r="E144" s="492"/>
      <c r="F144" s="492"/>
      <c r="G144" s="492"/>
      <c r="H144" s="492"/>
      <c r="I144" s="492"/>
      <c r="J144" s="492"/>
      <c r="K144" s="492">
        <f>+D144</f>
        <v>104</v>
      </c>
      <c r="L144" s="493">
        <v>2715914.4</v>
      </c>
      <c r="M144" s="492"/>
      <c r="N144" s="492"/>
      <c r="O144" s="492"/>
      <c r="P144" s="492"/>
      <c r="Q144" s="492"/>
      <c r="R144" s="492"/>
      <c r="S144" s="492"/>
      <c r="T144" s="492"/>
      <c r="U144" s="492">
        <f>+K144</f>
        <v>104</v>
      </c>
      <c r="V144" s="492"/>
      <c r="W144" s="493">
        <f>+L144</f>
        <v>2715914.4</v>
      </c>
    </row>
    <row r="145" spans="1:23" x14ac:dyDescent="0.2">
      <c r="A145" s="27" t="s">
        <v>985</v>
      </c>
      <c r="B145" s="492"/>
      <c r="C145" s="492"/>
      <c r="D145" s="492">
        <v>3</v>
      </c>
      <c r="E145" s="492"/>
      <c r="F145" s="492"/>
      <c r="G145" s="492"/>
      <c r="H145" s="492"/>
      <c r="I145" s="492"/>
      <c r="J145" s="492"/>
      <c r="K145" s="492">
        <f>+D145</f>
        <v>3</v>
      </c>
      <c r="L145" s="493">
        <v>114040.8</v>
      </c>
      <c r="M145" s="492"/>
      <c r="N145" s="492"/>
      <c r="O145" s="492"/>
      <c r="P145" s="492"/>
      <c r="Q145" s="492"/>
      <c r="R145" s="492"/>
      <c r="S145" s="492"/>
      <c r="T145" s="492"/>
      <c r="U145" s="492">
        <f>+K145</f>
        <v>3</v>
      </c>
      <c r="V145" s="492"/>
      <c r="W145" s="493">
        <f>+L145</f>
        <v>114040.8</v>
      </c>
    </row>
    <row r="146" spans="1:23" x14ac:dyDescent="0.2">
      <c r="A146" s="27"/>
      <c r="B146" s="492"/>
      <c r="C146" s="492"/>
      <c r="D146" s="492"/>
      <c r="E146" s="492"/>
      <c r="F146" s="492"/>
      <c r="G146" s="492"/>
      <c r="H146" s="492"/>
      <c r="I146" s="492"/>
      <c r="J146" s="492"/>
      <c r="K146" s="492"/>
      <c r="L146" s="493"/>
      <c r="M146" s="492"/>
      <c r="N146" s="492"/>
      <c r="O146" s="492"/>
      <c r="P146" s="492"/>
      <c r="Q146" s="492"/>
      <c r="R146" s="492"/>
      <c r="S146" s="492"/>
      <c r="T146" s="492"/>
      <c r="U146" s="492"/>
      <c r="V146" s="492"/>
      <c r="W146" s="493"/>
    </row>
    <row r="147" spans="1:23" s="5" customFormat="1" x14ac:dyDescent="0.2">
      <c r="A147" s="524" t="s">
        <v>986</v>
      </c>
      <c r="B147" s="525"/>
      <c r="C147" s="525"/>
      <c r="D147" s="525"/>
      <c r="E147" s="525"/>
      <c r="F147" s="525"/>
      <c r="G147" s="525"/>
      <c r="H147" s="525"/>
      <c r="I147" s="525">
        <f>+I148</f>
        <v>16</v>
      </c>
      <c r="J147" s="526"/>
      <c r="K147" s="526">
        <f>+K148</f>
        <v>16</v>
      </c>
      <c r="L147" s="527">
        <f>+L148</f>
        <v>116768.4</v>
      </c>
      <c r="M147" s="525"/>
      <c r="N147" s="525"/>
      <c r="O147" s="525"/>
      <c r="P147" s="525"/>
      <c r="Q147" s="525"/>
      <c r="R147" s="525"/>
      <c r="S147" s="525"/>
      <c r="T147" s="525"/>
      <c r="U147" s="526">
        <f>+K147</f>
        <v>16</v>
      </c>
      <c r="V147" s="525"/>
      <c r="W147" s="527">
        <f>+L147</f>
        <v>116768.4</v>
      </c>
    </row>
    <row r="148" spans="1:23" x14ac:dyDescent="0.2">
      <c r="A148" s="27" t="s">
        <v>987</v>
      </c>
      <c r="B148" s="492"/>
      <c r="C148" s="492"/>
      <c r="D148" s="492"/>
      <c r="E148" s="492"/>
      <c r="F148" s="492"/>
      <c r="G148" s="492"/>
      <c r="H148" s="492"/>
      <c r="I148" s="492">
        <v>16</v>
      </c>
      <c r="J148" s="492"/>
      <c r="K148" s="492">
        <f>+I148</f>
        <v>16</v>
      </c>
      <c r="L148" s="493">
        <v>116768.4</v>
      </c>
      <c r="M148" s="492"/>
      <c r="N148" s="492"/>
      <c r="O148" s="492"/>
      <c r="P148" s="492"/>
      <c r="Q148" s="492"/>
      <c r="R148" s="492"/>
      <c r="S148" s="492"/>
      <c r="T148" s="492"/>
      <c r="U148" s="492">
        <f>+K148</f>
        <v>16</v>
      </c>
      <c r="V148" s="492"/>
      <c r="W148" s="493">
        <f>+L148</f>
        <v>116768.4</v>
      </c>
    </row>
    <row r="149" spans="1:23" x14ac:dyDescent="0.2">
      <c r="A149" s="27"/>
      <c r="B149" s="492"/>
      <c r="C149" s="492"/>
      <c r="D149" s="492"/>
      <c r="E149" s="492"/>
      <c r="F149" s="492"/>
      <c r="G149" s="492"/>
      <c r="H149" s="492"/>
      <c r="I149" s="492"/>
      <c r="J149" s="492"/>
      <c r="K149" s="492"/>
      <c r="L149" s="493"/>
      <c r="M149" s="492"/>
      <c r="N149" s="492"/>
      <c r="O149" s="492"/>
      <c r="P149" s="492"/>
      <c r="Q149" s="492"/>
      <c r="R149" s="492"/>
      <c r="S149" s="492"/>
      <c r="T149" s="492"/>
      <c r="U149" s="492"/>
      <c r="V149" s="492"/>
      <c r="W149" s="493"/>
    </row>
    <row r="150" spans="1:23" s="5" customFormat="1" x14ac:dyDescent="0.2">
      <c r="A150" s="524" t="s">
        <v>988</v>
      </c>
      <c r="B150" s="525"/>
      <c r="C150" s="525"/>
      <c r="D150" s="525"/>
      <c r="E150" s="525"/>
      <c r="F150" s="525"/>
      <c r="G150" s="525"/>
      <c r="H150" s="525"/>
      <c r="I150" s="525"/>
      <c r="J150" s="526">
        <f>+J151</f>
        <v>81</v>
      </c>
      <c r="K150" s="526">
        <f>+J150</f>
        <v>81</v>
      </c>
      <c r="L150" s="527">
        <f>+L151</f>
        <v>601200</v>
      </c>
      <c r="M150" s="525"/>
      <c r="N150" s="525"/>
      <c r="O150" s="525"/>
      <c r="P150" s="525"/>
      <c r="Q150" s="525"/>
      <c r="R150" s="525"/>
      <c r="S150" s="525"/>
      <c r="T150" s="525"/>
      <c r="U150" s="526">
        <f>+K150</f>
        <v>81</v>
      </c>
      <c r="V150" s="525"/>
      <c r="W150" s="527">
        <f>+L150</f>
        <v>601200</v>
      </c>
    </row>
    <row r="151" spans="1:23" x14ac:dyDescent="0.2">
      <c r="A151" s="27" t="s">
        <v>988</v>
      </c>
      <c r="B151" s="492"/>
      <c r="C151" s="492"/>
      <c r="D151" s="492"/>
      <c r="E151" s="492"/>
      <c r="F151" s="492"/>
      <c r="G151" s="492"/>
      <c r="H151" s="492"/>
      <c r="I151" s="492"/>
      <c r="J151" s="492">
        <v>81</v>
      </c>
      <c r="K151" s="492">
        <f>+J151</f>
        <v>81</v>
      </c>
      <c r="L151" s="493">
        <v>601200</v>
      </c>
      <c r="M151" s="492"/>
      <c r="N151" s="492"/>
      <c r="O151" s="492"/>
      <c r="P151" s="492"/>
      <c r="Q151" s="492"/>
      <c r="R151" s="492"/>
      <c r="S151" s="492"/>
      <c r="T151" s="492"/>
      <c r="U151" s="492">
        <f>+K151</f>
        <v>81</v>
      </c>
      <c r="V151" s="492"/>
      <c r="W151" s="493">
        <f>+L151</f>
        <v>601200</v>
      </c>
    </row>
    <row r="152" spans="1:23" ht="12.75" thickBot="1" x14ac:dyDescent="0.25">
      <c r="A152" s="27"/>
      <c r="B152" s="492"/>
      <c r="C152" s="492"/>
      <c r="D152" s="492"/>
      <c r="E152" s="492"/>
      <c r="F152" s="492"/>
      <c r="G152" s="492"/>
      <c r="H152" s="492"/>
      <c r="I152" s="492"/>
      <c r="J152" s="492"/>
      <c r="K152" s="492"/>
      <c r="L152" s="493"/>
      <c r="M152" s="492"/>
      <c r="N152" s="492"/>
      <c r="O152" s="492"/>
      <c r="P152" s="492"/>
      <c r="Q152" s="492"/>
      <c r="R152" s="492"/>
      <c r="S152" s="492"/>
      <c r="T152" s="492"/>
      <c r="U152" s="492"/>
      <c r="V152" s="492"/>
      <c r="W152" s="493"/>
    </row>
    <row r="153" spans="1:23" ht="12.75" thickBot="1" x14ac:dyDescent="0.25">
      <c r="A153" s="32" t="s">
        <v>23</v>
      </c>
      <c r="B153" s="344">
        <f>+B110+B107+B103+B82+B50+B42+B38+B31+B24+B17+B7</f>
        <v>3547</v>
      </c>
      <c r="C153" s="344">
        <f>+C130+C126+C119+C116</f>
        <v>44</v>
      </c>
      <c r="D153" s="344">
        <f>+D142</f>
        <v>653</v>
      </c>
      <c r="E153" s="344">
        <f>SUM(E8:E152)</f>
        <v>0</v>
      </c>
      <c r="F153" s="344">
        <f>SUM(F8:F152)</f>
        <v>0</v>
      </c>
      <c r="G153" s="344">
        <f>SUM(G8:G152)</f>
        <v>0</v>
      </c>
      <c r="H153" s="344">
        <f>SUM(H8:H152)</f>
        <v>0</v>
      </c>
      <c r="I153" s="344">
        <f>+I147</f>
        <v>16</v>
      </c>
      <c r="J153" s="344">
        <f>+J150+J135</f>
        <v>1063</v>
      </c>
      <c r="K153" s="344">
        <f>+J153+I153+D153+C153+B153</f>
        <v>5323</v>
      </c>
      <c r="L153" s="344">
        <f>+L150+L147+L142+L135+L130+L126+L119+L116+L110+L107+L103+L82+L50+L42+L38+L31+L24+L17+L7</f>
        <v>198500081.95999998</v>
      </c>
      <c r="M153" s="344"/>
      <c r="N153" s="344"/>
      <c r="O153" s="344"/>
      <c r="P153" s="344"/>
      <c r="Q153" s="344"/>
      <c r="R153" s="344"/>
      <c r="S153" s="344"/>
      <c r="T153" s="344"/>
      <c r="U153" s="344">
        <f>+K153</f>
        <v>5323</v>
      </c>
      <c r="V153" s="344">
        <f>SUM(V8:V152)</f>
        <v>0</v>
      </c>
      <c r="W153" s="504">
        <f>+W150+W147+W142+W135+W130+W126+W119+W116+W110+W107+W103+W82+W50+W42+W38+W31+W24+W17+W7</f>
        <v>198500081.95999998</v>
      </c>
    </row>
    <row r="154" spans="1:23" x14ac:dyDescent="0.2">
      <c r="A154" s="23" t="s">
        <v>989</v>
      </c>
      <c r="B154" s="492"/>
      <c r="C154" s="492"/>
      <c r="D154" s="492"/>
      <c r="E154" s="492"/>
      <c r="F154" s="492"/>
      <c r="G154" s="492"/>
      <c r="H154" s="492"/>
      <c r="I154" s="492"/>
      <c r="J154" s="492"/>
      <c r="K154" s="492"/>
      <c r="L154" s="492"/>
      <c r="M154" s="492"/>
      <c r="N154" s="492"/>
      <c r="O154" s="492"/>
      <c r="P154" s="492"/>
      <c r="Q154" s="492"/>
      <c r="R154" s="492"/>
      <c r="S154" s="492"/>
      <c r="T154" s="492"/>
      <c r="U154" s="492"/>
      <c r="V154" s="492"/>
      <c r="W154" s="492"/>
    </row>
    <row r="155" spans="1:23" x14ac:dyDescent="0.2">
      <c r="A155" s="23" t="s">
        <v>290</v>
      </c>
    </row>
    <row r="156" spans="1:23" x14ac:dyDescent="0.2">
      <c r="A156" s="23" t="s">
        <v>284</v>
      </c>
      <c r="L156" s="492"/>
    </row>
    <row r="157" spans="1:23" x14ac:dyDescent="0.2">
      <c r="A157" s="23" t="s">
        <v>288</v>
      </c>
      <c r="K157" s="492"/>
    </row>
    <row r="158" spans="1:23" x14ac:dyDescent="0.2">
      <c r="A158" s="23" t="s">
        <v>295</v>
      </c>
    </row>
  </sheetData>
  <mergeCells count="2">
    <mergeCell ref="B4:L4"/>
    <mergeCell ref="M4:W4"/>
  </mergeCells>
  <printOptions horizontalCentered="1"/>
  <pageMargins left="0.23622047244094491" right="0.23622047244094491" top="0.74803149606299213" bottom="0.74803149606299213" header="0.31496062992125984" footer="0.31496062992125984"/>
  <pageSetup paperSize="9" scale="75" orientation="landscape" r:id="rId1"/>
  <headerFooter alignWithMargins="0">
    <oddHeader>&amp;C&amp;"Arial,Negrita"&amp;18PROYECTO DE PRESUPUESTO 2022</oddHeader>
    <oddFooter>&amp;L&amp;"Arial,Negrita"&amp;8PROYECTO DE PRESUPUESTO PARA EL AÑO FISCAL 2022
INFORMACIÓN PARA LA COMISIÓN DE PRESUPUESTO Y CUENTA GENERAL DE LA REPÚBLICA DEL CONGRESO DE LA REPÚBLICA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50466-8F43-496E-8D28-E80D5954A41D}">
  <sheetPr>
    <tabColor theme="9" tint="-0.249977111117893"/>
    <pageSetUpPr fitToPage="1"/>
  </sheetPr>
  <dimension ref="A1:V27"/>
  <sheetViews>
    <sheetView zoomScaleNormal="100" zoomScaleSheetLayoutView="100" zoomScalePageLayoutView="90" workbookViewId="0">
      <selection activeCell="B5" sqref="B5:E5"/>
    </sheetView>
  </sheetViews>
  <sheetFormatPr baseColWidth="10" defaultColWidth="11.42578125" defaultRowHeight="12" x14ac:dyDescent="0.2"/>
  <cols>
    <col min="1" max="1" width="62" style="95" customWidth="1"/>
    <col min="2" max="9" width="14.7109375" style="95" customWidth="1"/>
    <col min="10" max="16384" width="11.42578125" style="95"/>
  </cols>
  <sheetData>
    <row r="1" spans="1:22" s="496" customFormat="1" ht="15.75" x14ac:dyDescent="0.25">
      <c r="A1" s="13" t="s">
        <v>435</v>
      </c>
      <c r="B1" s="495"/>
      <c r="C1" s="495"/>
      <c r="D1" s="495"/>
      <c r="E1" s="495"/>
      <c r="F1" s="495"/>
      <c r="H1" s="398"/>
      <c r="I1" s="398"/>
    </row>
    <row r="2" spans="1:22" s="488" customFormat="1" ht="15.75" x14ac:dyDescent="0.2">
      <c r="A2" s="383" t="s">
        <v>473</v>
      </c>
      <c r="B2" s="398"/>
      <c r="C2" s="398"/>
      <c r="D2" s="398"/>
      <c r="E2" s="398"/>
      <c r="F2" s="398"/>
      <c r="G2" s="398"/>
      <c r="H2" s="398"/>
      <c r="I2" s="398"/>
      <c r="J2" s="398"/>
      <c r="K2" s="398"/>
      <c r="L2" s="398"/>
      <c r="M2" s="398"/>
      <c r="N2" s="398"/>
      <c r="O2" s="398"/>
      <c r="P2" s="398"/>
      <c r="Q2" s="398"/>
      <c r="R2" s="398"/>
      <c r="S2" s="398"/>
      <c r="T2" s="398"/>
      <c r="U2" s="398"/>
      <c r="V2" s="398"/>
    </row>
    <row r="3" spans="1:22" ht="12.75" thickBot="1" x14ac:dyDescent="0.25">
      <c r="B3" s="9"/>
      <c r="E3" s="9"/>
    </row>
    <row r="4" spans="1:22" ht="12.75" thickBot="1" x14ac:dyDescent="0.25">
      <c r="A4" s="469" t="s">
        <v>10</v>
      </c>
      <c r="B4" s="615" t="s">
        <v>363</v>
      </c>
      <c r="C4" s="615"/>
      <c r="D4" s="616" t="s">
        <v>387</v>
      </c>
      <c r="E4" s="617"/>
      <c r="F4" s="616" t="s">
        <v>388</v>
      </c>
      <c r="G4" s="618"/>
      <c r="H4" s="616" t="s">
        <v>389</v>
      </c>
      <c r="I4" s="618"/>
    </row>
    <row r="5" spans="1:22" s="53" customFormat="1" ht="24" customHeight="1" x14ac:dyDescent="0.2">
      <c r="A5" s="151" t="s">
        <v>9</v>
      </c>
      <c r="B5" s="152" t="s">
        <v>127</v>
      </c>
      <c r="C5" s="153" t="s">
        <v>25</v>
      </c>
      <c r="D5" s="151" t="s">
        <v>127</v>
      </c>
      <c r="E5" s="468" t="s">
        <v>25</v>
      </c>
      <c r="F5" s="151" t="s">
        <v>127</v>
      </c>
      <c r="G5" s="468" t="s">
        <v>25</v>
      </c>
      <c r="H5" s="151" t="s">
        <v>127</v>
      </c>
      <c r="I5" s="468" t="s">
        <v>25</v>
      </c>
    </row>
    <row r="6" spans="1:22" x14ac:dyDescent="0.2">
      <c r="A6" s="497" t="s">
        <v>124</v>
      </c>
      <c r="B6" s="498">
        <v>4564</v>
      </c>
      <c r="C6" s="499">
        <v>129054673</v>
      </c>
      <c r="D6" s="498">
        <v>4564</v>
      </c>
      <c r="E6" s="499">
        <v>147735823</v>
      </c>
      <c r="F6" s="498">
        <v>4564</v>
      </c>
      <c r="G6" s="499">
        <v>157350348</v>
      </c>
      <c r="H6" s="498">
        <v>0</v>
      </c>
      <c r="I6" s="499">
        <f>+E6-C6</f>
        <v>18681150</v>
      </c>
    </row>
    <row r="7" spans="1:22" x14ac:dyDescent="0.2">
      <c r="A7" s="497" t="s">
        <v>152</v>
      </c>
      <c r="B7" s="498"/>
      <c r="C7" s="500"/>
      <c r="D7" s="498"/>
      <c r="E7" s="500"/>
      <c r="F7" s="498"/>
      <c r="G7" s="500"/>
      <c r="H7" s="498"/>
      <c r="I7" s="501"/>
    </row>
    <row r="8" spans="1:22" x14ac:dyDescent="0.2">
      <c r="A8" s="497" t="s">
        <v>150</v>
      </c>
      <c r="B8" s="498"/>
      <c r="C8" s="500"/>
      <c r="D8" s="498"/>
      <c r="E8" s="500"/>
      <c r="F8" s="498"/>
      <c r="G8" s="500"/>
      <c r="H8" s="498"/>
      <c r="I8" s="501"/>
    </row>
    <row r="9" spans="1:22" x14ac:dyDescent="0.2">
      <c r="A9" s="502" t="s">
        <v>159</v>
      </c>
      <c r="B9" s="498"/>
      <c r="C9" s="500"/>
      <c r="D9" s="498"/>
      <c r="E9" s="500"/>
      <c r="F9" s="498"/>
      <c r="G9" s="500"/>
      <c r="H9" s="498"/>
      <c r="I9" s="501"/>
    </row>
    <row r="10" spans="1:22" x14ac:dyDescent="0.2">
      <c r="A10" s="497" t="s">
        <v>153</v>
      </c>
      <c r="B10" s="498">
        <v>9</v>
      </c>
      <c r="C10" s="500">
        <v>463320</v>
      </c>
      <c r="D10" s="498">
        <v>9</v>
      </c>
      <c r="E10" s="500">
        <v>463320</v>
      </c>
      <c r="F10" s="498">
        <v>9</v>
      </c>
      <c r="G10" s="500">
        <v>463320</v>
      </c>
      <c r="H10" s="498">
        <v>0</v>
      </c>
      <c r="I10" s="499">
        <f t="shared" ref="I10:I11" si="0">+E10-C10</f>
        <v>0</v>
      </c>
    </row>
    <row r="11" spans="1:22" x14ac:dyDescent="0.2">
      <c r="A11" s="502" t="s">
        <v>151</v>
      </c>
      <c r="B11" s="503"/>
      <c r="C11" s="500">
        <v>3645396</v>
      </c>
      <c r="D11" s="498"/>
      <c r="E11" s="500">
        <v>3972280</v>
      </c>
      <c r="F11" s="498"/>
      <c r="G11" s="500">
        <v>3795370</v>
      </c>
      <c r="H11" s="498"/>
      <c r="I11" s="499">
        <f t="shared" si="0"/>
        <v>326884</v>
      </c>
    </row>
    <row r="12" spans="1:22" x14ac:dyDescent="0.2">
      <c r="A12" s="497" t="s">
        <v>158</v>
      </c>
      <c r="B12" s="503"/>
      <c r="C12" s="500"/>
      <c r="D12" s="498"/>
      <c r="E12" s="500"/>
      <c r="F12" s="498"/>
      <c r="G12" s="500"/>
      <c r="H12" s="498"/>
      <c r="I12" s="501"/>
    </row>
    <row r="13" spans="1:22" x14ac:dyDescent="0.2">
      <c r="A13" s="497" t="s">
        <v>27</v>
      </c>
      <c r="B13" s="503"/>
      <c r="C13" s="500"/>
      <c r="D13" s="498"/>
      <c r="E13" s="500"/>
      <c r="F13" s="498"/>
      <c r="G13" s="500"/>
      <c r="H13" s="498"/>
      <c r="I13" s="501"/>
    </row>
    <row r="14" spans="1:22" x14ac:dyDescent="0.2">
      <c r="A14" s="497" t="s">
        <v>155</v>
      </c>
      <c r="B14" s="503"/>
      <c r="C14" s="500"/>
      <c r="D14" s="498"/>
      <c r="E14" s="500"/>
      <c r="F14" s="498"/>
      <c r="G14" s="500"/>
      <c r="H14" s="498"/>
      <c r="I14" s="501"/>
    </row>
    <row r="15" spans="1:22" x14ac:dyDescent="0.2">
      <c r="A15" s="497" t="s">
        <v>26</v>
      </c>
      <c r="B15" s="503"/>
      <c r="C15" s="500">
        <v>12892087</v>
      </c>
      <c r="D15" s="498"/>
      <c r="E15" s="500">
        <v>10149388</v>
      </c>
      <c r="F15" s="498"/>
      <c r="G15" s="500">
        <v>8591284</v>
      </c>
      <c r="H15" s="498"/>
      <c r="I15" s="499">
        <f>+E15-C15</f>
        <v>-2742699</v>
      </c>
    </row>
    <row r="16" spans="1:22" x14ac:dyDescent="0.2">
      <c r="A16" s="497" t="s">
        <v>156</v>
      </c>
      <c r="B16" s="503"/>
      <c r="C16" s="500"/>
      <c r="D16" s="498"/>
      <c r="E16" s="500"/>
      <c r="F16" s="498"/>
      <c r="G16" s="500"/>
      <c r="H16" s="498"/>
      <c r="I16" s="501"/>
    </row>
    <row r="17" spans="1:9" x14ac:dyDescent="0.2">
      <c r="A17" s="497" t="s">
        <v>154</v>
      </c>
      <c r="B17" s="503"/>
      <c r="C17" s="500"/>
      <c r="D17" s="498"/>
      <c r="E17" s="500"/>
      <c r="F17" s="498"/>
      <c r="G17" s="500"/>
      <c r="H17" s="498"/>
      <c r="I17" s="501"/>
    </row>
    <row r="18" spans="1:9" x14ac:dyDescent="0.2">
      <c r="A18" s="497" t="s">
        <v>157</v>
      </c>
      <c r="B18" s="503"/>
      <c r="C18" s="500"/>
      <c r="D18" s="498"/>
      <c r="E18" s="500"/>
      <c r="F18" s="498"/>
      <c r="G18" s="500"/>
      <c r="H18" s="498"/>
      <c r="I18" s="501"/>
    </row>
    <row r="19" spans="1:9" x14ac:dyDescent="0.2">
      <c r="A19" s="497" t="s">
        <v>30</v>
      </c>
      <c r="B19" s="503"/>
      <c r="C19" s="500">
        <v>9947177</v>
      </c>
      <c r="D19" s="498"/>
      <c r="E19" s="500">
        <v>10284459</v>
      </c>
      <c r="F19" s="498"/>
      <c r="G19" s="500">
        <v>10667034</v>
      </c>
      <c r="H19" s="498"/>
      <c r="I19" s="499">
        <f>+E19-C19</f>
        <v>337282</v>
      </c>
    </row>
    <row r="20" spans="1:9" x14ac:dyDescent="0.2">
      <c r="A20" s="497" t="s">
        <v>149</v>
      </c>
      <c r="B20" s="503"/>
      <c r="C20" s="500">
        <v>519807</v>
      </c>
      <c r="D20" s="498"/>
      <c r="E20" s="500">
        <v>542516</v>
      </c>
      <c r="F20" s="498"/>
      <c r="G20" s="500">
        <v>542516</v>
      </c>
      <c r="H20" s="498"/>
      <c r="I20" s="501"/>
    </row>
    <row r="21" spans="1:9" ht="12.75" thickBot="1" x14ac:dyDescent="0.25">
      <c r="A21" s="497" t="s">
        <v>49</v>
      </c>
      <c r="B21" s="503"/>
      <c r="C21" s="500"/>
      <c r="D21" s="498"/>
      <c r="E21" s="500"/>
      <c r="F21" s="498"/>
      <c r="G21" s="500"/>
      <c r="H21" s="498"/>
      <c r="I21" s="501"/>
    </row>
    <row r="22" spans="1:9" ht="12.75" thickBot="1" x14ac:dyDescent="0.25">
      <c r="A22" s="32" t="s">
        <v>48</v>
      </c>
      <c r="B22" s="35">
        <f t="shared" ref="B22:G22" si="1">SUM(B6:B21)</f>
        <v>4573</v>
      </c>
      <c r="C22" s="504">
        <f t="shared" si="1"/>
        <v>156522460</v>
      </c>
      <c r="D22" s="35">
        <f t="shared" si="1"/>
        <v>4573</v>
      </c>
      <c r="E22" s="504">
        <f t="shared" si="1"/>
        <v>173147786</v>
      </c>
      <c r="F22" s="35">
        <f t="shared" si="1"/>
        <v>4573</v>
      </c>
      <c r="G22" s="504">
        <f t="shared" si="1"/>
        <v>181409872</v>
      </c>
      <c r="H22" s="33"/>
      <c r="I22" s="342">
        <f>SUM(I6:I20)</f>
        <v>16602617</v>
      </c>
    </row>
    <row r="23" spans="1:9" x14ac:dyDescent="0.2">
      <c r="A23" s="505" t="s">
        <v>325</v>
      </c>
      <c r="B23" s="383"/>
      <c r="C23" s="383"/>
      <c r="D23" s="383"/>
      <c r="E23" s="383"/>
      <c r="F23" s="383"/>
      <c r="G23" s="383"/>
      <c r="H23" s="383"/>
      <c r="I23" s="383"/>
    </row>
    <row r="24" spans="1:9" x14ac:dyDescent="0.2">
      <c r="A24" s="505" t="s">
        <v>76</v>
      </c>
      <c r="B24" s="383"/>
      <c r="C24" s="383"/>
      <c r="D24" s="383"/>
      <c r="E24" s="383"/>
      <c r="F24" s="383"/>
      <c r="G24" s="506"/>
      <c r="H24" s="383"/>
      <c r="I24" s="383"/>
    </row>
    <row r="25" spans="1:9" x14ac:dyDescent="0.2">
      <c r="A25" s="505"/>
      <c r="B25" s="383"/>
      <c r="C25" s="383"/>
      <c r="D25" s="383"/>
      <c r="E25" s="383"/>
      <c r="F25" s="383"/>
      <c r="G25" s="383"/>
      <c r="H25" s="383"/>
      <c r="I25" s="383"/>
    </row>
    <row r="27" spans="1:9" x14ac:dyDescent="0.2">
      <c r="G27" s="354"/>
    </row>
  </sheetData>
  <mergeCells count="4">
    <mergeCell ref="B4:C4"/>
    <mergeCell ref="D4:E4"/>
    <mergeCell ref="F4:G4"/>
    <mergeCell ref="H4:I4"/>
  </mergeCells>
  <printOptions horizontalCentered="1"/>
  <pageMargins left="0.23622047244094491" right="0.23622047244094491" top="0.74803149606299213" bottom="0.74803149606299213" header="0.31496062992125984" footer="0.31496062992125984"/>
  <pageSetup paperSize="9" scale="81" orientation="landscape" r:id="rId1"/>
  <headerFooter alignWithMargins="0">
    <oddHeader>&amp;C&amp;"Arial,Negrita"&amp;18PROYECTO DE PRESUPUESTO 2022</oddHeader>
    <oddFooter>&amp;L&amp;"Arial,Negrita"&amp;8PROYECTO DE PRESUPUESTO PARA EL AÑO FISCAL 2022
INFORMACIÓN PARA LA COMISIÓN DE PRESUPUESTO Y CUENTA GENERAL DE LA REPÚBLICA DEL CONGRESO DE LA REPÚBLICA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35BC3-7365-4837-B662-7F71124EB62B}">
  <sheetPr>
    <tabColor theme="9" tint="-0.249977111117893"/>
  </sheetPr>
  <dimension ref="A1:AI165"/>
  <sheetViews>
    <sheetView zoomScale="85" zoomScaleNormal="85" zoomScaleSheetLayoutView="80" zoomScalePageLayoutView="85" workbookViewId="0">
      <selection activeCell="B5" sqref="B5:E5"/>
    </sheetView>
  </sheetViews>
  <sheetFormatPr baseColWidth="10" defaultColWidth="11.42578125" defaultRowHeight="12" x14ac:dyDescent="0.2"/>
  <cols>
    <col min="1" max="1" width="46" style="95" customWidth="1"/>
    <col min="2" max="2" width="5.140625" style="95" bestFit="1" customWidth="1"/>
    <col min="3" max="3" width="8.7109375" style="95" customWidth="1"/>
    <col min="4" max="4" width="8.140625" style="95" bestFit="1" customWidth="1"/>
    <col min="5" max="5" width="4" style="95" bestFit="1" customWidth="1"/>
    <col min="6" max="6" width="5.85546875" style="95" bestFit="1" customWidth="1"/>
    <col min="7" max="9" width="4" style="95" bestFit="1" customWidth="1"/>
    <col min="10" max="10" width="5.85546875" style="95" bestFit="1" customWidth="1"/>
    <col min="11" max="11" width="10.42578125" style="95" customWidth="1"/>
    <col min="12" max="14" width="8.7109375" style="95" customWidth="1"/>
    <col min="15" max="15" width="11" style="95" customWidth="1"/>
    <col min="16" max="16" width="11.85546875" style="95" customWidth="1"/>
    <col min="17" max="17" width="5.140625" style="95" bestFit="1" customWidth="1"/>
    <col min="18" max="19" width="8.7109375" style="95" customWidth="1"/>
    <col min="20" max="20" width="4" style="95" bestFit="1" customWidth="1"/>
    <col min="21" max="21" width="5.85546875" style="95" bestFit="1" customWidth="1"/>
    <col min="22" max="24" width="4" style="95" bestFit="1" customWidth="1"/>
    <col min="25" max="25" width="5.85546875" style="95" bestFit="1" customWidth="1"/>
    <col min="26" max="30" width="8.7109375" style="95" customWidth="1"/>
    <col min="31" max="31" width="12.28515625" style="95" customWidth="1"/>
    <col min="32" max="32" width="7.140625" style="95" bestFit="1" customWidth="1"/>
    <col min="33" max="33" width="8.7109375" style="95" customWidth="1"/>
    <col min="34" max="34" width="3.5703125" style="95" bestFit="1" customWidth="1"/>
    <col min="35" max="35" width="12.7109375" style="95" customWidth="1"/>
    <col min="36" max="16384" width="11.42578125" style="95"/>
  </cols>
  <sheetData>
    <row r="1" spans="1:35" s="84" customFormat="1" x14ac:dyDescent="0.2">
      <c r="A1" s="82" t="s">
        <v>390</v>
      </c>
    </row>
    <row r="2" spans="1:35" s="84" customFormat="1" x14ac:dyDescent="0.2">
      <c r="A2" s="83" t="s">
        <v>473</v>
      </c>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row>
    <row r="3" spans="1:35" s="82" customFormat="1" ht="12.75" thickBot="1" x14ac:dyDescent="0.25"/>
    <row r="4" spans="1:35" ht="30.75" customHeight="1" thickBot="1" x14ac:dyDescent="0.25">
      <c r="A4" s="610" t="s">
        <v>53</v>
      </c>
      <c r="B4" s="621" t="s">
        <v>366</v>
      </c>
      <c r="C4" s="621"/>
      <c r="D4" s="621"/>
      <c r="E4" s="621"/>
      <c r="F4" s="621"/>
      <c r="G4" s="621"/>
      <c r="H4" s="621"/>
      <c r="I4" s="621"/>
      <c r="J4" s="621"/>
      <c r="K4" s="621"/>
      <c r="L4" s="621"/>
      <c r="M4" s="621"/>
      <c r="N4" s="621"/>
      <c r="O4" s="621"/>
      <c r="P4" s="621"/>
      <c r="Q4" s="622" t="s">
        <v>391</v>
      </c>
      <c r="R4" s="621"/>
      <c r="S4" s="621"/>
      <c r="T4" s="621"/>
      <c r="U4" s="621"/>
      <c r="V4" s="621"/>
      <c r="W4" s="621"/>
      <c r="X4" s="621"/>
      <c r="Y4" s="621"/>
      <c r="Z4" s="621"/>
      <c r="AA4" s="621"/>
      <c r="AB4" s="621"/>
      <c r="AC4" s="621"/>
      <c r="AD4" s="621"/>
      <c r="AE4" s="623"/>
      <c r="AF4" s="624" t="s">
        <v>392</v>
      </c>
      <c r="AG4" s="625"/>
      <c r="AH4" s="624" t="s">
        <v>393</v>
      </c>
      <c r="AI4" s="625"/>
    </row>
    <row r="5" spans="1:35" ht="172.5" customHeight="1" x14ac:dyDescent="0.2">
      <c r="A5" s="619"/>
      <c r="B5" s="154" t="s">
        <v>11</v>
      </c>
      <c r="C5" s="155" t="s">
        <v>128</v>
      </c>
      <c r="D5" s="156" t="s">
        <v>256</v>
      </c>
      <c r="E5" s="156" t="s">
        <v>130</v>
      </c>
      <c r="F5" s="156" t="s">
        <v>161</v>
      </c>
      <c r="G5" s="156" t="s">
        <v>162</v>
      </c>
      <c r="H5" s="156" t="s">
        <v>163</v>
      </c>
      <c r="I5" s="156" t="s">
        <v>164</v>
      </c>
      <c r="J5" s="156" t="s">
        <v>131</v>
      </c>
      <c r="K5" s="156" t="s">
        <v>132</v>
      </c>
      <c r="L5" s="156" t="s">
        <v>133</v>
      </c>
      <c r="M5" s="156" t="s">
        <v>160</v>
      </c>
      <c r="N5" s="157" t="s">
        <v>101</v>
      </c>
      <c r="O5" s="158" t="s">
        <v>136</v>
      </c>
      <c r="P5" s="159" t="s">
        <v>135</v>
      </c>
      <c r="Q5" s="154" t="s">
        <v>11</v>
      </c>
      <c r="R5" s="155" t="s">
        <v>128</v>
      </c>
      <c r="S5" s="156" t="s">
        <v>129</v>
      </c>
      <c r="T5" s="156" t="s">
        <v>130</v>
      </c>
      <c r="U5" s="156" t="s">
        <v>161</v>
      </c>
      <c r="V5" s="156" t="s">
        <v>162</v>
      </c>
      <c r="W5" s="156" t="s">
        <v>163</v>
      </c>
      <c r="X5" s="156" t="s">
        <v>164</v>
      </c>
      <c r="Y5" s="156" t="s">
        <v>131</v>
      </c>
      <c r="Z5" s="156" t="s">
        <v>132</v>
      </c>
      <c r="AA5" s="156" t="s">
        <v>133</v>
      </c>
      <c r="AB5" s="156" t="s">
        <v>160</v>
      </c>
      <c r="AC5" s="157" t="s">
        <v>101</v>
      </c>
      <c r="AD5" s="158" t="s">
        <v>136</v>
      </c>
      <c r="AE5" s="159" t="s">
        <v>436</v>
      </c>
      <c r="AF5" s="160" t="s">
        <v>139</v>
      </c>
      <c r="AG5" s="160" t="s">
        <v>138</v>
      </c>
      <c r="AH5" s="160" t="s">
        <v>11</v>
      </c>
      <c r="AI5" s="159" t="s">
        <v>437</v>
      </c>
    </row>
    <row r="6" spans="1:35" ht="15.75" customHeight="1" thickBot="1" x14ac:dyDescent="0.25">
      <c r="A6" s="620"/>
      <c r="B6" s="161" t="s">
        <v>54</v>
      </c>
      <c r="C6" s="162" t="s">
        <v>55</v>
      </c>
      <c r="D6" s="163" t="s">
        <v>56</v>
      </c>
      <c r="E6" s="163" t="s">
        <v>57</v>
      </c>
      <c r="F6" s="164" t="s">
        <v>58</v>
      </c>
      <c r="G6" s="164" t="s">
        <v>59</v>
      </c>
      <c r="H6" s="164" t="s">
        <v>62</v>
      </c>
      <c r="I6" s="164" t="s">
        <v>100</v>
      </c>
      <c r="J6" s="164" t="s">
        <v>134</v>
      </c>
      <c r="K6" s="164" t="s">
        <v>137</v>
      </c>
      <c r="L6" s="164" t="s">
        <v>165</v>
      </c>
      <c r="M6" s="164" t="s">
        <v>166</v>
      </c>
      <c r="N6" s="165" t="s">
        <v>167</v>
      </c>
      <c r="O6" s="166" t="s">
        <v>168</v>
      </c>
      <c r="P6" s="167" t="s">
        <v>169</v>
      </c>
      <c r="Q6" s="161" t="s">
        <v>54</v>
      </c>
      <c r="R6" s="162" t="s">
        <v>55</v>
      </c>
      <c r="S6" s="163" t="s">
        <v>56</v>
      </c>
      <c r="T6" s="163" t="s">
        <v>57</v>
      </c>
      <c r="U6" s="164" t="s">
        <v>58</v>
      </c>
      <c r="V6" s="164" t="s">
        <v>59</v>
      </c>
      <c r="W6" s="164" t="s">
        <v>62</v>
      </c>
      <c r="X6" s="164" t="s">
        <v>100</v>
      </c>
      <c r="Y6" s="164" t="s">
        <v>134</v>
      </c>
      <c r="Z6" s="164" t="s">
        <v>137</v>
      </c>
      <c r="AA6" s="164" t="s">
        <v>165</v>
      </c>
      <c r="AB6" s="164" t="s">
        <v>166</v>
      </c>
      <c r="AC6" s="165" t="s">
        <v>167</v>
      </c>
      <c r="AD6" s="166" t="s">
        <v>168</v>
      </c>
      <c r="AE6" s="167" t="s">
        <v>169</v>
      </c>
      <c r="AF6" s="168"/>
      <c r="AG6" s="161"/>
      <c r="AH6" s="168"/>
      <c r="AI6" s="161"/>
    </row>
    <row r="7" spans="1:35" x14ac:dyDescent="0.2">
      <c r="A7" s="40"/>
      <c r="B7" s="14"/>
      <c r="C7" s="10"/>
      <c r="D7" s="10"/>
      <c r="E7" s="10"/>
      <c r="F7" s="10"/>
      <c r="G7" s="10"/>
      <c r="H7" s="10"/>
      <c r="I7" s="10"/>
      <c r="J7" s="10"/>
      <c r="K7" s="10"/>
      <c r="L7" s="10"/>
      <c r="M7" s="10"/>
      <c r="O7" s="45"/>
      <c r="P7" s="15"/>
      <c r="Q7" s="14"/>
      <c r="R7" s="10"/>
      <c r="S7" s="10"/>
      <c r="T7" s="10"/>
      <c r="U7" s="10"/>
      <c r="V7" s="10"/>
      <c r="W7" s="10"/>
      <c r="X7" s="10"/>
      <c r="Y7" s="10"/>
      <c r="Z7" s="10"/>
      <c r="AA7" s="10"/>
      <c r="AB7" s="10"/>
      <c r="AD7" s="45"/>
      <c r="AE7" s="15"/>
      <c r="AF7" s="15"/>
      <c r="AG7" s="14"/>
      <c r="AH7" s="15"/>
      <c r="AI7" s="14"/>
    </row>
    <row r="8" spans="1:35" x14ac:dyDescent="0.2">
      <c r="A8" s="14" t="s">
        <v>60</v>
      </c>
      <c r="B8" s="14"/>
      <c r="C8" s="10"/>
      <c r="D8" s="10"/>
      <c r="E8" s="10"/>
      <c r="F8" s="10"/>
      <c r="G8" s="10"/>
      <c r="H8" s="10"/>
      <c r="I8" s="10"/>
      <c r="J8" s="10"/>
      <c r="K8" s="10"/>
      <c r="L8" s="10"/>
      <c r="M8" s="10"/>
      <c r="O8" s="45"/>
      <c r="P8" s="15"/>
      <c r="Q8" s="14"/>
      <c r="R8" s="10"/>
      <c r="S8" s="10"/>
      <c r="T8" s="10"/>
      <c r="U8" s="10"/>
      <c r="V8" s="10"/>
      <c r="W8" s="10"/>
      <c r="X8" s="10"/>
      <c r="Y8" s="10"/>
      <c r="Z8" s="10"/>
      <c r="AA8" s="10"/>
      <c r="AB8" s="10"/>
      <c r="AD8" s="45"/>
      <c r="AE8" s="15"/>
      <c r="AF8" s="15"/>
      <c r="AG8" s="14"/>
      <c r="AH8" s="15"/>
      <c r="AI8" s="14"/>
    </row>
    <row r="9" spans="1:35" x14ac:dyDescent="0.2">
      <c r="A9" s="14" t="s">
        <v>7</v>
      </c>
      <c r="B9" s="14"/>
      <c r="C9" s="10"/>
      <c r="D9" s="10"/>
      <c r="E9" s="10"/>
      <c r="F9" s="10"/>
      <c r="G9" s="10"/>
      <c r="H9" s="10"/>
      <c r="I9" s="10"/>
      <c r="J9" s="10"/>
      <c r="K9" s="10"/>
      <c r="L9" s="10"/>
      <c r="M9" s="10"/>
      <c r="O9" s="45"/>
      <c r="P9" s="15"/>
      <c r="Q9" s="14"/>
      <c r="R9" s="10"/>
      <c r="S9" s="10"/>
      <c r="T9" s="10"/>
      <c r="U9" s="10"/>
      <c r="V9" s="10"/>
      <c r="W9" s="10"/>
      <c r="X9" s="10"/>
      <c r="Y9" s="10"/>
      <c r="Z9" s="10"/>
      <c r="AA9" s="10"/>
      <c r="AB9" s="10"/>
      <c r="AD9" s="45"/>
      <c r="AE9" s="15"/>
      <c r="AF9" s="15"/>
      <c r="AG9" s="14"/>
      <c r="AH9" s="15"/>
      <c r="AI9" s="14"/>
    </row>
    <row r="10" spans="1:35" x14ac:dyDescent="0.2">
      <c r="A10" s="14" t="s">
        <v>3</v>
      </c>
      <c r="B10" s="14">
        <v>1</v>
      </c>
      <c r="C10" s="507">
        <v>14300</v>
      </c>
      <c r="D10" s="507">
        <v>0</v>
      </c>
      <c r="E10" s="507"/>
      <c r="F10" s="507"/>
      <c r="G10" s="507"/>
      <c r="H10" s="507"/>
      <c r="I10" s="507"/>
      <c r="J10" s="507"/>
      <c r="K10" s="508">
        <f>SUM(C10:J10)</f>
        <v>14300</v>
      </c>
      <c r="L10" s="507">
        <v>1000</v>
      </c>
      <c r="M10" s="507"/>
      <c r="N10" s="509">
        <f>L10+M10</f>
        <v>1000</v>
      </c>
      <c r="O10" s="510">
        <f>+N10+K10</f>
        <v>15300</v>
      </c>
      <c r="P10" s="511">
        <f>+O10*12</f>
        <v>183600</v>
      </c>
      <c r="Q10" s="512">
        <v>1</v>
      </c>
      <c r="R10" s="507">
        <v>937.96</v>
      </c>
      <c r="S10" s="507">
        <v>0</v>
      </c>
      <c r="T10" s="507"/>
      <c r="U10" s="507"/>
      <c r="V10" s="507"/>
      <c r="W10" s="507"/>
      <c r="X10" s="507"/>
      <c r="Y10" s="507"/>
      <c r="Z10" s="508">
        <f>SUM(R10:Y10)</f>
        <v>937.96</v>
      </c>
      <c r="AA10" s="507">
        <v>1000</v>
      </c>
      <c r="AB10" s="507"/>
      <c r="AC10" s="509">
        <f>AA10+AB10</f>
        <v>1000</v>
      </c>
      <c r="AD10" s="510">
        <f>(Z10*12)+AC10</f>
        <v>12255.52</v>
      </c>
      <c r="AE10" s="511">
        <f>Q10+AD10</f>
        <v>12256.52</v>
      </c>
      <c r="AF10" s="513">
        <f>AD10-O10</f>
        <v>-3044.4799999999996</v>
      </c>
      <c r="AG10" s="513">
        <f>AE10-P10</f>
        <v>-171343.48</v>
      </c>
      <c r="AH10" s="513">
        <v>1</v>
      </c>
      <c r="AI10" s="514">
        <f>+P10</f>
        <v>183600</v>
      </c>
    </row>
    <row r="11" spans="1:35" x14ac:dyDescent="0.2">
      <c r="A11" s="14" t="s">
        <v>889</v>
      </c>
      <c r="B11" s="14">
        <v>1</v>
      </c>
      <c r="C11" s="507">
        <v>7150</v>
      </c>
      <c r="D11" s="507">
        <v>0</v>
      </c>
      <c r="E11" s="507"/>
      <c r="F11" s="507"/>
      <c r="G11" s="507"/>
      <c r="H11" s="507"/>
      <c r="I11" s="507"/>
      <c r="J11" s="507"/>
      <c r="K11" s="508">
        <f t="shared" ref="K11:K17" si="0">SUM(C11:J11)</f>
        <v>7150</v>
      </c>
      <c r="L11" s="507">
        <v>1000</v>
      </c>
      <c r="M11" s="507"/>
      <c r="N11" s="509">
        <f t="shared" ref="N11:N17" si="1">L11+M11</f>
        <v>1000</v>
      </c>
      <c r="O11" s="510">
        <f t="shared" ref="O11:O17" si="2">+N11+K11</f>
        <v>8150</v>
      </c>
      <c r="P11" s="511">
        <f t="shared" ref="P11" si="3">+O11*12</f>
        <v>97800</v>
      </c>
      <c r="Q11" s="512">
        <v>1</v>
      </c>
      <c r="R11" s="507">
        <v>918.98</v>
      </c>
      <c r="S11" s="507">
        <v>0</v>
      </c>
      <c r="T11" s="507"/>
      <c r="U11" s="507"/>
      <c r="V11" s="507"/>
      <c r="W11" s="507"/>
      <c r="X11" s="507"/>
      <c r="Y11" s="507"/>
      <c r="Z11" s="508">
        <f t="shared" ref="Z11" si="4">SUM(R11:Y11)</f>
        <v>918.98</v>
      </c>
      <c r="AA11" s="507">
        <v>1000</v>
      </c>
      <c r="AB11" s="507"/>
      <c r="AC11" s="509">
        <f t="shared" ref="AC11:AC17" si="5">AA11+AB11</f>
        <v>1000</v>
      </c>
      <c r="AD11" s="510">
        <f t="shared" ref="AD11" si="6">(Z11*12)+AC11</f>
        <v>12027.76</v>
      </c>
      <c r="AE11" s="511">
        <f t="shared" ref="AE11" si="7">Q11+AD11</f>
        <v>12028.76</v>
      </c>
      <c r="AF11" s="513">
        <f t="shared" ref="AF11:AG17" si="8">AD11-O11</f>
        <v>3877.76</v>
      </c>
      <c r="AG11" s="513">
        <f t="shared" si="8"/>
        <v>-85771.24</v>
      </c>
      <c r="AH11" s="513"/>
      <c r="AI11" s="514">
        <f>+P11</f>
        <v>97800</v>
      </c>
    </row>
    <row r="12" spans="1:35" x14ac:dyDescent="0.2">
      <c r="A12" s="14" t="s">
        <v>890</v>
      </c>
      <c r="B12" s="14">
        <v>2</v>
      </c>
      <c r="C12" s="507">
        <v>1278.5999999999999</v>
      </c>
      <c r="D12" s="507">
        <v>1781.96</v>
      </c>
      <c r="E12" s="507"/>
      <c r="F12" s="507"/>
      <c r="G12" s="507"/>
      <c r="H12" s="507"/>
      <c r="I12" s="507"/>
      <c r="J12" s="507"/>
      <c r="K12" s="508">
        <f>SUM(C12:J12)</f>
        <v>3060.56</v>
      </c>
      <c r="L12" s="507">
        <v>1000</v>
      </c>
      <c r="M12" s="507"/>
      <c r="N12" s="509">
        <f t="shared" si="1"/>
        <v>1000</v>
      </c>
      <c r="O12" s="510">
        <f t="shared" si="2"/>
        <v>4060.56</v>
      </c>
      <c r="P12" s="511">
        <v>75453.320000000007</v>
      </c>
      <c r="Q12" s="14">
        <v>2</v>
      </c>
      <c r="R12" s="507">
        <v>1278.5999999999999</v>
      </c>
      <c r="S12" s="507">
        <v>1781.96</v>
      </c>
      <c r="T12" s="507"/>
      <c r="U12" s="507"/>
      <c r="V12" s="507"/>
      <c r="W12" s="507"/>
      <c r="X12" s="507"/>
      <c r="Y12" s="507"/>
      <c r="Z12" s="508">
        <f>SUM(R12:Y12)</f>
        <v>3060.56</v>
      </c>
      <c r="AA12" s="507">
        <v>1000</v>
      </c>
      <c r="AB12" s="507"/>
      <c r="AC12" s="509">
        <f t="shared" si="5"/>
        <v>1000</v>
      </c>
      <c r="AD12" s="510">
        <f t="shared" ref="AD12:AD17" si="9">+AC12+Z12</f>
        <v>4060.56</v>
      </c>
      <c r="AE12" s="511">
        <v>75453.320000000007</v>
      </c>
      <c r="AF12" s="513">
        <f t="shared" si="8"/>
        <v>0</v>
      </c>
      <c r="AG12" s="513">
        <f t="shared" si="8"/>
        <v>0</v>
      </c>
      <c r="AH12" s="513"/>
      <c r="AI12" s="514">
        <f t="shared" ref="AI12:AI17" si="10">AE12</f>
        <v>75453.320000000007</v>
      </c>
    </row>
    <row r="13" spans="1:35" x14ac:dyDescent="0.2">
      <c r="A13" s="14" t="s">
        <v>891</v>
      </c>
      <c r="B13" s="14">
        <v>26</v>
      </c>
      <c r="C13" s="507">
        <v>1097.51</v>
      </c>
      <c r="D13" s="507">
        <v>1486.54</v>
      </c>
      <c r="E13" s="507"/>
      <c r="F13" s="507"/>
      <c r="G13" s="507"/>
      <c r="H13" s="507"/>
      <c r="I13" s="507"/>
      <c r="J13" s="507"/>
      <c r="K13" s="508">
        <f>SUM(C13:J13)</f>
        <v>2584.0500000000002</v>
      </c>
      <c r="L13" s="507">
        <v>1000</v>
      </c>
      <c r="M13" s="507"/>
      <c r="N13" s="509">
        <f t="shared" si="1"/>
        <v>1000</v>
      </c>
      <c r="O13" s="510">
        <f t="shared" si="2"/>
        <v>3584.05</v>
      </c>
      <c r="P13" s="511">
        <v>832221.92</v>
      </c>
      <c r="Q13" s="14">
        <v>26</v>
      </c>
      <c r="R13" s="507">
        <v>1097.51</v>
      </c>
      <c r="S13" s="507">
        <v>1486.54</v>
      </c>
      <c r="T13" s="507"/>
      <c r="U13" s="507"/>
      <c r="V13" s="507"/>
      <c r="W13" s="507"/>
      <c r="X13" s="507"/>
      <c r="Y13" s="507"/>
      <c r="Z13" s="508">
        <f>SUM(R13:Y13)</f>
        <v>2584.0500000000002</v>
      </c>
      <c r="AA13" s="507">
        <v>1000</v>
      </c>
      <c r="AB13" s="507"/>
      <c r="AC13" s="509">
        <f t="shared" si="5"/>
        <v>1000</v>
      </c>
      <c r="AD13" s="510">
        <f t="shared" si="9"/>
        <v>3584.05</v>
      </c>
      <c r="AE13" s="511">
        <v>832221.92</v>
      </c>
      <c r="AF13" s="513">
        <f t="shared" si="8"/>
        <v>0</v>
      </c>
      <c r="AG13" s="513">
        <f t="shared" si="8"/>
        <v>0</v>
      </c>
      <c r="AH13" s="513"/>
      <c r="AI13" s="514">
        <f t="shared" si="10"/>
        <v>832221.92</v>
      </c>
    </row>
    <row r="14" spans="1:35" x14ac:dyDescent="0.2">
      <c r="A14" s="14" t="s">
        <v>892</v>
      </c>
      <c r="B14" s="14">
        <v>44</v>
      </c>
      <c r="C14" s="507">
        <v>1017.65</v>
      </c>
      <c r="D14" s="507">
        <v>1562.93</v>
      </c>
      <c r="E14" s="507"/>
      <c r="F14" s="507"/>
      <c r="G14" s="507"/>
      <c r="H14" s="507"/>
      <c r="I14" s="507"/>
      <c r="J14" s="507"/>
      <c r="K14" s="508">
        <f t="shared" si="0"/>
        <v>2580.58</v>
      </c>
      <c r="L14" s="507">
        <v>1000</v>
      </c>
      <c r="M14" s="507"/>
      <c r="N14" s="509">
        <f t="shared" si="1"/>
        <v>1000</v>
      </c>
      <c r="O14" s="510">
        <f t="shared" si="2"/>
        <v>3580.58</v>
      </c>
      <c r="P14" s="511">
        <v>1406547.44</v>
      </c>
      <c r="Q14" s="14">
        <v>44</v>
      </c>
      <c r="R14" s="507">
        <v>1017.65</v>
      </c>
      <c r="S14" s="507">
        <v>1562.93</v>
      </c>
      <c r="T14" s="507"/>
      <c r="U14" s="507"/>
      <c r="V14" s="507"/>
      <c r="W14" s="507"/>
      <c r="X14" s="507"/>
      <c r="Y14" s="507"/>
      <c r="Z14" s="508">
        <f t="shared" ref="Z14:Z17" si="11">SUM(R14:Y14)</f>
        <v>2580.58</v>
      </c>
      <c r="AA14" s="507">
        <v>1000</v>
      </c>
      <c r="AB14" s="507"/>
      <c r="AC14" s="509">
        <f t="shared" si="5"/>
        <v>1000</v>
      </c>
      <c r="AD14" s="510">
        <f t="shared" si="9"/>
        <v>3580.58</v>
      </c>
      <c r="AE14" s="511">
        <v>1406547.44</v>
      </c>
      <c r="AF14" s="513">
        <f t="shared" si="8"/>
        <v>0</v>
      </c>
      <c r="AG14" s="513">
        <f t="shared" si="8"/>
        <v>0</v>
      </c>
      <c r="AH14" s="513"/>
      <c r="AI14" s="514">
        <f t="shared" si="10"/>
        <v>1406547.44</v>
      </c>
    </row>
    <row r="15" spans="1:35" x14ac:dyDescent="0.2">
      <c r="A15" s="14" t="s">
        <v>893</v>
      </c>
      <c r="B15" s="14">
        <v>39</v>
      </c>
      <c r="C15" s="507">
        <v>1145.58</v>
      </c>
      <c r="D15" s="507">
        <v>1421.53</v>
      </c>
      <c r="E15" s="507"/>
      <c r="F15" s="507"/>
      <c r="G15" s="507"/>
      <c r="H15" s="507"/>
      <c r="I15" s="507"/>
      <c r="J15" s="507"/>
      <c r="K15" s="508">
        <f t="shared" si="0"/>
        <v>2567.1099999999997</v>
      </c>
      <c r="L15" s="507">
        <v>1000</v>
      </c>
      <c r="M15" s="507"/>
      <c r="N15" s="509">
        <f t="shared" si="1"/>
        <v>1000</v>
      </c>
      <c r="O15" s="510">
        <f t="shared" si="2"/>
        <v>3567.1099999999997</v>
      </c>
      <c r="P15" s="511">
        <v>1240408.92</v>
      </c>
      <c r="Q15" s="14">
        <v>39</v>
      </c>
      <c r="R15" s="507">
        <v>1145.58</v>
      </c>
      <c r="S15" s="507">
        <v>1421.53</v>
      </c>
      <c r="T15" s="507"/>
      <c r="U15" s="507"/>
      <c r="V15" s="507"/>
      <c r="W15" s="507"/>
      <c r="X15" s="507"/>
      <c r="Y15" s="507"/>
      <c r="Z15" s="508">
        <f t="shared" si="11"/>
        <v>2567.1099999999997</v>
      </c>
      <c r="AA15" s="507">
        <v>1000</v>
      </c>
      <c r="AB15" s="507"/>
      <c r="AC15" s="509">
        <f t="shared" si="5"/>
        <v>1000</v>
      </c>
      <c r="AD15" s="510">
        <f t="shared" si="9"/>
        <v>3567.1099999999997</v>
      </c>
      <c r="AE15" s="511">
        <v>1240408.92</v>
      </c>
      <c r="AF15" s="513">
        <f t="shared" si="8"/>
        <v>0</v>
      </c>
      <c r="AG15" s="513">
        <f t="shared" si="8"/>
        <v>0</v>
      </c>
      <c r="AH15" s="513"/>
      <c r="AI15" s="514">
        <f t="shared" si="10"/>
        <v>1240408.92</v>
      </c>
    </row>
    <row r="16" spans="1:35" x14ac:dyDescent="0.2">
      <c r="A16" s="14" t="s">
        <v>894</v>
      </c>
      <c r="B16" s="14">
        <v>27</v>
      </c>
      <c r="C16" s="507">
        <v>930</v>
      </c>
      <c r="D16" s="507">
        <v>1394.46</v>
      </c>
      <c r="E16" s="507"/>
      <c r="F16" s="507"/>
      <c r="G16" s="507"/>
      <c r="H16" s="507"/>
      <c r="I16" s="507"/>
      <c r="J16" s="507"/>
      <c r="K16" s="508">
        <f t="shared" si="0"/>
        <v>2324.46</v>
      </c>
      <c r="L16" s="507">
        <v>1000</v>
      </c>
      <c r="M16" s="507"/>
      <c r="N16" s="509">
        <f t="shared" si="1"/>
        <v>1000</v>
      </c>
      <c r="O16" s="510">
        <f t="shared" si="2"/>
        <v>3324.46</v>
      </c>
      <c r="P16" s="511">
        <v>779310.36</v>
      </c>
      <c r="Q16" s="14">
        <v>27</v>
      </c>
      <c r="R16" s="507">
        <v>930</v>
      </c>
      <c r="S16" s="507">
        <v>1394.46</v>
      </c>
      <c r="T16" s="507"/>
      <c r="U16" s="507"/>
      <c r="V16" s="507"/>
      <c r="W16" s="507"/>
      <c r="X16" s="507"/>
      <c r="Y16" s="507"/>
      <c r="Z16" s="508">
        <f t="shared" si="11"/>
        <v>2324.46</v>
      </c>
      <c r="AA16" s="507">
        <v>1000</v>
      </c>
      <c r="AB16" s="507"/>
      <c r="AC16" s="509">
        <f t="shared" si="5"/>
        <v>1000</v>
      </c>
      <c r="AD16" s="510">
        <f t="shared" si="9"/>
        <v>3324.46</v>
      </c>
      <c r="AE16" s="511">
        <v>779310.36</v>
      </c>
      <c r="AF16" s="513">
        <f t="shared" si="8"/>
        <v>0</v>
      </c>
      <c r="AG16" s="513">
        <f t="shared" si="8"/>
        <v>0</v>
      </c>
      <c r="AH16" s="513"/>
      <c r="AI16" s="514">
        <f t="shared" si="10"/>
        <v>779310.36</v>
      </c>
    </row>
    <row r="17" spans="1:35" x14ac:dyDescent="0.2">
      <c r="A17" s="14" t="s">
        <v>12</v>
      </c>
      <c r="B17" s="14">
        <v>60</v>
      </c>
      <c r="C17" s="507">
        <v>856.21</v>
      </c>
      <c r="D17" s="507">
        <v>1366.64</v>
      </c>
      <c r="E17" s="507"/>
      <c r="F17" s="507"/>
      <c r="G17" s="507"/>
      <c r="H17" s="507"/>
      <c r="I17" s="507"/>
      <c r="J17" s="507"/>
      <c r="K17" s="508">
        <f t="shared" si="0"/>
        <v>2222.8500000000004</v>
      </c>
      <c r="L17" s="507">
        <v>1000</v>
      </c>
      <c r="M17" s="507"/>
      <c r="N17" s="509">
        <f t="shared" si="1"/>
        <v>1000</v>
      </c>
      <c r="O17" s="510">
        <f t="shared" si="2"/>
        <v>3222.8500000000004</v>
      </c>
      <c r="P17" s="511">
        <v>1660450.92</v>
      </c>
      <c r="Q17" s="14">
        <v>60</v>
      </c>
      <c r="R17" s="507">
        <v>856.21</v>
      </c>
      <c r="S17" s="507">
        <v>1366.64</v>
      </c>
      <c r="T17" s="507"/>
      <c r="U17" s="507"/>
      <c r="V17" s="507"/>
      <c r="W17" s="507"/>
      <c r="X17" s="507"/>
      <c r="Y17" s="507"/>
      <c r="Z17" s="508">
        <f t="shared" si="11"/>
        <v>2222.8500000000004</v>
      </c>
      <c r="AA17" s="507">
        <v>1000</v>
      </c>
      <c r="AB17" s="507"/>
      <c r="AC17" s="509">
        <f t="shared" si="5"/>
        <v>1000</v>
      </c>
      <c r="AD17" s="510">
        <f t="shared" si="9"/>
        <v>3222.8500000000004</v>
      </c>
      <c r="AE17" s="511">
        <v>1660450.92</v>
      </c>
      <c r="AF17" s="513">
        <f t="shared" si="8"/>
        <v>0</v>
      </c>
      <c r="AG17" s="513">
        <f t="shared" si="8"/>
        <v>0</v>
      </c>
      <c r="AH17" s="513"/>
      <c r="AI17" s="514">
        <f t="shared" si="10"/>
        <v>1660450.92</v>
      </c>
    </row>
    <row r="18" spans="1:35" x14ac:dyDescent="0.2">
      <c r="A18" s="14"/>
      <c r="B18" s="14"/>
      <c r="C18" s="10"/>
      <c r="D18" s="10"/>
      <c r="E18" s="10"/>
      <c r="F18" s="10"/>
      <c r="G18" s="10"/>
      <c r="H18" s="10"/>
      <c r="I18" s="10"/>
      <c r="J18" s="10"/>
      <c r="K18" s="10"/>
      <c r="L18" s="10"/>
      <c r="M18" s="10"/>
      <c r="O18" s="45"/>
      <c r="P18" s="15"/>
      <c r="Q18" s="14"/>
      <c r="R18" s="10"/>
      <c r="S18" s="10"/>
      <c r="T18" s="10"/>
      <c r="U18" s="10"/>
      <c r="V18" s="10"/>
      <c r="W18" s="10"/>
      <c r="X18" s="10"/>
      <c r="Y18" s="10"/>
      <c r="Z18" s="10"/>
      <c r="AA18" s="10"/>
      <c r="AB18" s="10"/>
      <c r="AD18" s="45"/>
      <c r="AE18" s="15"/>
      <c r="AF18" s="15"/>
      <c r="AG18" s="14"/>
      <c r="AH18" s="15"/>
      <c r="AI18" s="14"/>
    </row>
    <row r="19" spans="1:35" x14ac:dyDescent="0.2">
      <c r="A19" s="14" t="s">
        <v>4</v>
      </c>
      <c r="B19" s="14"/>
      <c r="C19" s="10"/>
      <c r="D19" s="10"/>
      <c r="E19" s="10"/>
      <c r="F19" s="507"/>
      <c r="G19" s="10"/>
      <c r="H19" s="10"/>
      <c r="I19" s="10"/>
      <c r="J19" s="10"/>
      <c r="K19" s="10"/>
      <c r="L19" s="10"/>
      <c r="M19" s="10"/>
      <c r="O19" s="45"/>
      <c r="P19" s="15"/>
      <c r="Q19" s="14"/>
      <c r="R19" s="10"/>
      <c r="S19" s="10"/>
      <c r="T19" s="10"/>
      <c r="U19" s="507"/>
      <c r="V19" s="10"/>
      <c r="W19" s="10"/>
      <c r="X19" s="10"/>
      <c r="Y19" s="10"/>
      <c r="Z19" s="10"/>
      <c r="AA19" s="10"/>
      <c r="AB19" s="10"/>
      <c r="AD19" s="45"/>
      <c r="AE19" s="15"/>
      <c r="AF19" s="15"/>
      <c r="AG19" s="14"/>
      <c r="AH19" s="15"/>
      <c r="AI19" s="14"/>
    </row>
    <row r="20" spans="1:35" x14ac:dyDescent="0.2">
      <c r="A20" s="14" t="s">
        <v>13</v>
      </c>
      <c r="B20" s="14">
        <v>19</v>
      </c>
      <c r="C20" s="10">
        <v>991.68</v>
      </c>
      <c r="D20" s="10">
        <v>1284.48</v>
      </c>
      <c r="E20" s="10"/>
      <c r="F20" s="10"/>
      <c r="G20" s="10"/>
      <c r="H20" s="10"/>
      <c r="I20" s="10"/>
      <c r="J20" s="10"/>
      <c r="K20" s="515">
        <f t="shared" ref="K20:K25" si="12">SUM(C20:J20)</f>
        <v>2276.16</v>
      </c>
      <c r="L20" s="10">
        <v>1000</v>
      </c>
      <c r="M20" s="10"/>
      <c r="N20" s="13">
        <f t="shared" ref="N20:N25" si="13">L20+M20</f>
        <v>1000</v>
      </c>
      <c r="O20" s="510">
        <f t="shared" ref="O20:O25" si="14">+N20+K20</f>
        <v>3276.16</v>
      </c>
      <c r="P20" s="511">
        <v>537963.4</v>
      </c>
      <c r="Q20" s="14">
        <v>19</v>
      </c>
      <c r="R20" s="10">
        <v>991.68</v>
      </c>
      <c r="S20" s="10">
        <v>1284.48</v>
      </c>
      <c r="T20" s="10"/>
      <c r="U20" s="10"/>
      <c r="V20" s="10"/>
      <c r="W20" s="10"/>
      <c r="X20" s="10"/>
      <c r="Y20" s="10"/>
      <c r="Z20" s="515">
        <f t="shared" ref="Z20:Z25" si="15">SUM(R20:Y20)</f>
        <v>2276.16</v>
      </c>
      <c r="AA20" s="10">
        <v>1000</v>
      </c>
      <c r="AB20" s="10"/>
      <c r="AC20" s="13">
        <f t="shared" ref="AC20:AC25" si="16">AA20+AB20</f>
        <v>1000</v>
      </c>
      <c r="AD20" s="510">
        <f t="shared" ref="AD20:AD25" si="17">+AC20+Z20</f>
        <v>3276.16</v>
      </c>
      <c r="AE20" s="511">
        <v>537963.4</v>
      </c>
      <c r="AF20" s="513">
        <f t="shared" ref="AF20:AG25" si="18">AD20-O20</f>
        <v>0</v>
      </c>
      <c r="AG20" s="513">
        <f t="shared" si="18"/>
        <v>0</v>
      </c>
      <c r="AH20" s="15"/>
      <c r="AI20" s="511">
        <v>537963.4</v>
      </c>
    </row>
    <row r="21" spans="1:35" x14ac:dyDescent="0.2">
      <c r="A21" s="14" t="s">
        <v>895</v>
      </c>
      <c r="B21" s="14">
        <v>4</v>
      </c>
      <c r="C21" s="10">
        <v>801.18999999999983</v>
      </c>
      <c r="D21" s="10">
        <v>840.23</v>
      </c>
      <c r="E21" s="10"/>
      <c r="F21" s="10"/>
      <c r="G21" s="10"/>
      <c r="H21" s="10"/>
      <c r="I21" s="10"/>
      <c r="J21" s="10"/>
      <c r="K21" s="515">
        <f t="shared" si="12"/>
        <v>1641.4199999999998</v>
      </c>
      <c r="L21" s="10">
        <v>1000</v>
      </c>
      <c r="M21" s="10"/>
      <c r="N21" s="13">
        <f t="shared" si="13"/>
        <v>1000</v>
      </c>
      <c r="O21" s="510">
        <f t="shared" si="14"/>
        <v>2641.42</v>
      </c>
      <c r="P21" s="511">
        <v>103371.16</v>
      </c>
      <c r="Q21" s="14">
        <v>4</v>
      </c>
      <c r="R21" s="10">
        <v>801.18999999999983</v>
      </c>
      <c r="S21" s="10">
        <v>840.23</v>
      </c>
      <c r="T21" s="10"/>
      <c r="U21" s="10"/>
      <c r="V21" s="10"/>
      <c r="W21" s="10"/>
      <c r="X21" s="10"/>
      <c r="Y21" s="10"/>
      <c r="Z21" s="515">
        <f t="shared" si="15"/>
        <v>1641.4199999999998</v>
      </c>
      <c r="AA21" s="10">
        <v>1000</v>
      </c>
      <c r="AB21" s="10"/>
      <c r="AC21" s="13">
        <f t="shared" si="16"/>
        <v>1000</v>
      </c>
      <c r="AD21" s="510">
        <f t="shared" si="17"/>
        <v>2641.42</v>
      </c>
      <c r="AE21" s="511">
        <v>103371.16</v>
      </c>
      <c r="AF21" s="513">
        <f t="shared" si="18"/>
        <v>0</v>
      </c>
      <c r="AG21" s="513">
        <f t="shared" si="18"/>
        <v>0</v>
      </c>
      <c r="AH21" s="15"/>
      <c r="AI21" s="511">
        <v>103371.16</v>
      </c>
    </row>
    <row r="22" spans="1:35" x14ac:dyDescent="0.2">
      <c r="A22" s="14" t="s">
        <v>896</v>
      </c>
      <c r="B22" s="14">
        <v>9</v>
      </c>
      <c r="C22" s="10">
        <v>886.08</v>
      </c>
      <c r="D22" s="10">
        <v>1295.8399999999999</v>
      </c>
      <c r="E22" s="10"/>
      <c r="F22" s="10"/>
      <c r="G22" s="10"/>
      <c r="H22" s="10"/>
      <c r="I22" s="10"/>
      <c r="J22" s="10"/>
      <c r="K22" s="515">
        <f t="shared" si="12"/>
        <v>2181.92</v>
      </c>
      <c r="L22" s="10">
        <v>1000</v>
      </c>
      <c r="M22" s="10"/>
      <c r="N22" s="13">
        <f t="shared" si="13"/>
        <v>1000</v>
      </c>
      <c r="O22" s="510">
        <f t="shared" si="14"/>
        <v>3181.92</v>
      </c>
      <c r="P22" s="511">
        <v>244646.76</v>
      </c>
      <c r="Q22" s="14">
        <v>9</v>
      </c>
      <c r="R22" s="10">
        <v>886.08</v>
      </c>
      <c r="S22" s="10">
        <v>1295.8399999999999</v>
      </c>
      <c r="T22" s="10"/>
      <c r="U22" s="10"/>
      <c r="V22" s="10"/>
      <c r="W22" s="10"/>
      <c r="X22" s="10"/>
      <c r="Y22" s="10"/>
      <c r="Z22" s="515">
        <f t="shared" si="15"/>
        <v>2181.92</v>
      </c>
      <c r="AA22" s="10">
        <v>1000</v>
      </c>
      <c r="AB22" s="10"/>
      <c r="AC22" s="13">
        <f t="shared" si="16"/>
        <v>1000</v>
      </c>
      <c r="AD22" s="510">
        <f t="shared" si="17"/>
        <v>3181.92</v>
      </c>
      <c r="AE22" s="511">
        <v>244646.76</v>
      </c>
      <c r="AF22" s="513">
        <f t="shared" si="18"/>
        <v>0</v>
      </c>
      <c r="AG22" s="513">
        <f t="shared" si="18"/>
        <v>0</v>
      </c>
      <c r="AH22" s="15"/>
      <c r="AI22" s="511">
        <v>244646.76</v>
      </c>
    </row>
    <row r="23" spans="1:35" x14ac:dyDescent="0.2">
      <c r="A23" s="14" t="s">
        <v>897</v>
      </c>
      <c r="B23" s="14">
        <v>34</v>
      </c>
      <c r="C23" s="10">
        <v>998.69</v>
      </c>
      <c r="D23" s="10">
        <v>1238.71</v>
      </c>
      <c r="E23" s="10"/>
      <c r="F23" s="10"/>
      <c r="G23" s="10"/>
      <c r="H23" s="10"/>
      <c r="I23" s="10"/>
      <c r="J23" s="10"/>
      <c r="K23" s="515">
        <f t="shared" si="12"/>
        <v>2237.4</v>
      </c>
      <c r="L23" s="10">
        <v>1000</v>
      </c>
      <c r="M23" s="10"/>
      <c r="N23" s="13">
        <f t="shared" si="13"/>
        <v>1000</v>
      </c>
      <c r="O23" s="510">
        <f t="shared" si="14"/>
        <v>3237.4</v>
      </c>
      <c r="P23" s="511">
        <v>946860.76</v>
      </c>
      <c r="Q23" s="14">
        <v>34</v>
      </c>
      <c r="R23" s="10">
        <v>998.69</v>
      </c>
      <c r="S23" s="10">
        <v>1238.71</v>
      </c>
      <c r="T23" s="10"/>
      <c r="U23" s="10"/>
      <c r="V23" s="10"/>
      <c r="W23" s="10"/>
      <c r="X23" s="10"/>
      <c r="Y23" s="10"/>
      <c r="Z23" s="515">
        <f t="shared" si="15"/>
        <v>2237.4</v>
      </c>
      <c r="AA23" s="10">
        <v>1000</v>
      </c>
      <c r="AB23" s="10"/>
      <c r="AC23" s="13">
        <f t="shared" si="16"/>
        <v>1000</v>
      </c>
      <c r="AD23" s="510">
        <f t="shared" si="17"/>
        <v>3237.4</v>
      </c>
      <c r="AE23" s="511">
        <v>946860.76</v>
      </c>
      <c r="AF23" s="513">
        <f t="shared" si="18"/>
        <v>0</v>
      </c>
      <c r="AG23" s="513">
        <f t="shared" si="18"/>
        <v>0</v>
      </c>
      <c r="AH23" s="15"/>
      <c r="AI23" s="511">
        <v>946860.76</v>
      </c>
    </row>
    <row r="24" spans="1:35" x14ac:dyDescent="0.2">
      <c r="A24" s="14" t="s">
        <v>14</v>
      </c>
      <c r="B24" s="14">
        <v>23</v>
      </c>
      <c r="C24" s="10">
        <v>1017.26</v>
      </c>
      <c r="D24" s="10">
        <v>1236</v>
      </c>
      <c r="E24" s="10"/>
      <c r="F24" s="10"/>
      <c r="G24" s="10"/>
      <c r="H24" s="10"/>
      <c r="I24" s="10"/>
      <c r="J24" s="10"/>
      <c r="K24" s="515">
        <f t="shared" si="12"/>
        <v>2253.2600000000002</v>
      </c>
      <c r="L24" s="10">
        <v>1000</v>
      </c>
      <c r="M24" s="10"/>
      <c r="N24" s="13">
        <f t="shared" si="13"/>
        <v>1000</v>
      </c>
      <c r="O24" s="510">
        <f t="shared" si="14"/>
        <v>3253.26</v>
      </c>
      <c r="P24" s="511">
        <v>644900.36</v>
      </c>
      <c r="Q24" s="14">
        <v>23</v>
      </c>
      <c r="R24" s="10">
        <v>1017.26</v>
      </c>
      <c r="S24" s="10">
        <v>1236</v>
      </c>
      <c r="T24" s="10"/>
      <c r="U24" s="10"/>
      <c r="V24" s="10"/>
      <c r="W24" s="10"/>
      <c r="X24" s="10"/>
      <c r="Y24" s="10"/>
      <c r="Z24" s="515">
        <f t="shared" si="15"/>
        <v>2253.2600000000002</v>
      </c>
      <c r="AA24" s="10">
        <v>1000</v>
      </c>
      <c r="AB24" s="10"/>
      <c r="AC24" s="13">
        <f t="shared" si="16"/>
        <v>1000</v>
      </c>
      <c r="AD24" s="510">
        <f t="shared" si="17"/>
        <v>3253.26</v>
      </c>
      <c r="AE24" s="511">
        <v>644900.36</v>
      </c>
      <c r="AF24" s="513">
        <f t="shared" si="18"/>
        <v>0</v>
      </c>
      <c r="AG24" s="513">
        <f t="shared" si="18"/>
        <v>0</v>
      </c>
      <c r="AH24" s="15"/>
      <c r="AI24" s="511">
        <v>644900.36</v>
      </c>
    </row>
    <row r="25" spans="1:35" x14ac:dyDescent="0.2">
      <c r="A25" s="14" t="s">
        <v>898</v>
      </c>
      <c r="B25" s="14">
        <v>7</v>
      </c>
      <c r="C25" s="10">
        <v>991.16</v>
      </c>
      <c r="D25" s="10">
        <v>1252.6099999999999</v>
      </c>
      <c r="E25" s="10"/>
      <c r="F25" s="10"/>
      <c r="G25" s="10"/>
      <c r="H25" s="10"/>
      <c r="I25" s="10"/>
      <c r="J25" s="10"/>
      <c r="K25" s="515">
        <f t="shared" si="12"/>
        <v>2243.77</v>
      </c>
      <c r="L25" s="10">
        <v>1000</v>
      </c>
      <c r="M25" s="10"/>
      <c r="N25" s="13">
        <f t="shared" si="13"/>
        <v>1000</v>
      </c>
      <c r="O25" s="510">
        <f t="shared" si="14"/>
        <v>3243.77</v>
      </c>
      <c r="P25" s="516">
        <v>195476.68</v>
      </c>
      <c r="Q25" s="14">
        <v>7</v>
      </c>
      <c r="R25" s="10">
        <v>991.16</v>
      </c>
      <c r="S25" s="10">
        <v>1252.6099999999999</v>
      </c>
      <c r="T25" s="10"/>
      <c r="U25" s="10"/>
      <c r="V25" s="10"/>
      <c r="W25" s="10"/>
      <c r="X25" s="10"/>
      <c r="Y25" s="10"/>
      <c r="Z25" s="515">
        <f t="shared" si="15"/>
        <v>2243.77</v>
      </c>
      <c r="AA25" s="10">
        <v>1000</v>
      </c>
      <c r="AB25" s="10"/>
      <c r="AC25" s="13">
        <f t="shared" si="16"/>
        <v>1000</v>
      </c>
      <c r="AD25" s="510">
        <f t="shared" si="17"/>
        <v>3243.77</v>
      </c>
      <c r="AE25" s="516">
        <v>195476.68</v>
      </c>
      <c r="AF25" s="513">
        <f t="shared" si="18"/>
        <v>0</v>
      </c>
      <c r="AG25" s="513">
        <f t="shared" si="18"/>
        <v>0</v>
      </c>
      <c r="AH25" s="15"/>
      <c r="AI25" s="516">
        <v>195476.68</v>
      </c>
    </row>
    <row r="26" spans="1:35" x14ac:dyDescent="0.2">
      <c r="A26" s="14"/>
      <c r="B26" s="14"/>
      <c r="C26" s="10"/>
      <c r="D26" s="10"/>
      <c r="E26" s="10"/>
      <c r="F26" s="10"/>
      <c r="G26" s="10"/>
      <c r="H26" s="10"/>
      <c r="I26" s="10"/>
      <c r="J26" s="10"/>
      <c r="K26" s="10"/>
      <c r="L26" s="10"/>
      <c r="M26" s="10"/>
      <c r="O26" s="45"/>
      <c r="P26" s="15"/>
      <c r="Q26" s="14"/>
      <c r="R26" s="10"/>
      <c r="S26" s="10"/>
      <c r="T26" s="10"/>
      <c r="U26" s="10"/>
      <c r="V26" s="10"/>
      <c r="W26" s="10"/>
      <c r="X26" s="10"/>
      <c r="Y26" s="10"/>
      <c r="Z26" s="10"/>
      <c r="AA26" s="10"/>
      <c r="AB26" s="10"/>
      <c r="AD26" s="45"/>
      <c r="AE26" s="15"/>
      <c r="AF26" s="15"/>
      <c r="AG26" s="14"/>
      <c r="AH26" s="15"/>
      <c r="AI26" s="15"/>
    </row>
    <row r="27" spans="1:35" x14ac:dyDescent="0.2">
      <c r="A27" s="14" t="s">
        <v>5</v>
      </c>
      <c r="B27" s="14"/>
      <c r="C27" s="10"/>
      <c r="D27" s="10"/>
      <c r="E27" s="10"/>
      <c r="F27" s="10"/>
      <c r="G27" s="10"/>
      <c r="H27" s="10"/>
      <c r="I27" s="10"/>
      <c r="J27" s="10"/>
      <c r="K27" s="10"/>
      <c r="L27" s="10"/>
      <c r="M27" s="10"/>
      <c r="O27" s="45"/>
      <c r="P27" s="15"/>
      <c r="Q27" s="14"/>
      <c r="R27" s="10"/>
      <c r="S27" s="10"/>
      <c r="T27" s="10"/>
      <c r="U27" s="10"/>
      <c r="V27" s="10"/>
      <c r="W27" s="10"/>
      <c r="X27" s="10"/>
      <c r="Y27" s="10"/>
      <c r="Z27" s="10"/>
      <c r="AA27" s="10"/>
      <c r="AB27" s="10"/>
      <c r="AD27" s="45"/>
      <c r="AE27" s="15"/>
      <c r="AF27" s="15"/>
      <c r="AG27" s="14"/>
      <c r="AH27" s="15"/>
      <c r="AI27" s="15"/>
    </row>
    <row r="28" spans="1:35" x14ac:dyDescent="0.2">
      <c r="A28" s="14" t="s">
        <v>15</v>
      </c>
      <c r="B28" s="14">
        <v>130</v>
      </c>
      <c r="C28" s="10">
        <v>791.46</v>
      </c>
      <c r="D28" s="10">
        <v>1243.78</v>
      </c>
      <c r="E28" s="10"/>
      <c r="F28" s="10"/>
      <c r="G28" s="10"/>
      <c r="H28" s="10"/>
      <c r="I28" s="10"/>
      <c r="J28" s="10"/>
      <c r="K28" s="515">
        <f t="shared" ref="K28:K32" si="19">SUM(C28:J28)</f>
        <v>2035.24</v>
      </c>
      <c r="L28" s="10">
        <v>1000</v>
      </c>
      <c r="M28" s="10"/>
      <c r="N28" s="13">
        <f t="shared" ref="N28:N33" si="20">L28+M28</f>
        <v>1000</v>
      </c>
      <c r="O28" s="517">
        <f t="shared" ref="O28:O33" si="21">(K28*12)+N28</f>
        <v>25422.880000000001</v>
      </c>
      <c r="P28" s="516">
        <v>3304974.64</v>
      </c>
      <c r="Q28" s="14">
        <v>130</v>
      </c>
      <c r="R28" s="10">
        <v>791.46</v>
      </c>
      <c r="S28" s="10">
        <v>1243.78</v>
      </c>
      <c r="T28" s="10"/>
      <c r="U28" s="10"/>
      <c r="V28" s="10"/>
      <c r="W28" s="10"/>
      <c r="X28" s="10"/>
      <c r="Y28" s="10"/>
      <c r="Z28" s="515">
        <f t="shared" ref="Z28:Z33" si="22">SUM(R28:Y28)</f>
        <v>2035.24</v>
      </c>
      <c r="AA28" s="10">
        <v>1000</v>
      </c>
      <c r="AB28" s="10"/>
      <c r="AC28" s="13">
        <f t="shared" ref="AC28:AC33" si="23">AA28+AB28</f>
        <v>1000</v>
      </c>
      <c r="AD28" s="517">
        <f t="shared" ref="AD28:AD33" si="24">(Z28*12)+AC28</f>
        <v>25422.880000000001</v>
      </c>
      <c r="AE28" s="516">
        <v>3304974.64</v>
      </c>
      <c r="AF28" s="513">
        <f t="shared" ref="AF28:AG33" si="25">AD28-O28</f>
        <v>0</v>
      </c>
      <c r="AG28" s="513">
        <f t="shared" si="25"/>
        <v>0</v>
      </c>
      <c r="AH28" s="15"/>
      <c r="AI28" s="516">
        <v>3304974.64</v>
      </c>
    </row>
    <row r="29" spans="1:35" x14ac:dyDescent="0.2">
      <c r="A29" s="14" t="s">
        <v>899</v>
      </c>
      <c r="B29" s="14">
        <v>53</v>
      </c>
      <c r="C29" s="10">
        <v>840.48</v>
      </c>
      <c r="D29" s="10">
        <v>1210.45</v>
      </c>
      <c r="E29" s="10"/>
      <c r="F29" s="10"/>
      <c r="G29" s="10"/>
      <c r="H29" s="10"/>
      <c r="I29" s="10"/>
      <c r="J29" s="10"/>
      <c r="K29" s="515">
        <f t="shared" si="19"/>
        <v>2050.9300000000003</v>
      </c>
      <c r="L29" s="10">
        <v>1000</v>
      </c>
      <c r="M29" s="10"/>
      <c r="N29" s="13">
        <f t="shared" si="20"/>
        <v>1000</v>
      </c>
      <c r="O29" s="517">
        <f t="shared" si="21"/>
        <v>25611.160000000003</v>
      </c>
      <c r="P29" s="516">
        <v>1357391.12</v>
      </c>
      <c r="Q29" s="14">
        <v>53</v>
      </c>
      <c r="R29" s="10">
        <v>840.48</v>
      </c>
      <c r="S29" s="10">
        <v>1210.45</v>
      </c>
      <c r="T29" s="10"/>
      <c r="U29" s="10"/>
      <c r="V29" s="10"/>
      <c r="W29" s="10"/>
      <c r="X29" s="10"/>
      <c r="Y29" s="10"/>
      <c r="Z29" s="515">
        <f t="shared" si="22"/>
        <v>2050.9300000000003</v>
      </c>
      <c r="AA29" s="10">
        <v>1000</v>
      </c>
      <c r="AB29" s="10"/>
      <c r="AC29" s="13">
        <f t="shared" si="23"/>
        <v>1000</v>
      </c>
      <c r="AD29" s="517">
        <f t="shared" si="24"/>
        <v>25611.160000000003</v>
      </c>
      <c r="AE29" s="516">
        <v>1357391.12</v>
      </c>
      <c r="AF29" s="513">
        <f t="shared" si="25"/>
        <v>0</v>
      </c>
      <c r="AG29" s="513">
        <f t="shared" si="25"/>
        <v>0</v>
      </c>
      <c r="AH29" s="15"/>
      <c r="AI29" s="516">
        <v>1357391.12</v>
      </c>
    </row>
    <row r="30" spans="1:35" x14ac:dyDescent="0.2">
      <c r="A30" s="14" t="s">
        <v>900</v>
      </c>
      <c r="B30" s="14">
        <v>56</v>
      </c>
      <c r="C30" s="10">
        <v>868.5</v>
      </c>
      <c r="D30" s="10">
        <v>1193.28</v>
      </c>
      <c r="E30" s="10"/>
      <c r="F30" s="10"/>
      <c r="G30" s="10"/>
      <c r="H30" s="10"/>
      <c r="I30" s="10"/>
      <c r="J30" s="10"/>
      <c r="K30" s="515">
        <f t="shared" si="19"/>
        <v>2061.7799999999997</v>
      </c>
      <c r="L30" s="10">
        <v>1000</v>
      </c>
      <c r="M30" s="10"/>
      <c r="N30" s="13">
        <f t="shared" si="20"/>
        <v>1000</v>
      </c>
      <c r="O30" s="517">
        <f t="shared" si="21"/>
        <v>25741.359999999997</v>
      </c>
      <c r="P30" s="516">
        <v>1441520.12</v>
      </c>
      <c r="Q30" s="14">
        <v>56</v>
      </c>
      <c r="R30" s="10">
        <v>868.5</v>
      </c>
      <c r="S30" s="10">
        <v>1193.28</v>
      </c>
      <c r="T30" s="10"/>
      <c r="U30" s="10"/>
      <c r="V30" s="10"/>
      <c r="W30" s="10"/>
      <c r="X30" s="10"/>
      <c r="Y30" s="10"/>
      <c r="Z30" s="515">
        <f t="shared" si="22"/>
        <v>2061.7799999999997</v>
      </c>
      <c r="AA30" s="10">
        <v>1000</v>
      </c>
      <c r="AB30" s="10"/>
      <c r="AC30" s="13">
        <f t="shared" si="23"/>
        <v>1000</v>
      </c>
      <c r="AD30" s="517">
        <f t="shared" si="24"/>
        <v>25741.359999999997</v>
      </c>
      <c r="AE30" s="516">
        <v>1441520.12</v>
      </c>
      <c r="AF30" s="513">
        <f t="shared" si="25"/>
        <v>0</v>
      </c>
      <c r="AG30" s="513">
        <f t="shared" si="25"/>
        <v>0</v>
      </c>
      <c r="AH30" s="15"/>
      <c r="AI30" s="516">
        <v>1441520.12</v>
      </c>
    </row>
    <row r="31" spans="1:35" x14ac:dyDescent="0.2">
      <c r="A31" s="14" t="s">
        <v>901</v>
      </c>
      <c r="B31" s="14">
        <v>24</v>
      </c>
      <c r="C31" s="10">
        <v>928.09</v>
      </c>
      <c r="D31" s="10">
        <v>1193.03</v>
      </c>
      <c r="E31" s="10"/>
      <c r="F31" s="10"/>
      <c r="G31" s="10"/>
      <c r="H31" s="10"/>
      <c r="I31" s="10"/>
      <c r="J31" s="10"/>
      <c r="K31" s="515">
        <f t="shared" si="19"/>
        <v>2121.12</v>
      </c>
      <c r="L31" s="10">
        <v>1000</v>
      </c>
      <c r="M31" s="10"/>
      <c r="N31" s="13">
        <f t="shared" si="20"/>
        <v>1000</v>
      </c>
      <c r="O31" s="517">
        <f t="shared" si="21"/>
        <v>26453.439999999999</v>
      </c>
      <c r="P31" s="516">
        <v>634883.28</v>
      </c>
      <c r="Q31" s="14">
        <v>24</v>
      </c>
      <c r="R31" s="10">
        <v>928.09</v>
      </c>
      <c r="S31" s="10">
        <v>1193.03</v>
      </c>
      <c r="T31" s="10"/>
      <c r="U31" s="10"/>
      <c r="V31" s="10"/>
      <c r="W31" s="10"/>
      <c r="X31" s="10"/>
      <c r="Y31" s="10"/>
      <c r="Z31" s="515">
        <f t="shared" si="22"/>
        <v>2121.12</v>
      </c>
      <c r="AA31" s="10">
        <v>1000</v>
      </c>
      <c r="AB31" s="10"/>
      <c r="AC31" s="13">
        <f t="shared" si="23"/>
        <v>1000</v>
      </c>
      <c r="AD31" s="517">
        <f t="shared" si="24"/>
        <v>26453.439999999999</v>
      </c>
      <c r="AE31" s="516">
        <v>634883.28</v>
      </c>
      <c r="AF31" s="513">
        <f t="shared" si="25"/>
        <v>0</v>
      </c>
      <c r="AG31" s="513">
        <f t="shared" si="25"/>
        <v>0</v>
      </c>
      <c r="AH31" s="15"/>
      <c r="AI31" s="516">
        <v>634883.28</v>
      </c>
    </row>
    <row r="32" spans="1:35" x14ac:dyDescent="0.2">
      <c r="A32" s="14" t="s">
        <v>16</v>
      </c>
      <c r="B32" s="14">
        <v>45</v>
      </c>
      <c r="C32" s="10">
        <v>946.04</v>
      </c>
      <c r="D32" s="10">
        <v>1170</v>
      </c>
      <c r="E32" s="10"/>
      <c r="F32" s="10"/>
      <c r="G32" s="10"/>
      <c r="H32" s="10"/>
      <c r="I32" s="10"/>
      <c r="J32" s="10"/>
      <c r="K32" s="515">
        <f t="shared" si="19"/>
        <v>2116.04</v>
      </c>
      <c r="L32" s="10">
        <v>1000</v>
      </c>
      <c r="M32" s="10"/>
      <c r="N32" s="13">
        <f t="shared" si="20"/>
        <v>1000</v>
      </c>
      <c r="O32" s="517">
        <f t="shared" si="21"/>
        <v>26392.48</v>
      </c>
      <c r="P32" s="516">
        <v>1187661.6000000001</v>
      </c>
      <c r="Q32" s="14">
        <v>45</v>
      </c>
      <c r="R32" s="10">
        <v>946.04</v>
      </c>
      <c r="S32" s="10">
        <v>1170</v>
      </c>
      <c r="T32" s="10"/>
      <c r="U32" s="10"/>
      <c r="V32" s="10"/>
      <c r="W32" s="10"/>
      <c r="X32" s="10"/>
      <c r="Y32" s="10"/>
      <c r="Z32" s="515">
        <f t="shared" si="22"/>
        <v>2116.04</v>
      </c>
      <c r="AA32" s="10">
        <v>1000</v>
      </c>
      <c r="AB32" s="10"/>
      <c r="AC32" s="13">
        <f t="shared" si="23"/>
        <v>1000</v>
      </c>
      <c r="AD32" s="517">
        <f t="shared" si="24"/>
        <v>26392.48</v>
      </c>
      <c r="AE32" s="516">
        <v>1187661.6000000001</v>
      </c>
      <c r="AF32" s="513">
        <f t="shared" si="25"/>
        <v>0</v>
      </c>
      <c r="AG32" s="513">
        <f t="shared" si="25"/>
        <v>0</v>
      </c>
      <c r="AH32" s="15"/>
      <c r="AI32" s="516">
        <v>1187661.6000000001</v>
      </c>
    </row>
    <row r="33" spans="1:35" x14ac:dyDescent="0.2">
      <c r="A33" s="14" t="s">
        <v>902</v>
      </c>
      <c r="B33" s="14">
        <v>2</v>
      </c>
      <c r="C33" s="10">
        <v>786.54</v>
      </c>
      <c r="D33" s="10">
        <v>1170</v>
      </c>
      <c r="E33" s="10"/>
      <c r="F33" s="10"/>
      <c r="G33" s="10"/>
      <c r="H33" s="10"/>
      <c r="I33" s="10"/>
      <c r="J33" s="10"/>
      <c r="K33" s="515">
        <f t="shared" ref="K33" si="26">SUM(C33:J33)</f>
        <v>1956.54</v>
      </c>
      <c r="L33" s="10">
        <v>1000</v>
      </c>
      <c r="M33" s="10"/>
      <c r="N33" s="13">
        <f t="shared" si="20"/>
        <v>1000</v>
      </c>
      <c r="O33" s="517">
        <f t="shared" si="21"/>
        <v>24478.48</v>
      </c>
      <c r="P33" s="516">
        <v>48956.959999999999</v>
      </c>
      <c r="Q33" s="14">
        <v>2</v>
      </c>
      <c r="R33" s="10">
        <v>786.54</v>
      </c>
      <c r="S33" s="10">
        <v>1170</v>
      </c>
      <c r="T33" s="10"/>
      <c r="U33" s="10"/>
      <c r="V33" s="10"/>
      <c r="W33" s="10"/>
      <c r="X33" s="10"/>
      <c r="Y33" s="10"/>
      <c r="Z33" s="515">
        <f t="shared" si="22"/>
        <v>1956.54</v>
      </c>
      <c r="AA33" s="10">
        <v>1000</v>
      </c>
      <c r="AB33" s="10"/>
      <c r="AC33" s="13">
        <f t="shared" si="23"/>
        <v>1000</v>
      </c>
      <c r="AD33" s="517">
        <f t="shared" si="24"/>
        <v>24478.48</v>
      </c>
      <c r="AE33" s="516">
        <v>48956.959999999999</v>
      </c>
      <c r="AF33" s="513">
        <f t="shared" si="25"/>
        <v>0</v>
      </c>
      <c r="AG33" s="513">
        <f t="shared" si="25"/>
        <v>0</v>
      </c>
      <c r="AH33" s="15"/>
      <c r="AI33" s="516">
        <v>48956.959999999999</v>
      </c>
    </row>
    <row r="34" spans="1:35" x14ac:dyDescent="0.2">
      <c r="A34" s="14"/>
      <c r="B34" s="14"/>
      <c r="C34" s="10"/>
      <c r="D34" s="10"/>
      <c r="E34" s="10"/>
      <c r="F34" s="10"/>
      <c r="G34" s="10"/>
      <c r="H34" s="10"/>
      <c r="I34" s="10"/>
      <c r="J34" s="10"/>
      <c r="K34" s="515"/>
      <c r="L34" s="10"/>
      <c r="M34" s="10"/>
      <c r="N34" s="13"/>
      <c r="O34" s="517"/>
      <c r="P34" s="516"/>
      <c r="Q34" s="14"/>
      <c r="R34" s="10"/>
      <c r="S34" s="10"/>
      <c r="T34" s="10"/>
      <c r="U34" s="10"/>
      <c r="V34" s="10"/>
      <c r="W34" s="10"/>
      <c r="X34" s="10"/>
      <c r="Y34" s="10"/>
      <c r="Z34" s="515"/>
      <c r="AA34" s="10"/>
      <c r="AB34" s="10"/>
      <c r="AC34" s="13"/>
      <c r="AD34" s="517"/>
      <c r="AE34" s="516"/>
      <c r="AF34" s="15"/>
      <c r="AG34" s="14"/>
      <c r="AH34" s="15"/>
      <c r="AI34" s="516"/>
    </row>
    <row r="35" spans="1:35" x14ac:dyDescent="0.2">
      <c r="A35" s="14" t="s">
        <v>6</v>
      </c>
      <c r="B35" s="14"/>
      <c r="C35" s="10"/>
      <c r="D35" s="10"/>
      <c r="E35" s="10"/>
      <c r="F35" s="10"/>
      <c r="G35" s="10"/>
      <c r="H35" s="10"/>
      <c r="I35" s="10"/>
      <c r="J35" s="10"/>
      <c r="K35" s="10"/>
      <c r="L35" s="10"/>
      <c r="M35" s="10"/>
      <c r="O35" s="45"/>
      <c r="P35" s="15"/>
      <c r="Q35" s="14"/>
      <c r="R35" s="10"/>
      <c r="S35" s="10"/>
      <c r="T35" s="10"/>
      <c r="U35" s="10"/>
      <c r="V35" s="10"/>
      <c r="W35" s="10"/>
      <c r="X35" s="10"/>
      <c r="Y35" s="10"/>
      <c r="Z35" s="10"/>
      <c r="AA35" s="10"/>
      <c r="AB35" s="10"/>
      <c r="AD35" s="45"/>
      <c r="AE35" s="15"/>
      <c r="AF35" s="15"/>
      <c r="AG35" s="14"/>
      <c r="AH35" s="15"/>
      <c r="AI35" s="15"/>
    </row>
    <row r="36" spans="1:35" x14ac:dyDescent="0.2">
      <c r="A36" s="14" t="s">
        <v>17</v>
      </c>
      <c r="B36" s="14">
        <v>9</v>
      </c>
      <c r="C36" s="10">
        <v>653.61</v>
      </c>
      <c r="D36" s="10">
        <v>1249.67</v>
      </c>
      <c r="E36" s="10"/>
      <c r="F36" s="10"/>
      <c r="G36" s="10"/>
      <c r="H36" s="10"/>
      <c r="I36" s="10"/>
      <c r="J36" s="10"/>
      <c r="K36" s="515">
        <f t="shared" ref="K36:K39" si="27">SUM(C36:J36)</f>
        <v>1903.2800000000002</v>
      </c>
      <c r="L36" s="10">
        <v>1000</v>
      </c>
      <c r="M36" s="10"/>
      <c r="N36" s="13">
        <f t="shared" ref="N36:N39" si="28">L36+M36</f>
        <v>1000</v>
      </c>
      <c r="O36" s="517">
        <f t="shared" ref="O36:O39" si="29">(K36*12)+N36</f>
        <v>23839.360000000001</v>
      </c>
      <c r="P36" s="516">
        <v>226554.48</v>
      </c>
      <c r="Q36" s="14">
        <v>9</v>
      </c>
      <c r="R36" s="10">
        <v>653.61</v>
      </c>
      <c r="S36" s="10">
        <v>1249.67</v>
      </c>
      <c r="T36" s="10"/>
      <c r="U36" s="10"/>
      <c r="V36" s="10"/>
      <c r="W36" s="10"/>
      <c r="X36" s="10"/>
      <c r="Y36" s="10"/>
      <c r="Z36" s="515">
        <f t="shared" ref="Z36:Z39" si="30">SUM(R36:Y36)</f>
        <v>1903.2800000000002</v>
      </c>
      <c r="AA36" s="10">
        <v>1000</v>
      </c>
      <c r="AB36" s="10"/>
      <c r="AC36" s="13">
        <f t="shared" ref="AC36:AC39" si="31">AA36+AB36</f>
        <v>1000</v>
      </c>
      <c r="AD36" s="517">
        <f t="shared" ref="AD36:AD39" si="32">(Z36*12)+AC36</f>
        <v>23839.360000000001</v>
      </c>
      <c r="AE36" s="516">
        <v>226554.48</v>
      </c>
      <c r="AF36" s="513">
        <f t="shared" ref="AF36:AG39" si="33">AD36-O36</f>
        <v>0</v>
      </c>
      <c r="AG36" s="513">
        <f t="shared" si="33"/>
        <v>0</v>
      </c>
      <c r="AH36" s="15"/>
      <c r="AI36" s="516">
        <v>226554.48</v>
      </c>
    </row>
    <row r="37" spans="1:35" x14ac:dyDescent="0.2">
      <c r="A37" s="14" t="s">
        <v>903</v>
      </c>
      <c r="B37" s="14">
        <v>2</v>
      </c>
      <c r="C37" s="10">
        <v>627.6</v>
      </c>
      <c r="D37" s="10">
        <v>1368</v>
      </c>
      <c r="E37" s="10"/>
      <c r="F37" s="10"/>
      <c r="G37" s="10"/>
      <c r="H37" s="10"/>
      <c r="I37" s="10"/>
      <c r="J37" s="10"/>
      <c r="K37" s="515">
        <f t="shared" si="27"/>
        <v>1995.6</v>
      </c>
      <c r="L37" s="10">
        <v>1000</v>
      </c>
      <c r="M37" s="10"/>
      <c r="N37" s="13">
        <f t="shared" si="28"/>
        <v>1000</v>
      </c>
      <c r="O37" s="517">
        <f t="shared" si="29"/>
        <v>24947.199999999997</v>
      </c>
      <c r="P37" s="516">
        <v>49894.400000000001</v>
      </c>
      <c r="Q37" s="14">
        <v>2</v>
      </c>
      <c r="R37" s="10">
        <v>627.6</v>
      </c>
      <c r="S37" s="10">
        <v>1368</v>
      </c>
      <c r="T37" s="10"/>
      <c r="U37" s="10"/>
      <c r="V37" s="10"/>
      <c r="W37" s="10"/>
      <c r="X37" s="10"/>
      <c r="Y37" s="10"/>
      <c r="Z37" s="515">
        <f t="shared" si="30"/>
        <v>1995.6</v>
      </c>
      <c r="AA37" s="10">
        <v>1000</v>
      </c>
      <c r="AB37" s="10"/>
      <c r="AC37" s="13">
        <f t="shared" si="31"/>
        <v>1000</v>
      </c>
      <c r="AD37" s="517">
        <f t="shared" si="32"/>
        <v>24947.199999999997</v>
      </c>
      <c r="AE37" s="516">
        <v>49894.400000000001</v>
      </c>
      <c r="AF37" s="513">
        <f t="shared" si="33"/>
        <v>0</v>
      </c>
      <c r="AG37" s="513">
        <f t="shared" si="33"/>
        <v>0</v>
      </c>
      <c r="AH37" s="15"/>
      <c r="AI37" s="516">
        <v>49894.400000000001</v>
      </c>
    </row>
    <row r="38" spans="1:35" x14ac:dyDescent="0.2">
      <c r="A38" s="14" t="s">
        <v>904</v>
      </c>
      <c r="B38" s="14">
        <v>5</v>
      </c>
      <c r="C38" s="10">
        <v>902.13</v>
      </c>
      <c r="D38" s="10">
        <v>1150</v>
      </c>
      <c r="E38" s="10"/>
      <c r="F38" s="10"/>
      <c r="G38" s="10"/>
      <c r="H38" s="10"/>
      <c r="I38" s="10"/>
      <c r="J38" s="10"/>
      <c r="K38" s="515">
        <f t="shared" si="27"/>
        <v>2052.13</v>
      </c>
      <c r="L38" s="10">
        <v>1000</v>
      </c>
      <c r="M38" s="10"/>
      <c r="N38" s="13">
        <f t="shared" si="28"/>
        <v>1000</v>
      </c>
      <c r="O38" s="517">
        <f t="shared" si="29"/>
        <v>25625.56</v>
      </c>
      <c r="P38" s="516">
        <v>128127.8</v>
      </c>
      <c r="Q38" s="14">
        <v>5</v>
      </c>
      <c r="R38" s="10">
        <v>902.13</v>
      </c>
      <c r="S38" s="10">
        <v>1150</v>
      </c>
      <c r="T38" s="10"/>
      <c r="U38" s="10"/>
      <c r="V38" s="10"/>
      <c r="W38" s="10"/>
      <c r="X38" s="10"/>
      <c r="Y38" s="10"/>
      <c r="Z38" s="515">
        <f t="shared" si="30"/>
        <v>2052.13</v>
      </c>
      <c r="AA38" s="10">
        <v>1000</v>
      </c>
      <c r="AB38" s="10"/>
      <c r="AC38" s="13">
        <f t="shared" si="31"/>
        <v>1000</v>
      </c>
      <c r="AD38" s="517">
        <f t="shared" si="32"/>
        <v>25625.56</v>
      </c>
      <c r="AE38" s="516">
        <v>128127.8</v>
      </c>
      <c r="AF38" s="513">
        <f t="shared" si="33"/>
        <v>0</v>
      </c>
      <c r="AG38" s="513">
        <f t="shared" si="33"/>
        <v>0</v>
      </c>
      <c r="AH38" s="15"/>
      <c r="AI38" s="516">
        <v>128127.8</v>
      </c>
    </row>
    <row r="39" spans="1:35" x14ac:dyDescent="0.2">
      <c r="A39" s="14" t="s">
        <v>18</v>
      </c>
      <c r="B39" s="14">
        <v>99</v>
      </c>
      <c r="C39" s="10">
        <v>894.04</v>
      </c>
      <c r="D39" s="10">
        <v>1150</v>
      </c>
      <c r="E39" s="10"/>
      <c r="F39" s="10"/>
      <c r="G39" s="10"/>
      <c r="H39" s="10"/>
      <c r="I39" s="10"/>
      <c r="J39" s="10"/>
      <c r="K39" s="515">
        <f t="shared" si="27"/>
        <v>2044.04</v>
      </c>
      <c r="L39" s="10">
        <v>1000</v>
      </c>
      <c r="M39" s="10"/>
      <c r="N39" s="13">
        <f t="shared" si="28"/>
        <v>1000</v>
      </c>
      <c r="O39" s="517">
        <f t="shared" si="29"/>
        <v>25528.48</v>
      </c>
      <c r="P39" s="516">
        <v>2931896.2</v>
      </c>
      <c r="Q39" s="14">
        <v>99</v>
      </c>
      <c r="R39" s="10">
        <v>894.04</v>
      </c>
      <c r="S39" s="10">
        <v>1150</v>
      </c>
      <c r="T39" s="10"/>
      <c r="U39" s="10"/>
      <c r="V39" s="10"/>
      <c r="W39" s="10"/>
      <c r="X39" s="10"/>
      <c r="Y39" s="10"/>
      <c r="Z39" s="515">
        <f t="shared" si="30"/>
        <v>2044.04</v>
      </c>
      <c r="AA39" s="10">
        <v>1000</v>
      </c>
      <c r="AB39" s="10"/>
      <c r="AC39" s="13">
        <f t="shared" si="31"/>
        <v>1000</v>
      </c>
      <c r="AD39" s="517">
        <f t="shared" si="32"/>
        <v>25528.48</v>
      </c>
      <c r="AE39" s="516">
        <v>2931896.2</v>
      </c>
      <c r="AF39" s="513">
        <f t="shared" si="33"/>
        <v>0</v>
      </c>
      <c r="AG39" s="513">
        <f t="shared" si="33"/>
        <v>0</v>
      </c>
      <c r="AH39" s="15"/>
      <c r="AI39" s="516">
        <v>2931896.2</v>
      </c>
    </row>
    <row r="40" spans="1:35" x14ac:dyDescent="0.2">
      <c r="A40" s="14"/>
      <c r="B40" s="14"/>
      <c r="C40" s="10"/>
      <c r="D40" s="10"/>
      <c r="E40" s="10"/>
      <c r="F40" s="10"/>
      <c r="G40" s="10"/>
      <c r="H40" s="10"/>
      <c r="I40" s="10"/>
      <c r="J40" s="10"/>
      <c r="K40" s="515"/>
      <c r="L40" s="10"/>
      <c r="M40" s="10"/>
      <c r="N40" s="13"/>
      <c r="O40" s="517"/>
      <c r="P40" s="516"/>
      <c r="Q40" s="14"/>
      <c r="R40" s="10"/>
      <c r="S40" s="10"/>
      <c r="T40" s="10"/>
      <c r="U40" s="10"/>
      <c r="V40" s="10"/>
      <c r="W40" s="10"/>
      <c r="X40" s="10"/>
      <c r="Y40" s="10"/>
      <c r="Z40" s="515"/>
      <c r="AA40" s="10"/>
      <c r="AB40" s="10"/>
      <c r="AC40" s="13"/>
      <c r="AD40" s="517"/>
      <c r="AE40" s="516"/>
      <c r="AF40" s="15"/>
      <c r="AG40" s="14"/>
      <c r="AH40" s="15"/>
      <c r="AI40" s="516"/>
    </row>
    <row r="41" spans="1:35" x14ac:dyDescent="0.2">
      <c r="A41" s="14"/>
      <c r="B41" s="14"/>
      <c r="C41" s="10"/>
      <c r="D41" s="10"/>
      <c r="E41" s="10"/>
      <c r="F41" s="10"/>
      <c r="G41" s="10"/>
      <c r="H41" s="10"/>
      <c r="I41" s="10"/>
      <c r="J41" s="10"/>
      <c r="K41" s="515"/>
      <c r="L41" s="10"/>
      <c r="M41" s="10"/>
      <c r="N41" s="13"/>
      <c r="O41" s="517"/>
      <c r="P41" s="516"/>
      <c r="Q41" s="14"/>
      <c r="R41" s="10"/>
      <c r="S41" s="10"/>
      <c r="T41" s="10"/>
      <c r="U41" s="10"/>
      <c r="V41" s="10"/>
      <c r="W41" s="10"/>
      <c r="X41" s="10"/>
      <c r="Y41" s="10"/>
      <c r="Z41" s="515"/>
      <c r="AA41" s="10"/>
      <c r="AB41" s="10"/>
      <c r="AC41" s="13"/>
      <c r="AD41" s="517"/>
      <c r="AE41" s="516"/>
      <c r="AF41" s="15"/>
      <c r="AG41" s="14"/>
      <c r="AH41" s="15"/>
      <c r="AI41" s="516"/>
    </row>
    <row r="42" spans="1:35" x14ac:dyDescent="0.2">
      <c r="A42" s="14" t="s">
        <v>905</v>
      </c>
      <c r="B42" s="14"/>
      <c r="C42" s="10"/>
      <c r="D42" s="10"/>
      <c r="E42" s="10"/>
      <c r="F42" s="10"/>
      <c r="G42" s="10"/>
      <c r="H42" s="10"/>
      <c r="I42" s="10"/>
      <c r="J42" s="10"/>
      <c r="K42" s="10"/>
      <c r="L42" s="10"/>
      <c r="M42" s="10"/>
      <c r="O42" s="45"/>
      <c r="P42" s="15"/>
      <c r="Q42" s="14"/>
      <c r="R42" s="10"/>
      <c r="S42" s="10"/>
      <c r="T42" s="10"/>
      <c r="U42" s="10"/>
      <c r="V42" s="10"/>
      <c r="W42" s="10"/>
      <c r="X42" s="10"/>
      <c r="Y42" s="10"/>
      <c r="Z42" s="10"/>
      <c r="AA42" s="10"/>
      <c r="AB42" s="10"/>
      <c r="AD42" s="45"/>
      <c r="AE42" s="15"/>
      <c r="AF42" s="15"/>
      <c r="AG42" s="14"/>
      <c r="AH42" s="15"/>
      <c r="AI42" s="516"/>
    </row>
    <row r="43" spans="1:35" x14ac:dyDescent="0.2">
      <c r="A43" s="14" t="s">
        <v>4</v>
      </c>
      <c r="B43" s="14"/>
      <c r="C43" s="10"/>
      <c r="D43" s="10"/>
      <c r="E43" s="10"/>
      <c r="F43" s="10"/>
      <c r="G43" s="10"/>
      <c r="H43" s="10"/>
      <c r="I43" s="10"/>
      <c r="J43" s="10"/>
      <c r="K43" s="10"/>
      <c r="L43" s="10"/>
      <c r="M43" s="10"/>
      <c r="O43" s="45"/>
      <c r="P43" s="15"/>
      <c r="Q43" s="14"/>
      <c r="R43" s="10"/>
      <c r="S43" s="10"/>
      <c r="T43" s="10"/>
      <c r="U43" s="10"/>
      <c r="V43" s="10"/>
      <c r="W43" s="10"/>
      <c r="X43" s="10"/>
      <c r="Y43" s="10"/>
      <c r="Z43" s="10"/>
      <c r="AA43" s="10"/>
      <c r="AB43" s="10"/>
      <c r="AD43" s="45"/>
      <c r="AE43" s="15"/>
      <c r="AF43" s="15"/>
      <c r="AG43" s="14"/>
      <c r="AH43" s="15"/>
      <c r="AI43" s="516"/>
    </row>
    <row r="44" spans="1:35" x14ac:dyDescent="0.2">
      <c r="A44" s="14" t="s">
        <v>897</v>
      </c>
      <c r="B44" s="14">
        <v>1</v>
      </c>
      <c r="C44" s="10">
        <f>2680.41+649.67</f>
        <v>3330.08</v>
      </c>
      <c r="D44" s="10">
        <v>0</v>
      </c>
      <c r="E44" s="10"/>
      <c r="F44" s="10"/>
      <c r="G44" s="10"/>
      <c r="H44" s="10"/>
      <c r="I44" s="10"/>
      <c r="J44" s="10"/>
      <c r="K44" s="515">
        <f t="shared" ref="K44" si="34">SUM(C44:J44)</f>
        <v>3330.08</v>
      </c>
      <c r="L44" s="10">
        <v>1000</v>
      </c>
      <c r="M44" s="10"/>
      <c r="N44" s="13">
        <f t="shared" ref="N44:N45" si="35">L44+M44</f>
        <v>1000</v>
      </c>
      <c r="O44" s="517">
        <f t="shared" ref="O44:O45" si="36">(K44*12)+N44</f>
        <v>40960.959999999999</v>
      </c>
      <c r="P44" s="15">
        <v>40960.959999999999</v>
      </c>
      <c r="Q44" s="14">
        <v>1</v>
      </c>
      <c r="R44" s="10">
        <f>2680.41+649.67</f>
        <v>3330.08</v>
      </c>
      <c r="S44" s="10">
        <v>0</v>
      </c>
      <c r="T44" s="10"/>
      <c r="U44" s="10"/>
      <c r="V44" s="10"/>
      <c r="W44" s="10"/>
      <c r="X44" s="10"/>
      <c r="Y44" s="10"/>
      <c r="Z44" s="515">
        <f t="shared" ref="Z44:Z45" si="37">SUM(R44:Y44)</f>
        <v>3330.08</v>
      </c>
      <c r="AA44" s="10">
        <v>1000</v>
      </c>
      <c r="AB44" s="10"/>
      <c r="AC44" s="13">
        <f t="shared" ref="AC44:AC45" si="38">AA44+AB44</f>
        <v>1000</v>
      </c>
      <c r="AD44" s="517">
        <f t="shared" ref="AD44:AD45" si="39">(Z44*12)+AC44</f>
        <v>40960.959999999999</v>
      </c>
      <c r="AE44" s="15">
        <v>40960.959999999999</v>
      </c>
      <c r="AF44" s="513">
        <f t="shared" ref="AF44:AG45" si="40">AD44-O44</f>
        <v>0</v>
      </c>
      <c r="AG44" s="513">
        <f t="shared" si="40"/>
        <v>0</v>
      </c>
      <c r="AH44" s="15"/>
      <c r="AI44" s="516">
        <v>40960.959999999999</v>
      </c>
    </row>
    <row r="45" spans="1:35" x14ac:dyDescent="0.2">
      <c r="A45" s="14" t="s">
        <v>14</v>
      </c>
      <c r="B45" s="14">
        <v>10</v>
      </c>
      <c r="C45" s="10">
        <f>33419/10</f>
        <v>3341.9</v>
      </c>
      <c r="D45" s="10">
        <v>0</v>
      </c>
      <c r="E45" s="10"/>
      <c r="F45" s="10"/>
      <c r="G45" s="10"/>
      <c r="H45" s="10"/>
      <c r="I45" s="10"/>
      <c r="J45" s="10"/>
      <c r="K45" s="515">
        <f t="shared" ref="K45" si="41">SUM(C45:J45)</f>
        <v>3341.9</v>
      </c>
      <c r="L45" s="10">
        <v>1000</v>
      </c>
      <c r="M45" s="10"/>
      <c r="N45" s="13">
        <f t="shared" si="35"/>
        <v>1000</v>
      </c>
      <c r="O45" s="517">
        <f t="shared" si="36"/>
        <v>41102.800000000003</v>
      </c>
      <c r="P45" s="15">
        <v>411028</v>
      </c>
      <c r="Q45" s="14">
        <v>10</v>
      </c>
      <c r="R45" s="10">
        <f>33419/10</f>
        <v>3341.9</v>
      </c>
      <c r="S45" s="10">
        <v>0</v>
      </c>
      <c r="T45" s="10"/>
      <c r="U45" s="10"/>
      <c r="V45" s="10"/>
      <c r="W45" s="10"/>
      <c r="X45" s="10"/>
      <c r="Y45" s="10"/>
      <c r="Z45" s="515">
        <f t="shared" si="37"/>
        <v>3341.9</v>
      </c>
      <c r="AA45" s="10">
        <v>1000</v>
      </c>
      <c r="AB45" s="10"/>
      <c r="AC45" s="13">
        <f t="shared" si="38"/>
        <v>1000</v>
      </c>
      <c r="AD45" s="517">
        <f t="shared" si="39"/>
        <v>41102.800000000003</v>
      </c>
      <c r="AE45" s="15">
        <v>411028</v>
      </c>
      <c r="AF45" s="513">
        <f t="shared" si="40"/>
        <v>0</v>
      </c>
      <c r="AG45" s="513">
        <f t="shared" si="40"/>
        <v>0</v>
      </c>
      <c r="AH45" s="15"/>
      <c r="AI45" s="516">
        <v>411028</v>
      </c>
    </row>
    <row r="46" spans="1:35" x14ac:dyDescent="0.2">
      <c r="A46" s="14"/>
      <c r="B46" s="14"/>
      <c r="C46" s="10"/>
      <c r="D46" s="10"/>
      <c r="E46" s="10"/>
      <c r="F46" s="10"/>
      <c r="G46" s="10"/>
      <c r="H46" s="10"/>
      <c r="I46" s="10"/>
      <c r="J46" s="10"/>
      <c r="K46" s="10"/>
      <c r="L46" s="10"/>
      <c r="M46" s="10"/>
      <c r="O46" s="45"/>
      <c r="P46" s="15"/>
      <c r="Q46" s="14"/>
      <c r="R46" s="10"/>
      <c r="S46" s="10"/>
      <c r="T46" s="10"/>
      <c r="U46" s="10"/>
      <c r="V46" s="10"/>
      <c r="W46" s="10"/>
      <c r="X46" s="10"/>
      <c r="Y46" s="10"/>
      <c r="Z46" s="10"/>
      <c r="AA46" s="10"/>
      <c r="AB46" s="10"/>
      <c r="AD46" s="45"/>
      <c r="AE46" s="15"/>
      <c r="AF46" s="15"/>
      <c r="AG46" s="14"/>
      <c r="AH46" s="15"/>
      <c r="AI46" s="516"/>
    </row>
    <row r="47" spans="1:35" x14ac:dyDescent="0.2">
      <c r="A47" s="14" t="s">
        <v>5</v>
      </c>
      <c r="B47" s="14"/>
      <c r="C47" s="10"/>
      <c r="D47" s="10"/>
      <c r="E47" s="10"/>
      <c r="F47" s="10"/>
      <c r="G47" s="10"/>
      <c r="H47" s="10"/>
      <c r="I47" s="10"/>
      <c r="J47" s="10"/>
      <c r="K47" s="10"/>
      <c r="L47" s="10"/>
      <c r="M47" s="10"/>
      <c r="O47" s="45"/>
      <c r="P47" s="15"/>
      <c r="Q47" s="14"/>
      <c r="R47" s="10"/>
      <c r="S47" s="10"/>
      <c r="T47" s="10"/>
      <c r="U47" s="10"/>
      <c r="V47" s="10"/>
      <c r="W47" s="10"/>
      <c r="X47" s="10"/>
      <c r="Y47" s="10"/>
      <c r="Z47" s="10"/>
      <c r="AA47" s="10"/>
      <c r="AB47" s="10"/>
      <c r="AD47" s="45"/>
      <c r="AE47" s="15"/>
      <c r="AF47" s="15"/>
      <c r="AG47" s="14"/>
      <c r="AH47" s="15"/>
      <c r="AI47" s="516"/>
    </row>
    <row r="48" spans="1:35" x14ac:dyDescent="0.2">
      <c r="A48" s="14" t="s">
        <v>15</v>
      </c>
      <c r="B48" s="14">
        <v>77</v>
      </c>
      <c r="C48" s="10">
        <f>293396.73/77</f>
        <v>3810.3471428571424</v>
      </c>
      <c r="D48" s="10"/>
      <c r="E48" s="10"/>
      <c r="F48" s="10"/>
      <c r="G48" s="10"/>
      <c r="H48" s="10"/>
      <c r="I48" s="10"/>
      <c r="J48" s="10"/>
      <c r="K48" s="515">
        <f t="shared" ref="K48:K52" si="42">SUM(C48:J48)</f>
        <v>3810.3471428571424</v>
      </c>
      <c r="L48" s="10">
        <v>1000</v>
      </c>
      <c r="M48" s="10"/>
      <c r="N48" s="13">
        <f t="shared" ref="N48:N52" si="43">L48+M48</f>
        <v>1000</v>
      </c>
      <c r="O48" s="517">
        <f t="shared" ref="O48:O52" si="44">(K48*12)+N48</f>
        <v>46724.165714285708</v>
      </c>
      <c r="P48" s="15">
        <v>3597760.76</v>
      </c>
      <c r="Q48" s="14">
        <v>77</v>
      </c>
      <c r="R48" s="10">
        <f>293396.73/77</f>
        <v>3810.3471428571424</v>
      </c>
      <c r="S48" s="10"/>
      <c r="T48" s="10"/>
      <c r="U48" s="10"/>
      <c r="V48" s="10"/>
      <c r="W48" s="10"/>
      <c r="X48" s="10"/>
      <c r="Y48" s="10"/>
      <c r="Z48" s="515">
        <f t="shared" ref="Z48:Z52" si="45">SUM(R48:Y48)</f>
        <v>3810.3471428571424</v>
      </c>
      <c r="AA48" s="10">
        <v>1000</v>
      </c>
      <c r="AB48" s="10"/>
      <c r="AC48" s="13">
        <f t="shared" ref="AC48:AC52" si="46">AA48+AB48</f>
        <v>1000</v>
      </c>
      <c r="AD48" s="517">
        <f t="shared" ref="AD48:AD52" si="47">(Z48*12)+AC48</f>
        <v>46724.165714285708</v>
      </c>
      <c r="AE48" s="15">
        <v>3597760.76</v>
      </c>
      <c r="AF48" s="513">
        <f t="shared" ref="AF48:AG52" si="48">AD48-O48</f>
        <v>0</v>
      </c>
      <c r="AG48" s="513">
        <f t="shared" si="48"/>
        <v>0</v>
      </c>
      <c r="AH48" s="15"/>
      <c r="AI48" s="516">
        <v>3597760.76</v>
      </c>
    </row>
    <row r="49" spans="1:35" x14ac:dyDescent="0.2">
      <c r="A49" s="14" t="s">
        <v>899</v>
      </c>
      <c r="B49" s="14">
        <v>93</v>
      </c>
      <c r="C49" s="10">
        <f>348192.15/93</f>
        <v>3744.001612903226</v>
      </c>
      <c r="D49" s="10"/>
      <c r="E49" s="10"/>
      <c r="F49" s="10"/>
      <c r="G49" s="10"/>
      <c r="H49" s="10"/>
      <c r="I49" s="10"/>
      <c r="J49" s="10"/>
      <c r="K49" s="515">
        <f t="shared" si="42"/>
        <v>3744.001612903226</v>
      </c>
      <c r="L49" s="10">
        <v>1000</v>
      </c>
      <c r="M49" s="10"/>
      <c r="N49" s="13">
        <f t="shared" si="43"/>
        <v>1000</v>
      </c>
      <c r="O49" s="517">
        <f t="shared" si="44"/>
        <v>45928.019354838711</v>
      </c>
      <c r="P49" s="15">
        <v>4271305.8</v>
      </c>
      <c r="Q49" s="14">
        <v>93</v>
      </c>
      <c r="R49" s="10">
        <f>348192.15/93</f>
        <v>3744.001612903226</v>
      </c>
      <c r="S49" s="10"/>
      <c r="T49" s="10"/>
      <c r="U49" s="10"/>
      <c r="V49" s="10"/>
      <c r="W49" s="10"/>
      <c r="X49" s="10"/>
      <c r="Y49" s="10"/>
      <c r="Z49" s="515">
        <f t="shared" si="45"/>
        <v>3744.001612903226</v>
      </c>
      <c r="AA49" s="10">
        <v>1000</v>
      </c>
      <c r="AB49" s="10"/>
      <c r="AC49" s="13">
        <f t="shared" si="46"/>
        <v>1000</v>
      </c>
      <c r="AD49" s="517">
        <f t="shared" si="47"/>
        <v>45928.019354838711</v>
      </c>
      <c r="AE49" s="15">
        <v>4271305.8</v>
      </c>
      <c r="AF49" s="513">
        <f t="shared" si="48"/>
        <v>0</v>
      </c>
      <c r="AG49" s="513">
        <f t="shared" si="48"/>
        <v>0</v>
      </c>
      <c r="AH49" s="15"/>
      <c r="AI49" s="516">
        <v>4271305.8</v>
      </c>
    </row>
    <row r="50" spans="1:35" x14ac:dyDescent="0.2">
      <c r="A50" s="14" t="s">
        <v>900</v>
      </c>
      <c r="B50" s="14">
        <v>82</v>
      </c>
      <c r="C50" s="10">
        <f>308562.26/82</f>
        <v>3762.9543902439027</v>
      </c>
      <c r="D50" s="10"/>
      <c r="E50" s="10"/>
      <c r="F50" s="10"/>
      <c r="G50" s="10"/>
      <c r="H50" s="10"/>
      <c r="I50" s="10"/>
      <c r="J50" s="10"/>
      <c r="K50" s="515">
        <f t="shared" si="42"/>
        <v>3762.9543902439027</v>
      </c>
      <c r="L50" s="10">
        <v>1000</v>
      </c>
      <c r="M50" s="10"/>
      <c r="N50" s="13">
        <f t="shared" si="43"/>
        <v>1000</v>
      </c>
      <c r="O50" s="517">
        <f t="shared" si="44"/>
        <v>46155.452682926829</v>
      </c>
      <c r="P50" s="15">
        <v>3784747.12</v>
      </c>
      <c r="Q50" s="14">
        <v>82</v>
      </c>
      <c r="R50" s="10">
        <f>308562.26/82</f>
        <v>3762.9543902439027</v>
      </c>
      <c r="S50" s="10"/>
      <c r="T50" s="10"/>
      <c r="U50" s="10"/>
      <c r="V50" s="10"/>
      <c r="W50" s="10"/>
      <c r="X50" s="10"/>
      <c r="Y50" s="10"/>
      <c r="Z50" s="515">
        <f t="shared" si="45"/>
        <v>3762.9543902439027</v>
      </c>
      <c r="AA50" s="10">
        <v>1000</v>
      </c>
      <c r="AB50" s="10"/>
      <c r="AC50" s="13">
        <f t="shared" si="46"/>
        <v>1000</v>
      </c>
      <c r="AD50" s="517">
        <f t="shared" si="47"/>
        <v>46155.452682926829</v>
      </c>
      <c r="AE50" s="15">
        <v>3784747.12</v>
      </c>
      <c r="AF50" s="513">
        <f t="shared" si="48"/>
        <v>0</v>
      </c>
      <c r="AG50" s="513">
        <f t="shared" si="48"/>
        <v>0</v>
      </c>
      <c r="AH50" s="15"/>
      <c r="AI50" s="516">
        <v>3784747.12</v>
      </c>
    </row>
    <row r="51" spans="1:35" x14ac:dyDescent="0.2">
      <c r="A51" s="14" t="s">
        <v>901</v>
      </c>
      <c r="B51" s="14">
        <v>19</v>
      </c>
      <c r="C51" s="10">
        <f>54723.22/19</f>
        <v>2880.1694736842105</v>
      </c>
      <c r="D51" s="10"/>
      <c r="E51" s="10"/>
      <c r="F51" s="10"/>
      <c r="G51" s="10"/>
      <c r="H51" s="10"/>
      <c r="I51" s="10"/>
      <c r="J51" s="10"/>
      <c r="K51" s="515">
        <f t="shared" si="42"/>
        <v>2880.1694736842105</v>
      </c>
      <c r="L51" s="10">
        <v>1000</v>
      </c>
      <c r="M51" s="10"/>
      <c r="N51" s="13">
        <f t="shared" si="43"/>
        <v>1000</v>
      </c>
      <c r="O51" s="517">
        <f t="shared" si="44"/>
        <v>35562.033684210524</v>
      </c>
      <c r="P51" s="15">
        <v>675678.64</v>
      </c>
      <c r="Q51" s="14">
        <v>19</v>
      </c>
      <c r="R51" s="10">
        <f>54723.22/19</f>
        <v>2880.1694736842105</v>
      </c>
      <c r="S51" s="10"/>
      <c r="T51" s="10"/>
      <c r="U51" s="10"/>
      <c r="V51" s="10"/>
      <c r="W51" s="10"/>
      <c r="X51" s="10"/>
      <c r="Y51" s="10"/>
      <c r="Z51" s="515">
        <f t="shared" si="45"/>
        <v>2880.1694736842105</v>
      </c>
      <c r="AA51" s="10">
        <v>1000</v>
      </c>
      <c r="AB51" s="10"/>
      <c r="AC51" s="13">
        <f t="shared" si="46"/>
        <v>1000</v>
      </c>
      <c r="AD51" s="517">
        <f t="shared" si="47"/>
        <v>35562.033684210524</v>
      </c>
      <c r="AE51" s="15">
        <v>675678.64</v>
      </c>
      <c r="AF51" s="513">
        <f t="shared" si="48"/>
        <v>0</v>
      </c>
      <c r="AG51" s="513">
        <f t="shared" si="48"/>
        <v>0</v>
      </c>
      <c r="AH51" s="15"/>
      <c r="AI51" s="516">
        <v>675678.64</v>
      </c>
    </row>
    <row r="52" spans="1:35" x14ac:dyDescent="0.2">
      <c r="A52" s="14" t="s">
        <v>902</v>
      </c>
      <c r="B52" s="14">
        <v>159</v>
      </c>
      <c r="C52" s="10">
        <f>557783.8/159</f>
        <v>3508.0742138364781</v>
      </c>
      <c r="D52" s="10"/>
      <c r="E52" s="10"/>
      <c r="F52" s="10"/>
      <c r="G52" s="10"/>
      <c r="H52" s="10"/>
      <c r="I52" s="10"/>
      <c r="J52" s="10"/>
      <c r="K52" s="515">
        <f t="shared" si="42"/>
        <v>3508.0742138364781</v>
      </c>
      <c r="L52" s="10">
        <v>1000</v>
      </c>
      <c r="M52" s="10"/>
      <c r="N52" s="13">
        <f t="shared" si="43"/>
        <v>1000</v>
      </c>
      <c r="O52" s="517">
        <f t="shared" si="44"/>
        <v>43096.890566037735</v>
      </c>
      <c r="P52" s="15">
        <v>6852405.5999999996</v>
      </c>
      <c r="Q52" s="14">
        <v>159</v>
      </c>
      <c r="R52" s="10">
        <f>557783.8/159</f>
        <v>3508.0742138364781</v>
      </c>
      <c r="S52" s="10"/>
      <c r="T52" s="10"/>
      <c r="U52" s="10"/>
      <c r="V52" s="10"/>
      <c r="W52" s="10"/>
      <c r="X52" s="10"/>
      <c r="Y52" s="10"/>
      <c r="Z52" s="515">
        <f t="shared" si="45"/>
        <v>3508.0742138364781</v>
      </c>
      <c r="AA52" s="10">
        <v>1000</v>
      </c>
      <c r="AB52" s="10"/>
      <c r="AC52" s="13">
        <f t="shared" si="46"/>
        <v>1000</v>
      </c>
      <c r="AD52" s="517">
        <f t="shared" si="47"/>
        <v>43096.890566037735</v>
      </c>
      <c r="AE52" s="15">
        <v>6852405.5999999996</v>
      </c>
      <c r="AF52" s="513">
        <f t="shared" si="48"/>
        <v>0</v>
      </c>
      <c r="AG52" s="513">
        <f t="shared" si="48"/>
        <v>0</v>
      </c>
      <c r="AH52" s="15"/>
      <c r="AI52" s="516">
        <v>6852405.5999999996</v>
      </c>
    </row>
    <row r="53" spans="1:35" x14ac:dyDescent="0.2">
      <c r="A53" s="14" t="s">
        <v>61</v>
      </c>
      <c r="B53" s="14"/>
      <c r="C53" s="10"/>
      <c r="D53" s="10"/>
      <c r="E53" s="10"/>
      <c r="F53" s="10"/>
      <c r="G53" s="10"/>
      <c r="H53" s="10"/>
      <c r="I53" s="10"/>
      <c r="J53" s="10"/>
      <c r="K53" s="10"/>
      <c r="L53" s="10"/>
      <c r="M53" s="10"/>
      <c r="O53" s="45"/>
      <c r="P53" s="15"/>
      <c r="Q53" s="14"/>
      <c r="R53" s="10"/>
      <c r="S53" s="10"/>
      <c r="T53" s="10"/>
      <c r="U53" s="10"/>
      <c r="V53" s="10"/>
      <c r="W53" s="10"/>
      <c r="X53" s="10"/>
      <c r="Y53" s="10"/>
      <c r="Z53" s="10"/>
      <c r="AA53" s="10"/>
      <c r="AB53" s="10"/>
      <c r="AD53" s="45"/>
      <c r="AE53" s="15"/>
      <c r="AF53" s="15"/>
      <c r="AG53" s="14"/>
      <c r="AH53" s="15"/>
      <c r="AI53" s="516"/>
    </row>
    <row r="54" spans="1:35" x14ac:dyDescent="0.2">
      <c r="A54" s="14" t="s">
        <v>906</v>
      </c>
      <c r="B54" s="14"/>
      <c r="C54" s="10"/>
      <c r="D54" s="10"/>
      <c r="E54" s="10"/>
      <c r="F54" s="10"/>
      <c r="G54" s="10"/>
      <c r="H54" s="10"/>
      <c r="I54" s="10"/>
      <c r="J54" s="10"/>
      <c r="K54" s="10"/>
      <c r="L54" s="10"/>
      <c r="M54" s="10"/>
      <c r="O54" s="45"/>
      <c r="P54" s="15"/>
      <c r="Q54" s="14"/>
      <c r="R54" s="10"/>
      <c r="S54" s="10"/>
      <c r="T54" s="10"/>
      <c r="U54" s="10"/>
      <c r="V54" s="10"/>
      <c r="W54" s="10"/>
      <c r="X54" s="10"/>
      <c r="Y54" s="10"/>
      <c r="Z54" s="10"/>
      <c r="AA54" s="10"/>
      <c r="AB54" s="10"/>
      <c r="AD54" s="45"/>
      <c r="AE54" s="15"/>
      <c r="AF54" s="15"/>
      <c r="AG54" s="14"/>
      <c r="AH54" s="15"/>
      <c r="AI54" s="516"/>
    </row>
    <row r="55" spans="1:35" x14ac:dyDescent="0.2">
      <c r="A55" s="14" t="s">
        <v>907</v>
      </c>
      <c r="B55" s="14"/>
      <c r="C55" s="10"/>
      <c r="D55" s="10"/>
      <c r="E55" s="10"/>
      <c r="F55" s="10"/>
      <c r="G55" s="10"/>
      <c r="H55" s="10"/>
      <c r="I55" s="10"/>
      <c r="J55" s="10"/>
      <c r="K55" s="10"/>
      <c r="L55" s="10"/>
      <c r="M55" s="10"/>
      <c r="O55" s="45"/>
      <c r="P55" s="15"/>
      <c r="Q55" s="14"/>
      <c r="R55" s="10"/>
      <c r="S55" s="10"/>
      <c r="T55" s="10"/>
      <c r="U55" s="10"/>
      <c r="V55" s="10"/>
      <c r="W55" s="10"/>
      <c r="X55" s="10"/>
      <c r="Y55" s="10"/>
      <c r="Z55" s="10"/>
      <c r="AA55" s="10"/>
      <c r="AB55" s="10"/>
      <c r="AD55" s="45"/>
      <c r="AE55" s="15"/>
      <c r="AF55" s="15"/>
      <c r="AG55" s="14"/>
      <c r="AH55" s="15"/>
      <c r="AI55" s="516"/>
    </row>
    <row r="56" spans="1:35" x14ac:dyDescent="0.2">
      <c r="A56" s="502" t="s">
        <v>908</v>
      </c>
      <c r="B56" s="14">
        <v>13</v>
      </c>
      <c r="C56" s="10">
        <f>133348.56/B56</f>
        <v>10257.581538461538</v>
      </c>
      <c r="D56" s="10"/>
      <c r="E56" s="10"/>
      <c r="F56" s="10"/>
      <c r="G56" s="10"/>
      <c r="H56" s="10"/>
      <c r="I56" s="10"/>
      <c r="J56" s="10"/>
      <c r="K56" s="515">
        <f t="shared" ref="K56:K85" si="49">SUM(C56:J56)</f>
        <v>10257.581538461538</v>
      </c>
      <c r="L56" s="10">
        <v>1000</v>
      </c>
      <c r="M56" s="10"/>
      <c r="N56" s="13">
        <f t="shared" ref="N56:N85" si="50">L56+M56</f>
        <v>1000</v>
      </c>
      <c r="O56" s="517">
        <f t="shared" ref="O56:O85" si="51">(K56*12)+N56</f>
        <v>124090.97846153846</v>
      </c>
      <c r="P56" s="15">
        <v>1613118.72</v>
      </c>
      <c r="Q56" s="14">
        <v>13</v>
      </c>
      <c r="R56" s="10">
        <f>133348.56/Q56</f>
        <v>10257.581538461538</v>
      </c>
      <c r="S56" s="10"/>
      <c r="T56" s="10"/>
      <c r="U56" s="10"/>
      <c r="V56" s="10"/>
      <c r="W56" s="10"/>
      <c r="X56" s="10"/>
      <c r="Y56" s="10"/>
      <c r="Z56" s="515">
        <f t="shared" ref="Z56:Z85" si="52">SUM(R56:Y56)</f>
        <v>10257.581538461538</v>
      </c>
      <c r="AA56" s="10">
        <v>1000</v>
      </c>
      <c r="AB56" s="10"/>
      <c r="AC56" s="13">
        <f t="shared" ref="AC56:AC85" si="53">AA56+AB56</f>
        <v>1000</v>
      </c>
      <c r="AD56" s="517">
        <f t="shared" ref="AD56:AD85" si="54">(Z56*12)+AC56</f>
        <v>124090.97846153846</v>
      </c>
      <c r="AE56" s="15">
        <v>1613118.72</v>
      </c>
      <c r="AF56" s="513">
        <f t="shared" ref="AF56:AG85" si="55">AD56-O56</f>
        <v>0</v>
      </c>
      <c r="AG56" s="513">
        <f t="shared" si="55"/>
        <v>0</v>
      </c>
      <c r="AH56" s="15"/>
      <c r="AI56" s="516">
        <v>1613118.72</v>
      </c>
    </row>
    <row r="57" spans="1:35" x14ac:dyDescent="0.2">
      <c r="A57" s="502" t="s">
        <v>909</v>
      </c>
      <c r="B57" s="14">
        <v>4</v>
      </c>
      <c r="C57" s="10">
        <f>42826.32/B57</f>
        <v>10706.58</v>
      </c>
      <c r="D57" s="10"/>
      <c r="E57" s="10"/>
      <c r="F57" s="10"/>
      <c r="G57" s="10"/>
      <c r="H57" s="10"/>
      <c r="I57" s="10"/>
      <c r="J57" s="10"/>
      <c r="K57" s="515">
        <f t="shared" si="49"/>
        <v>10706.58</v>
      </c>
      <c r="L57" s="10">
        <v>1000</v>
      </c>
      <c r="M57" s="10"/>
      <c r="N57" s="13">
        <f t="shared" si="50"/>
        <v>1000</v>
      </c>
      <c r="O57" s="517">
        <f t="shared" si="51"/>
        <v>129478.95999999999</v>
      </c>
      <c r="P57" s="15">
        <v>517915.84</v>
      </c>
      <c r="Q57" s="14">
        <v>4</v>
      </c>
      <c r="R57" s="10">
        <f>42826.32/Q57</f>
        <v>10706.58</v>
      </c>
      <c r="S57" s="10"/>
      <c r="T57" s="10"/>
      <c r="U57" s="10"/>
      <c r="V57" s="10"/>
      <c r="W57" s="10"/>
      <c r="X57" s="10"/>
      <c r="Y57" s="10"/>
      <c r="Z57" s="515">
        <f t="shared" si="52"/>
        <v>10706.58</v>
      </c>
      <c r="AA57" s="10">
        <v>1000</v>
      </c>
      <c r="AB57" s="10"/>
      <c r="AC57" s="13">
        <f t="shared" si="53"/>
        <v>1000</v>
      </c>
      <c r="AD57" s="517">
        <f t="shared" si="54"/>
        <v>129478.95999999999</v>
      </c>
      <c r="AE57" s="15">
        <v>517915.84</v>
      </c>
      <c r="AF57" s="513">
        <f t="shared" si="55"/>
        <v>0</v>
      </c>
      <c r="AG57" s="513">
        <f t="shared" si="55"/>
        <v>0</v>
      </c>
      <c r="AH57" s="15"/>
      <c r="AI57" s="516">
        <v>517915.84</v>
      </c>
    </row>
    <row r="58" spans="1:35" x14ac:dyDescent="0.2">
      <c r="A58" s="502" t="s">
        <v>910</v>
      </c>
      <c r="B58" s="14">
        <v>18</v>
      </c>
      <c r="C58" s="10">
        <f>181625.11/B58</f>
        <v>10090.283888888887</v>
      </c>
      <c r="D58" s="10"/>
      <c r="E58" s="10"/>
      <c r="F58" s="10"/>
      <c r="G58" s="10"/>
      <c r="H58" s="10"/>
      <c r="I58" s="10"/>
      <c r="J58" s="10"/>
      <c r="K58" s="515">
        <f t="shared" si="49"/>
        <v>10090.283888888887</v>
      </c>
      <c r="L58" s="10">
        <v>1000</v>
      </c>
      <c r="M58" s="10"/>
      <c r="N58" s="13">
        <f t="shared" si="50"/>
        <v>1000</v>
      </c>
      <c r="O58" s="517">
        <f t="shared" si="51"/>
        <v>122083.40666666665</v>
      </c>
      <c r="P58" s="15">
        <v>2197501.3199999998</v>
      </c>
      <c r="Q58" s="14">
        <v>18</v>
      </c>
      <c r="R58" s="10">
        <f>181625.11/Q58</f>
        <v>10090.283888888887</v>
      </c>
      <c r="S58" s="10"/>
      <c r="T58" s="10"/>
      <c r="U58" s="10"/>
      <c r="V58" s="10"/>
      <c r="W58" s="10"/>
      <c r="X58" s="10"/>
      <c r="Y58" s="10"/>
      <c r="Z58" s="515">
        <f t="shared" si="52"/>
        <v>10090.283888888887</v>
      </c>
      <c r="AA58" s="10">
        <v>1000</v>
      </c>
      <c r="AB58" s="10"/>
      <c r="AC58" s="13">
        <f t="shared" si="53"/>
        <v>1000</v>
      </c>
      <c r="AD58" s="517">
        <f t="shared" si="54"/>
        <v>122083.40666666665</v>
      </c>
      <c r="AE58" s="15">
        <v>2197501.3199999998</v>
      </c>
      <c r="AF58" s="513">
        <f t="shared" si="55"/>
        <v>0</v>
      </c>
      <c r="AG58" s="513">
        <f t="shared" si="55"/>
        <v>0</v>
      </c>
      <c r="AH58" s="15"/>
      <c r="AI58" s="516">
        <v>2197501.3199999998</v>
      </c>
    </row>
    <row r="59" spans="1:35" x14ac:dyDescent="0.2">
      <c r="A59" s="502" t="s">
        <v>911</v>
      </c>
      <c r="B59" s="14">
        <v>17</v>
      </c>
      <c r="C59" s="10">
        <f>165393.85/B59</f>
        <v>9729.0500000000011</v>
      </c>
      <c r="D59" s="10"/>
      <c r="E59" s="10"/>
      <c r="F59" s="10"/>
      <c r="G59" s="10"/>
      <c r="H59" s="10"/>
      <c r="I59" s="10"/>
      <c r="J59" s="10"/>
      <c r="K59" s="515">
        <f t="shared" si="49"/>
        <v>9729.0500000000011</v>
      </c>
      <c r="L59" s="10">
        <v>1000</v>
      </c>
      <c r="M59" s="10"/>
      <c r="N59" s="13">
        <f t="shared" si="50"/>
        <v>1000</v>
      </c>
      <c r="O59" s="517">
        <f t="shared" si="51"/>
        <v>117748.6</v>
      </c>
      <c r="P59" s="15">
        <v>2001726.2</v>
      </c>
      <c r="Q59" s="14">
        <v>17</v>
      </c>
      <c r="R59" s="10">
        <f>165393.85/Q59</f>
        <v>9729.0500000000011</v>
      </c>
      <c r="S59" s="10"/>
      <c r="T59" s="10"/>
      <c r="U59" s="10"/>
      <c r="V59" s="10"/>
      <c r="W59" s="10"/>
      <c r="X59" s="10"/>
      <c r="Y59" s="10"/>
      <c r="Z59" s="515">
        <f t="shared" si="52"/>
        <v>9729.0500000000011</v>
      </c>
      <c r="AA59" s="10">
        <v>1000</v>
      </c>
      <c r="AB59" s="10"/>
      <c r="AC59" s="13">
        <f t="shared" si="53"/>
        <v>1000</v>
      </c>
      <c r="AD59" s="517">
        <f t="shared" si="54"/>
        <v>117748.6</v>
      </c>
      <c r="AE59" s="15">
        <v>2001726.2</v>
      </c>
      <c r="AF59" s="513">
        <f t="shared" si="55"/>
        <v>0</v>
      </c>
      <c r="AG59" s="513">
        <f t="shared" si="55"/>
        <v>0</v>
      </c>
      <c r="AH59" s="15"/>
      <c r="AI59" s="516">
        <v>2001726.2</v>
      </c>
    </row>
    <row r="60" spans="1:35" x14ac:dyDescent="0.2">
      <c r="A60" s="502" t="s">
        <v>912</v>
      </c>
      <c r="B60" s="14">
        <v>30</v>
      </c>
      <c r="C60" s="10">
        <f>262131.26/B60</f>
        <v>8737.7086666666673</v>
      </c>
      <c r="D60" s="10"/>
      <c r="E60" s="10"/>
      <c r="F60" s="10"/>
      <c r="G60" s="10"/>
      <c r="H60" s="10"/>
      <c r="I60" s="10"/>
      <c r="J60" s="10"/>
      <c r="K60" s="515">
        <f t="shared" si="49"/>
        <v>8737.7086666666673</v>
      </c>
      <c r="L60" s="10">
        <v>1000</v>
      </c>
      <c r="M60" s="10"/>
      <c r="N60" s="13">
        <f t="shared" si="50"/>
        <v>1000</v>
      </c>
      <c r="O60" s="517">
        <f t="shared" si="51"/>
        <v>105852.50400000002</v>
      </c>
      <c r="P60" s="15">
        <v>317575.12</v>
      </c>
      <c r="Q60" s="14">
        <v>30</v>
      </c>
      <c r="R60" s="10">
        <f>262131.26/Q60</f>
        <v>8737.7086666666673</v>
      </c>
      <c r="S60" s="10"/>
      <c r="T60" s="10"/>
      <c r="U60" s="10"/>
      <c r="V60" s="10"/>
      <c r="W60" s="10"/>
      <c r="X60" s="10"/>
      <c r="Y60" s="10"/>
      <c r="Z60" s="515">
        <f t="shared" si="52"/>
        <v>8737.7086666666673</v>
      </c>
      <c r="AA60" s="10">
        <v>1000</v>
      </c>
      <c r="AB60" s="10"/>
      <c r="AC60" s="13">
        <f t="shared" si="53"/>
        <v>1000</v>
      </c>
      <c r="AD60" s="517">
        <f t="shared" si="54"/>
        <v>105852.50400000002</v>
      </c>
      <c r="AE60" s="15">
        <v>317575.12</v>
      </c>
      <c r="AF60" s="513">
        <f t="shared" si="55"/>
        <v>0</v>
      </c>
      <c r="AG60" s="513">
        <f t="shared" si="55"/>
        <v>0</v>
      </c>
      <c r="AH60" s="15"/>
      <c r="AI60" s="516">
        <v>317575.12</v>
      </c>
    </row>
    <row r="61" spans="1:35" x14ac:dyDescent="0.2">
      <c r="A61" s="502" t="s">
        <v>913</v>
      </c>
      <c r="B61" s="14">
        <v>3</v>
      </c>
      <c r="C61" s="10">
        <f>19170.05/B61</f>
        <v>6390.0166666666664</v>
      </c>
      <c r="D61" s="10"/>
      <c r="E61" s="10"/>
      <c r="F61" s="10"/>
      <c r="G61" s="10"/>
      <c r="H61" s="10"/>
      <c r="I61" s="10"/>
      <c r="J61" s="10"/>
      <c r="K61" s="515">
        <f t="shared" si="49"/>
        <v>6390.0166666666664</v>
      </c>
      <c r="L61" s="10">
        <v>1000</v>
      </c>
      <c r="M61" s="10"/>
      <c r="N61" s="13">
        <f t="shared" si="50"/>
        <v>1000</v>
      </c>
      <c r="O61" s="517">
        <f t="shared" si="51"/>
        <v>77680.2</v>
      </c>
      <c r="P61" s="15">
        <v>233040.6</v>
      </c>
      <c r="Q61" s="14">
        <v>3</v>
      </c>
      <c r="R61" s="10">
        <f>19170.05/Q61</f>
        <v>6390.0166666666664</v>
      </c>
      <c r="S61" s="10"/>
      <c r="T61" s="10"/>
      <c r="U61" s="10"/>
      <c r="V61" s="10"/>
      <c r="W61" s="10"/>
      <c r="X61" s="10"/>
      <c r="Y61" s="10"/>
      <c r="Z61" s="515">
        <f t="shared" si="52"/>
        <v>6390.0166666666664</v>
      </c>
      <c r="AA61" s="10">
        <v>1000</v>
      </c>
      <c r="AB61" s="10"/>
      <c r="AC61" s="13">
        <f t="shared" si="53"/>
        <v>1000</v>
      </c>
      <c r="AD61" s="517">
        <f t="shared" si="54"/>
        <v>77680.2</v>
      </c>
      <c r="AE61" s="15">
        <v>233040.6</v>
      </c>
      <c r="AF61" s="513">
        <f t="shared" si="55"/>
        <v>0</v>
      </c>
      <c r="AG61" s="513">
        <f t="shared" si="55"/>
        <v>0</v>
      </c>
      <c r="AH61" s="15"/>
      <c r="AI61" s="516">
        <v>233040.6</v>
      </c>
    </row>
    <row r="62" spans="1:35" x14ac:dyDescent="0.2">
      <c r="A62" s="502" t="s">
        <v>914</v>
      </c>
      <c r="B62" s="14">
        <v>2</v>
      </c>
      <c r="C62" s="10">
        <f>12173.05/B62</f>
        <v>6086.5249999999996</v>
      </c>
      <c r="D62" s="10"/>
      <c r="E62" s="10"/>
      <c r="F62" s="10"/>
      <c r="G62" s="10"/>
      <c r="H62" s="10"/>
      <c r="I62" s="10"/>
      <c r="J62" s="10"/>
      <c r="K62" s="515">
        <f t="shared" si="49"/>
        <v>6086.5249999999996</v>
      </c>
      <c r="L62" s="10">
        <v>1000</v>
      </c>
      <c r="M62" s="10"/>
      <c r="N62" s="13">
        <f t="shared" si="50"/>
        <v>1000</v>
      </c>
      <c r="O62" s="517">
        <f t="shared" si="51"/>
        <v>74038.299999999988</v>
      </c>
      <c r="P62" s="15">
        <v>157676.6</v>
      </c>
      <c r="Q62" s="14">
        <v>2</v>
      </c>
      <c r="R62" s="10">
        <f>12173.05/Q62</f>
        <v>6086.5249999999996</v>
      </c>
      <c r="S62" s="10"/>
      <c r="T62" s="10"/>
      <c r="U62" s="10"/>
      <c r="V62" s="10"/>
      <c r="W62" s="10"/>
      <c r="X62" s="10"/>
      <c r="Y62" s="10"/>
      <c r="Z62" s="515">
        <f t="shared" si="52"/>
        <v>6086.5249999999996</v>
      </c>
      <c r="AA62" s="10">
        <v>1000</v>
      </c>
      <c r="AB62" s="10"/>
      <c r="AC62" s="13">
        <f t="shared" si="53"/>
        <v>1000</v>
      </c>
      <c r="AD62" s="517">
        <f t="shared" si="54"/>
        <v>74038.299999999988</v>
      </c>
      <c r="AE62" s="15">
        <v>157676.6</v>
      </c>
      <c r="AF62" s="513">
        <f t="shared" si="55"/>
        <v>0</v>
      </c>
      <c r="AG62" s="513">
        <f t="shared" si="55"/>
        <v>0</v>
      </c>
      <c r="AH62" s="15"/>
      <c r="AI62" s="516">
        <v>157676.6</v>
      </c>
    </row>
    <row r="63" spans="1:35" x14ac:dyDescent="0.2">
      <c r="A63" s="502" t="s">
        <v>915</v>
      </c>
      <c r="B63" s="14">
        <v>13</v>
      </c>
      <c r="C63" s="10">
        <f>82467.32/B63</f>
        <v>6343.64</v>
      </c>
      <c r="D63" s="10"/>
      <c r="E63" s="10"/>
      <c r="F63" s="10"/>
      <c r="G63" s="10"/>
      <c r="H63" s="10"/>
      <c r="I63" s="10"/>
      <c r="J63" s="10"/>
      <c r="K63" s="515">
        <f t="shared" si="49"/>
        <v>6343.64</v>
      </c>
      <c r="L63" s="10">
        <v>1000</v>
      </c>
      <c r="M63" s="10"/>
      <c r="N63" s="13">
        <f t="shared" si="50"/>
        <v>1000</v>
      </c>
      <c r="O63" s="517">
        <f t="shared" si="51"/>
        <v>77123.680000000008</v>
      </c>
      <c r="P63" s="15">
        <v>1002607.84</v>
      </c>
      <c r="Q63" s="14">
        <v>13</v>
      </c>
      <c r="R63" s="10">
        <f>82467.32/Q63</f>
        <v>6343.64</v>
      </c>
      <c r="S63" s="10"/>
      <c r="T63" s="10"/>
      <c r="U63" s="10"/>
      <c r="V63" s="10"/>
      <c r="W63" s="10"/>
      <c r="X63" s="10"/>
      <c r="Y63" s="10"/>
      <c r="Z63" s="515">
        <f t="shared" si="52"/>
        <v>6343.64</v>
      </c>
      <c r="AA63" s="10">
        <v>1000</v>
      </c>
      <c r="AB63" s="10"/>
      <c r="AC63" s="13">
        <f t="shared" si="53"/>
        <v>1000</v>
      </c>
      <c r="AD63" s="517">
        <f t="shared" si="54"/>
        <v>77123.680000000008</v>
      </c>
      <c r="AE63" s="15">
        <v>1002607.84</v>
      </c>
      <c r="AF63" s="513">
        <f t="shared" si="55"/>
        <v>0</v>
      </c>
      <c r="AG63" s="513">
        <f t="shared" si="55"/>
        <v>0</v>
      </c>
      <c r="AH63" s="15"/>
      <c r="AI63" s="516">
        <v>1002607.84</v>
      </c>
    </row>
    <row r="64" spans="1:35" x14ac:dyDescent="0.2">
      <c r="A64" s="502" t="s">
        <v>916</v>
      </c>
      <c r="B64" s="14">
        <v>22</v>
      </c>
      <c r="C64" s="10">
        <f>149460.89/B64</f>
        <v>6793.6768181818188</v>
      </c>
      <c r="D64" s="10"/>
      <c r="E64" s="10"/>
      <c r="F64" s="10"/>
      <c r="G64" s="10"/>
      <c r="H64" s="10"/>
      <c r="I64" s="10"/>
      <c r="J64" s="10"/>
      <c r="K64" s="515">
        <f t="shared" si="49"/>
        <v>6793.6768181818188</v>
      </c>
      <c r="L64" s="10">
        <v>1000</v>
      </c>
      <c r="M64" s="10"/>
      <c r="N64" s="13">
        <f t="shared" si="50"/>
        <v>1000</v>
      </c>
      <c r="O64" s="517">
        <f t="shared" si="51"/>
        <v>82524.121818181826</v>
      </c>
      <c r="P64" s="15">
        <v>181913068</v>
      </c>
      <c r="Q64" s="14">
        <v>22</v>
      </c>
      <c r="R64" s="10">
        <f>149460.89/Q64</f>
        <v>6793.6768181818188</v>
      </c>
      <c r="S64" s="10"/>
      <c r="T64" s="10"/>
      <c r="U64" s="10"/>
      <c r="V64" s="10"/>
      <c r="W64" s="10"/>
      <c r="X64" s="10"/>
      <c r="Y64" s="10"/>
      <c r="Z64" s="515">
        <f t="shared" si="52"/>
        <v>6793.6768181818188</v>
      </c>
      <c r="AA64" s="10">
        <v>1000</v>
      </c>
      <c r="AB64" s="10"/>
      <c r="AC64" s="13">
        <f t="shared" si="53"/>
        <v>1000</v>
      </c>
      <c r="AD64" s="517">
        <f t="shared" si="54"/>
        <v>82524.121818181826</v>
      </c>
      <c r="AE64" s="15">
        <v>181913068</v>
      </c>
      <c r="AF64" s="513">
        <f t="shared" si="55"/>
        <v>0</v>
      </c>
      <c r="AG64" s="513">
        <f t="shared" si="55"/>
        <v>0</v>
      </c>
      <c r="AH64" s="15"/>
      <c r="AI64" s="516">
        <v>181913068</v>
      </c>
    </row>
    <row r="65" spans="1:35" x14ac:dyDescent="0.2">
      <c r="A65" s="502" t="s">
        <v>917</v>
      </c>
      <c r="B65" s="14">
        <v>8</v>
      </c>
      <c r="C65" s="10">
        <f>51807.72/B65</f>
        <v>6475.9650000000001</v>
      </c>
      <c r="D65" s="10"/>
      <c r="E65" s="10"/>
      <c r="F65" s="10"/>
      <c r="G65" s="10"/>
      <c r="H65" s="10"/>
      <c r="I65" s="10"/>
      <c r="J65" s="10"/>
      <c r="K65" s="515">
        <f t="shared" si="49"/>
        <v>6475.9650000000001</v>
      </c>
      <c r="L65" s="10">
        <v>1000</v>
      </c>
      <c r="M65" s="10"/>
      <c r="N65" s="13">
        <f t="shared" si="50"/>
        <v>1000</v>
      </c>
      <c r="O65" s="517">
        <f t="shared" si="51"/>
        <v>78711.58</v>
      </c>
      <c r="P65" s="15">
        <v>629692.64</v>
      </c>
      <c r="Q65" s="14">
        <v>8</v>
      </c>
      <c r="R65" s="10">
        <f>51807.72/Q65</f>
        <v>6475.9650000000001</v>
      </c>
      <c r="S65" s="10"/>
      <c r="T65" s="10"/>
      <c r="U65" s="10"/>
      <c r="V65" s="10"/>
      <c r="W65" s="10"/>
      <c r="X65" s="10"/>
      <c r="Y65" s="10"/>
      <c r="Z65" s="515">
        <f t="shared" si="52"/>
        <v>6475.9650000000001</v>
      </c>
      <c r="AA65" s="10">
        <v>1000</v>
      </c>
      <c r="AB65" s="10"/>
      <c r="AC65" s="13">
        <f t="shared" si="53"/>
        <v>1000</v>
      </c>
      <c r="AD65" s="517">
        <f t="shared" si="54"/>
        <v>78711.58</v>
      </c>
      <c r="AE65" s="15">
        <v>629692.64</v>
      </c>
      <c r="AF65" s="513">
        <f t="shared" si="55"/>
        <v>0</v>
      </c>
      <c r="AG65" s="513">
        <f t="shared" si="55"/>
        <v>0</v>
      </c>
      <c r="AH65" s="15"/>
      <c r="AI65" s="516">
        <v>629692.64</v>
      </c>
    </row>
    <row r="66" spans="1:35" x14ac:dyDescent="0.2">
      <c r="A66" s="502" t="s">
        <v>918</v>
      </c>
      <c r="B66" s="14">
        <v>20</v>
      </c>
      <c r="C66" s="10">
        <f>130156.6/B66</f>
        <v>6507.83</v>
      </c>
      <c r="D66" s="10"/>
      <c r="E66" s="10"/>
      <c r="F66" s="10"/>
      <c r="G66" s="10"/>
      <c r="H66" s="10"/>
      <c r="I66" s="10"/>
      <c r="J66" s="10"/>
      <c r="K66" s="515">
        <f t="shared" si="49"/>
        <v>6507.83</v>
      </c>
      <c r="L66" s="10">
        <v>1000</v>
      </c>
      <c r="M66" s="10"/>
      <c r="N66" s="13">
        <f t="shared" si="50"/>
        <v>1000</v>
      </c>
      <c r="O66" s="517">
        <f t="shared" si="51"/>
        <v>79093.959999999992</v>
      </c>
      <c r="P66" s="15">
        <v>1581879.2</v>
      </c>
      <c r="Q66" s="14">
        <v>20</v>
      </c>
      <c r="R66" s="10">
        <f>130156.6/Q66</f>
        <v>6507.83</v>
      </c>
      <c r="S66" s="10"/>
      <c r="T66" s="10"/>
      <c r="U66" s="10"/>
      <c r="V66" s="10"/>
      <c r="W66" s="10"/>
      <c r="X66" s="10"/>
      <c r="Y66" s="10"/>
      <c r="Z66" s="515">
        <f t="shared" si="52"/>
        <v>6507.83</v>
      </c>
      <c r="AA66" s="10">
        <v>1000</v>
      </c>
      <c r="AB66" s="10"/>
      <c r="AC66" s="13">
        <f t="shared" si="53"/>
        <v>1000</v>
      </c>
      <c r="AD66" s="517">
        <f t="shared" si="54"/>
        <v>79093.959999999992</v>
      </c>
      <c r="AE66" s="15">
        <v>1581879.2</v>
      </c>
      <c r="AF66" s="513">
        <f t="shared" si="55"/>
        <v>0</v>
      </c>
      <c r="AG66" s="513">
        <f t="shared" si="55"/>
        <v>0</v>
      </c>
      <c r="AH66" s="15"/>
      <c r="AI66" s="516">
        <v>1581879.2</v>
      </c>
    </row>
    <row r="67" spans="1:35" x14ac:dyDescent="0.2">
      <c r="A67" s="502" t="s">
        <v>919</v>
      </c>
      <c r="B67" s="14">
        <v>9</v>
      </c>
      <c r="C67" s="10">
        <f>58233.74/B67</f>
        <v>6470.4155555555553</v>
      </c>
      <c r="D67" s="10"/>
      <c r="E67" s="10"/>
      <c r="F67" s="10"/>
      <c r="G67" s="10"/>
      <c r="H67" s="10"/>
      <c r="I67" s="10"/>
      <c r="J67" s="10"/>
      <c r="K67" s="515">
        <f t="shared" si="49"/>
        <v>6470.4155555555553</v>
      </c>
      <c r="L67" s="10">
        <v>1000</v>
      </c>
      <c r="M67" s="10"/>
      <c r="N67" s="13">
        <f t="shared" si="50"/>
        <v>1000</v>
      </c>
      <c r="O67" s="517">
        <f t="shared" si="51"/>
        <v>78644.986666666664</v>
      </c>
      <c r="P67" s="15">
        <v>707804.88</v>
      </c>
      <c r="Q67" s="14">
        <v>9</v>
      </c>
      <c r="R67" s="10">
        <f>58233.74/Q67</f>
        <v>6470.4155555555553</v>
      </c>
      <c r="S67" s="10"/>
      <c r="T67" s="10"/>
      <c r="U67" s="10"/>
      <c r="V67" s="10"/>
      <c r="W67" s="10"/>
      <c r="X67" s="10"/>
      <c r="Y67" s="10"/>
      <c r="Z67" s="515">
        <f t="shared" si="52"/>
        <v>6470.4155555555553</v>
      </c>
      <c r="AA67" s="10">
        <v>1000</v>
      </c>
      <c r="AB67" s="10"/>
      <c r="AC67" s="13">
        <f t="shared" si="53"/>
        <v>1000</v>
      </c>
      <c r="AD67" s="517">
        <f t="shared" si="54"/>
        <v>78644.986666666664</v>
      </c>
      <c r="AE67" s="15">
        <v>707804.88</v>
      </c>
      <c r="AF67" s="513">
        <f t="shared" si="55"/>
        <v>0</v>
      </c>
      <c r="AG67" s="513">
        <f t="shared" si="55"/>
        <v>0</v>
      </c>
      <c r="AH67" s="15"/>
      <c r="AI67" s="516">
        <v>707804.88</v>
      </c>
    </row>
    <row r="68" spans="1:35" x14ac:dyDescent="0.2">
      <c r="A68" s="502" t="s">
        <v>920</v>
      </c>
      <c r="B68" s="14">
        <v>77</v>
      </c>
      <c r="C68" s="10">
        <f>419827.96/B68</f>
        <v>5452.3111688311692</v>
      </c>
      <c r="D68" s="10"/>
      <c r="E68" s="10"/>
      <c r="F68" s="10"/>
      <c r="G68" s="10"/>
      <c r="H68" s="10"/>
      <c r="I68" s="10"/>
      <c r="J68" s="10"/>
      <c r="K68" s="515">
        <f t="shared" si="49"/>
        <v>5452.3111688311692</v>
      </c>
      <c r="L68" s="10">
        <v>1000</v>
      </c>
      <c r="M68" s="10"/>
      <c r="N68" s="13">
        <f t="shared" si="50"/>
        <v>1000</v>
      </c>
      <c r="O68" s="517">
        <f t="shared" si="51"/>
        <v>66427.73402597403</v>
      </c>
      <c r="P68" s="15">
        <v>5114935.5199999996</v>
      </c>
      <c r="Q68" s="14">
        <v>77</v>
      </c>
      <c r="R68" s="10">
        <f>419827.96/Q68</f>
        <v>5452.3111688311692</v>
      </c>
      <c r="S68" s="10"/>
      <c r="T68" s="10"/>
      <c r="U68" s="10"/>
      <c r="V68" s="10"/>
      <c r="W68" s="10"/>
      <c r="X68" s="10"/>
      <c r="Y68" s="10"/>
      <c r="Z68" s="515">
        <f t="shared" si="52"/>
        <v>5452.3111688311692</v>
      </c>
      <c r="AA68" s="10">
        <v>1000</v>
      </c>
      <c r="AB68" s="10"/>
      <c r="AC68" s="13">
        <f t="shared" si="53"/>
        <v>1000</v>
      </c>
      <c r="AD68" s="517">
        <f t="shared" si="54"/>
        <v>66427.73402597403</v>
      </c>
      <c r="AE68" s="15">
        <v>5114935.5199999996</v>
      </c>
      <c r="AF68" s="513">
        <f t="shared" si="55"/>
        <v>0</v>
      </c>
      <c r="AG68" s="513">
        <f t="shared" si="55"/>
        <v>0</v>
      </c>
      <c r="AH68" s="15"/>
      <c r="AI68" s="516">
        <v>5114935.5199999996</v>
      </c>
    </row>
    <row r="69" spans="1:35" x14ac:dyDescent="0.2">
      <c r="A69" s="502" t="s">
        <v>921</v>
      </c>
      <c r="B69" s="14">
        <v>8</v>
      </c>
      <c r="C69" s="10">
        <f>53612.61/B69</f>
        <v>6701.5762500000001</v>
      </c>
      <c r="D69" s="10"/>
      <c r="E69" s="10"/>
      <c r="F69" s="10"/>
      <c r="G69" s="10"/>
      <c r="H69" s="10"/>
      <c r="I69" s="10"/>
      <c r="J69" s="10"/>
      <c r="K69" s="515">
        <f t="shared" si="49"/>
        <v>6701.5762500000001</v>
      </c>
      <c r="L69" s="10">
        <v>1000</v>
      </c>
      <c r="M69" s="10"/>
      <c r="N69" s="13">
        <f t="shared" si="50"/>
        <v>1000</v>
      </c>
      <c r="O69" s="517">
        <f t="shared" si="51"/>
        <v>81418.915000000008</v>
      </c>
      <c r="P69" s="15">
        <v>651351351.32000005</v>
      </c>
      <c r="Q69" s="14">
        <v>8</v>
      </c>
      <c r="R69" s="10">
        <f>53612.61/Q69</f>
        <v>6701.5762500000001</v>
      </c>
      <c r="S69" s="10"/>
      <c r="T69" s="10"/>
      <c r="U69" s="10"/>
      <c r="V69" s="10"/>
      <c r="W69" s="10"/>
      <c r="X69" s="10"/>
      <c r="Y69" s="10"/>
      <c r="Z69" s="515">
        <f t="shared" si="52"/>
        <v>6701.5762500000001</v>
      </c>
      <c r="AA69" s="10">
        <v>1000</v>
      </c>
      <c r="AB69" s="10"/>
      <c r="AC69" s="13">
        <f t="shared" si="53"/>
        <v>1000</v>
      </c>
      <c r="AD69" s="517">
        <f t="shared" si="54"/>
        <v>81418.915000000008</v>
      </c>
      <c r="AE69" s="15">
        <v>651351351.32000005</v>
      </c>
      <c r="AF69" s="513">
        <f t="shared" si="55"/>
        <v>0</v>
      </c>
      <c r="AG69" s="513">
        <f t="shared" si="55"/>
        <v>0</v>
      </c>
      <c r="AH69" s="15"/>
      <c r="AI69" s="516">
        <v>651351351.32000005</v>
      </c>
    </row>
    <row r="70" spans="1:35" x14ac:dyDescent="0.2">
      <c r="A70" s="502" t="s">
        <v>922</v>
      </c>
      <c r="B70" s="14">
        <v>5</v>
      </c>
      <c r="C70" s="10">
        <f>35444.6/B70</f>
        <v>7088.92</v>
      </c>
      <c r="D70" s="10"/>
      <c r="E70" s="10"/>
      <c r="F70" s="10"/>
      <c r="G70" s="10"/>
      <c r="H70" s="10"/>
      <c r="I70" s="10"/>
      <c r="J70" s="10"/>
      <c r="K70" s="515">
        <f t="shared" si="49"/>
        <v>7088.92</v>
      </c>
      <c r="L70" s="10">
        <v>1000</v>
      </c>
      <c r="M70" s="10"/>
      <c r="N70" s="13">
        <f t="shared" si="50"/>
        <v>1000</v>
      </c>
      <c r="O70" s="517">
        <f t="shared" si="51"/>
        <v>86067.040000000008</v>
      </c>
      <c r="P70" s="15">
        <v>430335.2</v>
      </c>
      <c r="Q70" s="14">
        <v>5</v>
      </c>
      <c r="R70" s="10">
        <f>35444.6/Q70</f>
        <v>7088.92</v>
      </c>
      <c r="S70" s="10"/>
      <c r="T70" s="10"/>
      <c r="U70" s="10"/>
      <c r="V70" s="10"/>
      <c r="W70" s="10"/>
      <c r="X70" s="10"/>
      <c r="Y70" s="10"/>
      <c r="Z70" s="515">
        <f t="shared" si="52"/>
        <v>7088.92</v>
      </c>
      <c r="AA70" s="10">
        <v>1000</v>
      </c>
      <c r="AB70" s="10"/>
      <c r="AC70" s="13">
        <f t="shared" si="53"/>
        <v>1000</v>
      </c>
      <c r="AD70" s="517">
        <f t="shared" si="54"/>
        <v>86067.040000000008</v>
      </c>
      <c r="AE70" s="15">
        <v>430335.2</v>
      </c>
      <c r="AF70" s="513">
        <f t="shared" si="55"/>
        <v>0</v>
      </c>
      <c r="AG70" s="513">
        <f t="shared" si="55"/>
        <v>0</v>
      </c>
      <c r="AH70" s="15"/>
      <c r="AI70" s="516">
        <v>430335.2</v>
      </c>
    </row>
    <row r="71" spans="1:35" x14ac:dyDescent="0.2">
      <c r="A71" s="502" t="s">
        <v>923</v>
      </c>
      <c r="B71" s="14">
        <v>6</v>
      </c>
      <c r="C71" s="10">
        <f>37426.92/B71</f>
        <v>6237.82</v>
      </c>
      <c r="D71" s="10"/>
      <c r="E71" s="10"/>
      <c r="F71" s="10"/>
      <c r="G71" s="10"/>
      <c r="H71" s="10"/>
      <c r="I71" s="10"/>
      <c r="J71" s="10"/>
      <c r="K71" s="515">
        <f t="shared" si="49"/>
        <v>6237.82</v>
      </c>
      <c r="L71" s="10">
        <v>1000</v>
      </c>
      <c r="M71" s="10"/>
      <c r="N71" s="13">
        <f t="shared" si="50"/>
        <v>1000</v>
      </c>
      <c r="O71" s="517">
        <f t="shared" si="51"/>
        <v>75853.84</v>
      </c>
      <c r="P71" s="15">
        <v>455123.04</v>
      </c>
      <c r="Q71" s="14">
        <v>6</v>
      </c>
      <c r="R71" s="10">
        <f>37426.92/Q71</f>
        <v>6237.82</v>
      </c>
      <c r="S71" s="10"/>
      <c r="T71" s="10"/>
      <c r="U71" s="10"/>
      <c r="V71" s="10"/>
      <c r="W71" s="10"/>
      <c r="X71" s="10"/>
      <c r="Y71" s="10"/>
      <c r="Z71" s="515">
        <f t="shared" si="52"/>
        <v>6237.82</v>
      </c>
      <c r="AA71" s="10">
        <v>1000</v>
      </c>
      <c r="AB71" s="10"/>
      <c r="AC71" s="13">
        <f t="shared" si="53"/>
        <v>1000</v>
      </c>
      <c r="AD71" s="517">
        <f t="shared" si="54"/>
        <v>75853.84</v>
      </c>
      <c r="AE71" s="15">
        <v>455123.04</v>
      </c>
      <c r="AF71" s="513">
        <f t="shared" si="55"/>
        <v>0</v>
      </c>
      <c r="AG71" s="513">
        <f t="shared" si="55"/>
        <v>0</v>
      </c>
      <c r="AH71" s="15"/>
      <c r="AI71" s="516">
        <v>455123.04</v>
      </c>
    </row>
    <row r="72" spans="1:35" x14ac:dyDescent="0.2">
      <c r="A72" s="502" t="s">
        <v>924</v>
      </c>
      <c r="B72" s="14">
        <v>9</v>
      </c>
      <c r="C72" s="10">
        <f>63241.39/B72</f>
        <v>7026.8211111111113</v>
      </c>
      <c r="D72" s="10"/>
      <c r="E72" s="10"/>
      <c r="F72" s="10"/>
      <c r="G72" s="10"/>
      <c r="H72" s="10"/>
      <c r="I72" s="10"/>
      <c r="J72" s="10"/>
      <c r="K72" s="515">
        <f t="shared" si="49"/>
        <v>7026.8211111111113</v>
      </c>
      <c r="L72" s="10">
        <v>1000</v>
      </c>
      <c r="M72" s="10"/>
      <c r="N72" s="13">
        <f t="shared" si="50"/>
        <v>1000</v>
      </c>
      <c r="O72" s="517">
        <f t="shared" si="51"/>
        <v>85321.853333333333</v>
      </c>
      <c r="P72" s="15">
        <v>767896.68</v>
      </c>
      <c r="Q72" s="14">
        <v>9</v>
      </c>
      <c r="R72" s="10">
        <f>63241.39/Q72</f>
        <v>7026.8211111111113</v>
      </c>
      <c r="S72" s="10"/>
      <c r="T72" s="10"/>
      <c r="U72" s="10"/>
      <c r="V72" s="10"/>
      <c r="W72" s="10"/>
      <c r="X72" s="10"/>
      <c r="Y72" s="10"/>
      <c r="Z72" s="515">
        <f t="shared" si="52"/>
        <v>7026.8211111111113</v>
      </c>
      <c r="AA72" s="10">
        <v>1000</v>
      </c>
      <c r="AB72" s="10"/>
      <c r="AC72" s="13">
        <f t="shared" si="53"/>
        <v>1000</v>
      </c>
      <c r="AD72" s="517">
        <f t="shared" si="54"/>
        <v>85321.853333333333</v>
      </c>
      <c r="AE72" s="15">
        <v>767896.68</v>
      </c>
      <c r="AF72" s="513">
        <f t="shared" si="55"/>
        <v>0</v>
      </c>
      <c r="AG72" s="513">
        <f t="shared" si="55"/>
        <v>0</v>
      </c>
      <c r="AH72" s="15"/>
      <c r="AI72" s="516">
        <v>767896.68</v>
      </c>
    </row>
    <row r="73" spans="1:35" x14ac:dyDescent="0.2">
      <c r="A73" s="502" t="s">
        <v>925</v>
      </c>
      <c r="B73" s="14">
        <v>60</v>
      </c>
      <c r="C73" s="10">
        <f>350902.52/B73</f>
        <v>5848.3753333333334</v>
      </c>
      <c r="D73" s="10"/>
      <c r="E73" s="10"/>
      <c r="F73" s="10"/>
      <c r="G73" s="10"/>
      <c r="H73" s="10"/>
      <c r="I73" s="10"/>
      <c r="J73" s="10"/>
      <c r="K73" s="515">
        <f t="shared" si="49"/>
        <v>5848.3753333333334</v>
      </c>
      <c r="L73" s="10">
        <v>1000</v>
      </c>
      <c r="M73" s="10"/>
      <c r="N73" s="13">
        <f t="shared" si="50"/>
        <v>1000</v>
      </c>
      <c r="O73" s="517">
        <f t="shared" si="51"/>
        <v>71180.504000000001</v>
      </c>
      <c r="P73" s="15">
        <v>4270830.84</v>
      </c>
      <c r="Q73" s="14">
        <v>60</v>
      </c>
      <c r="R73" s="10">
        <f>350902.52/Q73</f>
        <v>5848.3753333333334</v>
      </c>
      <c r="S73" s="10"/>
      <c r="T73" s="10"/>
      <c r="U73" s="10"/>
      <c r="V73" s="10"/>
      <c r="W73" s="10"/>
      <c r="X73" s="10"/>
      <c r="Y73" s="10"/>
      <c r="Z73" s="515">
        <f t="shared" si="52"/>
        <v>5848.3753333333334</v>
      </c>
      <c r="AA73" s="10">
        <v>1000</v>
      </c>
      <c r="AB73" s="10"/>
      <c r="AC73" s="13">
        <f t="shared" si="53"/>
        <v>1000</v>
      </c>
      <c r="AD73" s="517">
        <f t="shared" si="54"/>
        <v>71180.504000000001</v>
      </c>
      <c r="AE73" s="15">
        <v>4270830.84</v>
      </c>
      <c r="AF73" s="513">
        <f t="shared" si="55"/>
        <v>0</v>
      </c>
      <c r="AG73" s="513">
        <f t="shared" si="55"/>
        <v>0</v>
      </c>
      <c r="AH73" s="15"/>
      <c r="AI73" s="516">
        <v>4270830.84</v>
      </c>
    </row>
    <row r="74" spans="1:35" x14ac:dyDescent="0.2">
      <c r="A74" s="502" t="s">
        <v>926</v>
      </c>
      <c r="B74" s="14">
        <v>1</v>
      </c>
      <c r="C74" s="10">
        <v>4946.1499999999996</v>
      </c>
      <c r="D74" s="10"/>
      <c r="E74" s="10"/>
      <c r="F74" s="10"/>
      <c r="G74" s="10"/>
      <c r="H74" s="10"/>
      <c r="I74" s="10"/>
      <c r="J74" s="10"/>
      <c r="K74" s="515">
        <f t="shared" si="49"/>
        <v>4946.1499999999996</v>
      </c>
      <c r="L74" s="10">
        <v>1000</v>
      </c>
      <c r="M74" s="10"/>
      <c r="N74" s="13">
        <f t="shared" si="50"/>
        <v>1000</v>
      </c>
      <c r="O74" s="517">
        <f t="shared" si="51"/>
        <v>60353.799999999996</v>
      </c>
      <c r="P74" s="15">
        <v>60353.8</v>
      </c>
      <c r="Q74" s="14">
        <v>1</v>
      </c>
      <c r="R74" s="10">
        <v>4946.1499999999996</v>
      </c>
      <c r="S74" s="10"/>
      <c r="T74" s="10"/>
      <c r="U74" s="10"/>
      <c r="V74" s="10"/>
      <c r="W74" s="10"/>
      <c r="X74" s="10"/>
      <c r="Y74" s="10"/>
      <c r="Z74" s="515">
        <f t="shared" si="52"/>
        <v>4946.1499999999996</v>
      </c>
      <c r="AA74" s="10">
        <v>1000</v>
      </c>
      <c r="AB74" s="10"/>
      <c r="AC74" s="13">
        <f t="shared" si="53"/>
        <v>1000</v>
      </c>
      <c r="AD74" s="517">
        <f t="shared" si="54"/>
        <v>60353.799999999996</v>
      </c>
      <c r="AE74" s="15">
        <v>60353.8</v>
      </c>
      <c r="AF74" s="513">
        <f t="shared" si="55"/>
        <v>0</v>
      </c>
      <c r="AG74" s="513">
        <f t="shared" si="55"/>
        <v>0</v>
      </c>
      <c r="AH74" s="15"/>
      <c r="AI74" s="516">
        <v>60353.8</v>
      </c>
    </row>
    <row r="75" spans="1:35" x14ac:dyDescent="0.2">
      <c r="A75" s="502" t="s">
        <v>927</v>
      </c>
      <c r="B75" s="14">
        <v>1</v>
      </c>
      <c r="C75" s="10">
        <v>4692.1099999999997</v>
      </c>
      <c r="D75" s="10"/>
      <c r="E75" s="10"/>
      <c r="F75" s="10"/>
      <c r="G75" s="10"/>
      <c r="H75" s="10"/>
      <c r="I75" s="10"/>
      <c r="J75" s="10"/>
      <c r="K75" s="515">
        <f t="shared" si="49"/>
        <v>4692.1099999999997</v>
      </c>
      <c r="L75" s="10">
        <v>1000</v>
      </c>
      <c r="M75" s="10"/>
      <c r="N75" s="13">
        <f t="shared" si="50"/>
        <v>1000</v>
      </c>
      <c r="O75" s="517">
        <f t="shared" si="51"/>
        <v>57305.319999999992</v>
      </c>
      <c r="P75" s="15">
        <v>57305.32</v>
      </c>
      <c r="Q75" s="14">
        <v>1</v>
      </c>
      <c r="R75" s="10">
        <v>4692.1099999999997</v>
      </c>
      <c r="S75" s="10"/>
      <c r="T75" s="10"/>
      <c r="U75" s="10"/>
      <c r="V75" s="10"/>
      <c r="W75" s="10"/>
      <c r="X75" s="10"/>
      <c r="Y75" s="10"/>
      <c r="Z75" s="515">
        <f t="shared" si="52"/>
        <v>4692.1099999999997</v>
      </c>
      <c r="AA75" s="10">
        <v>1000</v>
      </c>
      <c r="AB75" s="10"/>
      <c r="AC75" s="13">
        <f t="shared" si="53"/>
        <v>1000</v>
      </c>
      <c r="AD75" s="517">
        <f t="shared" si="54"/>
        <v>57305.319999999992</v>
      </c>
      <c r="AE75" s="15">
        <v>57305.32</v>
      </c>
      <c r="AF75" s="513">
        <f t="shared" si="55"/>
        <v>0</v>
      </c>
      <c r="AG75" s="513">
        <f t="shared" si="55"/>
        <v>0</v>
      </c>
      <c r="AH75" s="15"/>
      <c r="AI75" s="516">
        <v>57305.32</v>
      </c>
    </row>
    <row r="76" spans="1:35" x14ac:dyDescent="0.2">
      <c r="A76" s="502" t="s">
        <v>928</v>
      </c>
      <c r="B76" s="14">
        <v>1</v>
      </c>
      <c r="C76" s="10">
        <v>4356.62</v>
      </c>
      <c r="D76" s="10"/>
      <c r="E76" s="10"/>
      <c r="F76" s="10"/>
      <c r="G76" s="10"/>
      <c r="H76" s="10"/>
      <c r="I76" s="10"/>
      <c r="J76" s="10"/>
      <c r="K76" s="515">
        <f t="shared" si="49"/>
        <v>4356.62</v>
      </c>
      <c r="L76" s="10">
        <v>1000</v>
      </c>
      <c r="M76" s="10"/>
      <c r="N76" s="13">
        <f t="shared" si="50"/>
        <v>1000</v>
      </c>
      <c r="O76" s="517">
        <f t="shared" si="51"/>
        <v>53279.44</v>
      </c>
      <c r="P76" s="15">
        <v>53291.44</v>
      </c>
      <c r="Q76" s="14">
        <v>1</v>
      </c>
      <c r="R76" s="10">
        <v>4356.62</v>
      </c>
      <c r="S76" s="10"/>
      <c r="T76" s="10"/>
      <c r="U76" s="10"/>
      <c r="V76" s="10"/>
      <c r="W76" s="10"/>
      <c r="X76" s="10"/>
      <c r="Y76" s="10"/>
      <c r="Z76" s="515">
        <f t="shared" si="52"/>
        <v>4356.62</v>
      </c>
      <c r="AA76" s="10">
        <v>1000</v>
      </c>
      <c r="AB76" s="10"/>
      <c r="AC76" s="13">
        <f t="shared" si="53"/>
        <v>1000</v>
      </c>
      <c r="AD76" s="517">
        <f t="shared" si="54"/>
        <v>53279.44</v>
      </c>
      <c r="AE76" s="15">
        <v>53291.44</v>
      </c>
      <c r="AF76" s="513">
        <f t="shared" si="55"/>
        <v>0</v>
      </c>
      <c r="AG76" s="513">
        <f t="shared" si="55"/>
        <v>0</v>
      </c>
      <c r="AH76" s="15"/>
      <c r="AI76" s="516">
        <v>53291.44</v>
      </c>
    </row>
    <row r="77" spans="1:35" x14ac:dyDescent="0.2">
      <c r="A77" s="502" t="s">
        <v>929</v>
      </c>
      <c r="B77" s="14">
        <v>1</v>
      </c>
      <c r="C77" s="10">
        <v>6320.3</v>
      </c>
      <c r="D77" s="10"/>
      <c r="E77" s="10"/>
      <c r="F77" s="10"/>
      <c r="G77" s="10"/>
      <c r="H77" s="10"/>
      <c r="I77" s="10"/>
      <c r="J77" s="10"/>
      <c r="K77" s="515">
        <f t="shared" si="49"/>
        <v>6320.3</v>
      </c>
      <c r="L77" s="10">
        <v>1000</v>
      </c>
      <c r="M77" s="10"/>
      <c r="N77" s="13">
        <f t="shared" si="50"/>
        <v>1000</v>
      </c>
      <c r="O77" s="517">
        <f t="shared" si="51"/>
        <v>76843.600000000006</v>
      </c>
      <c r="P77" s="15">
        <v>76843.600000000006</v>
      </c>
      <c r="Q77" s="14">
        <v>1</v>
      </c>
      <c r="R77" s="10">
        <v>6320.3</v>
      </c>
      <c r="S77" s="10"/>
      <c r="T77" s="10"/>
      <c r="U77" s="10"/>
      <c r="V77" s="10"/>
      <c r="W77" s="10"/>
      <c r="X77" s="10"/>
      <c r="Y77" s="10"/>
      <c r="Z77" s="515">
        <f t="shared" si="52"/>
        <v>6320.3</v>
      </c>
      <c r="AA77" s="10">
        <v>1000</v>
      </c>
      <c r="AB77" s="10"/>
      <c r="AC77" s="13">
        <f t="shared" si="53"/>
        <v>1000</v>
      </c>
      <c r="AD77" s="517">
        <f t="shared" si="54"/>
        <v>76843.600000000006</v>
      </c>
      <c r="AE77" s="15">
        <v>76843.600000000006</v>
      </c>
      <c r="AF77" s="513">
        <f t="shared" si="55"/>
        <v>0</v>
      </c>
      <c r="AG77" s="513">
        <f t="shared" si="55"/>
        <v>0</v>
      </c>
      <c r="AH77" s="15"/>
      <c r="AI77" s="516">
        <v>76843.600000000006</v>
      </c>
    </row>
    <row r="78" spans="1:35" x14ac:dyDescent="0.2">
      <c r="A78" s="502" t="s">
        <v>929</v>
      </c>
      <c r="B78" s="14">
        <v>3</v>
      </c>
      <c r="C78" s="10">
        <f>16979/B78</f>
        <v>5659.666666666667</v>
      </c>
      <c r="D78" s="10"/>
      <c r="E78" s="10"/>
      <c r="F78" s="10"/>
      <c r="G78" s="10"/>
      <c r="H78" s="10"/>
      <c r="I78" s="10"/>
      <c r="J78" s="10"/>
      <c r="K78" s="515">
        <f t="shared" si="49"/>
        <v>5659.666666666667</v>
      </c>
      <c r="L78" s="10">
        <v>1000</v>
      </c>
      <c r="M78" s="10"/>
      <c r="N78" s="13">
        <f t="shared" si="50"/>
        <v>1000</v>
      </c>
      <c r="O78" s="517">
        <f t="shared" si="51"/>
        <v>68916</v>
      </c>
      <c r="P78" s="15">
        <v>206748</v>
      </c>
      <c r="Q78" s="14">
        <v>3</v>
      </c>
      <c r="R78" s="10">
        <f>16979/Q78</f>
        <v>5659.666666666667</v>
      </c>
      <c r="S78" s="10"/>
      <c r="T78" s="10"/>
      <c r="U78" s="10"/>
      <c r="V78" s="10"/>
      <c r="W78" s="10"/>
      <c r="X78" s="10"/>
      <c r="Y78" s="10"/>
      <c r="Z78" s="515">
        <f t="shared" si="52"/>
        <v>5659.666666666667</v>
      </c>
      <c r="AA78" s="10">
        <v>1000</v>
      </c>
      <c r="AB78" s="10"/>
      <c r="AC78" s="13">
        <f t="shared" si="53"/>
        <v>1000</v>
      </c>
      <c r="AD78" s="517">
        <f t="shared" si="54"/>
        <v>68916</v>
      </c>
      <c r="AE78" s="15">
        <v>206748</v>
      </c>
      <c r="AF78" s="513">
        <f t="shared" si="55"/>
        <v>0</v>
      </c>
      <c r="AG78" s="513">
        <f t="shared" si="55"/>
        <v>0</v>
      </c>
      <c r="AH78" s="15"/>
      <c r="AI78" s="516">
        <v>206748</v>
      </c>
    </row>
    <row r="79" spans="1:35" x14ac:dyDescent="0.2">
      <c r="A79" s="502" t="s">
        <v>930</v>
      </c>
      <c r="B79" s="14">
        <v>2</v>
      </c>
      <c r="C79" s="10">
        <f>11564.99/B79</f>
        <v>5782.4949999999999</v>
      </c>
      <c r="D79" s="10"/>
      <c r="E79" s="10"/>
      <c r="F79" s="10"/>
      <c r="G79" s="10"/>
      <c r="H79" s="10"/>
      <c r="I79" s="10"/>
      <c r="J79" s="10"/>
      <c r="K79" s="515">
        <f t="shared" si="49"/>
        <v>5782.4949999999999</v>
      </c>
      <c r="L79" s="10">
        <v>1000</v>
      </c>
      <c r="M79" s="10"/>
      <c r="N79" s="13">
        <f t="shared" si="50"/>
        <v>1000</v>
      </c>
      <c r="O79" s="517">
        <f t="shared" si="51"/>
        <v>70389.94</v>
      </c>
      <c r="P79" s="15">
        <v>140779.88</v>
      </c>
      <c r="Q79" s="14">
        <v>2</v>
      </c>
      <c r="R79" s="10">
        <f>11564.99/Q79</f>
        <v>5782.4949999999999</v>
      </c>
      <c r="S79" s="10"/>
      <c r="T79" s="10"/>
      <c r="U79" s="10"/>
      <c r="V79" s="10"/>
      <c r="W79" s="10"/>
      <c r="X79" s="10"/>
      <c r="Y79" s="10"/>
      <c r="Z79" s="515">
        <f t="shared" si="52"/>
        <v>5782.4949999999999</v>
      </c>
      <c r="AA79" s="10">
        <v>1000</v>
      </c>
      <c r="AB79" s="10"/>
      <c r="AC79" s="13">
        <f t="shared" si="53"/>
        <v>1000</v>
      </c>
      <c r="AD79" s="517">
        <f t="shared" si="54"/>
        <v>70389.94</v>
      </c>
      <c r="AE79" s="15">
        <v>140779.88</v>
      </c>
      <c r="AF79" s="513">
        <f t="shared" si="55"/>
        <v>0</v>
      </c>
      <c r="AG79" s="513">
        <f t="shared" si="55"/>
        <v>0</v>
      </c>
      <c r="AH79" s="15"/>
      <c r="AI79" s="516">
        <v>140779.88</v>
      </c>
    </row>
    <row r="80" spans="1:35" x14ac:dyDescent="0.2">
      <c r="A80" s="502" t="s">
        <v>931</v>
      </c>
      <c r="B80" s="14">
        <v>3</v>
      </c>
      <c r="C80" s="10">
        <f>19763.36/B80</f>
        <v>6587.7866666666669</v>
      </c>
      <c r="D80" s="10"/>
      <c r="E80" s="10"/>
      <c r="F80" s="10"/>
      <c r="G80" s="10"/>
      <c r="H80" s="10"/>
      <c r="I80" s="10"/>
      <c r="J80" s="10"/>
      <c r="K80" s="515">
        <f t="shared" si="49"/>
        <v>6587.7866666666669</v>
      </c>
      <c r="L80" s="10">
        <v>1000</v>
      </c>
      <c r="M80" s="10"/>
      <c r="N80" s="13">
        <f t="shared" si="50"/>
        <v>1000</v>
      </c>
      <c r="O80" s="517">
        <f t="shared" si="51"/>
        <v>80053.440000000002</v>
      </c>
      <c r="P80" s="15">
        <v>240160.32</v>
      </c>
      <c r="Q80" s="14">
        <v>3</v>
      </c>
      <c r="R80" s="10">
        <f>19763.36/Q80</f>
        <v>6587.7866666666669</v>
      </c>
      <c r="S80" s="10"/>
      <c r="T80" s="10"/>
      <c r="U80" s="10"/>
      <c r="V80" s="10"/>
      <c r="W80" s="10"/>
      <c r="X80" s="10"/>
      <c r="Y80" s="10"/>
      <c r="Z80" s="515">
        <f t="shared" si="52"/>
        <v>6587.7866666666669</v>
      </c>
      <c r="AA80" s="10">
        <v>1000</v>
      </c>
      <c r="AB80" s="10"/>
      <c r="AC80" s="13">
        <f t="shared" si="53"/>
        <v>1000</v>
      </c>
      <c r="AD80" s="517">
        <f t="shared" si="54"/>
        <v>80053.440000000002</v>
      </c>
      <c r="AE80" s="15">
        <v>240160.32</v>
      </c>
      <c r="AF80" s="513">
        <f t="shared" si="55"/>
        <v>0</v>
      </c>
      <c r="AG80" s="513">
        <f t="shared" si="55"/>
        <v>0</v>
      </c>
      <c r="AH80" s="15"/>
      <c r="AI80" s="516">
        <v>240160.32</v>
      </c>
    </row>
    <row r="81" spans="1:35" x14ac:dyDescent="0.2">
      <c r="A81" s="502" t="s">
        <v>932</v>
      </c>
      <c r="B81" s="14">
        <v>4</v>
      </c>
      <c r="C81" s="10">
        <f>23524.51/B81</f>
        <v>5881.1274999999996</v>
      </c>
      <c r="D81" s="10"/>
      <c r="E81" s="10"/>
      <c r="F81" s="10"/>
      <c r="G81" s="10"/>
      <c r="H81" s="10"/>
      <c r="I81" s="10"/>
      <c r="J81" s="10"/>
      <c r="K81" s="515">
        <f t="shared" si="49"/>
        <v>5881.1274999999996</v>
      </c>
      <c r="L81" s="10">
        <v>1000</v>
      </c>
      <c r="M81" s="10"/>
      <c r="N81" s="13">
        <f t="shared" si="50"/>
        <v>1000</v>
      </c>
      <c r="O81" s="517">
        <f t="shared" si="51"/>
        <v>71573.53</v>
      </c>
      <c r="P81" s="15">
        <v>286294.12</v>
      </c>
      <c r="Q81" s="14">
        <v>4</v>
      </c>
      <c r="R81" s="10">
        <f>23524.51/Q81</f>
        <v>5881.1274999999996</v>
      </c>
      <c r="S81" s="10"/>
      <c r="T81" s="10"/>
      <c r="U81" s="10"/>
      <c r="V81" s="10"/>
      <c r="W81" s="10"/>
      <c r="X81" s="10"/>
      <c r="Y81" s="10"/>
      <c r="Z81" s="515">
        <f t="shared" si="52"/>
        <v>5881.1274999999996</v>
      </c>
      <c r="AA81" s="10">
        <v>1000</v>
      </c>
      <c r="AB81" s="10"/>
      <c r="AC81" s="13">
        <f t="shared" si="53"/>
        <v>1000</v>
      </c>
      <c r="AD81" s="517">
        <f t="shared" si="54"/>
        <v>71573.53</v>
      </c>
      <c r="AE81" s="15">
        <v>286294.12</v>
      </c>
      <c r="AF81" s="513">
        <f t="shared" si="55"/>
        <v>0</v>
      </c>
      <c r="AG81" s="513">
        <f t="shared" si="55"/>
        <v>0</v>
      </c>
      <c r="AH81" s="15"/>
      <c r="AI81" s="516">
        <v>286294.12</v>
      </c>
    </row>
    <row r="82" spans="1:35" x14ac:dyDescent="0.2">
      <c r="A82" s="502" t="s">
        <v>933</v>
      </c>
      <c r="B82" s="14">
        <v>3</v>
      </c>
      <c r="C82" s="10">
        <f>19782.75/B82</f>
        <v>6594.25</v>
      </c>
      <c r="D82" s="10"/>
      <c r="E82" s="10"/>
      <c r="F82" s="10"/>
      <c r="G82" s="10"/>
      <c r="H82" s="10"/>
      <c r="I82" s="10"/>
      <c r="J82" s="10"/>
      <c r="K82" s="515">
        <f t="shared" si="49"/>
        <v>6594.25</v>
      </c>
      <c r="L82" s="10">
        <v>1000</v>
      </c>
      <c r="M82" s="10"/>
      <c r="N82" s="13">
        <f t="shared" si="50"/>
        <v>1000</v>
      </c>
      <c r="O82" s="517">
        <f t="shared" si="51"/>
        <v>80131</v>
      </c>
      <c r="P82" s="15">
        <v>240393</v>
      </c>
      <c r="Q82" s="14">
        <v>3</v>
      </c>
      <c r="R82" s="10">
        <f>19782.75/Q82</f>
        <v>6594.25</v>
      </c>
      <c r="S82" s="10"/>
      <c r="T82" s="10"/>
      <c r="U82" s="10"/>
      <c r="V82" s="10"/>
      <c r="W82" s="10"/>
      <c r="X82" s="10"/>
      <c r="Y82" s="10"/>
      <c r="Z82" s="515">
        <f t="shared" si="52"/>
        <v>6594.25</v>
      </c>
      <c r="AA82" s="10">
        <v>1000</v>
      </c>
      <c r="AB82" s="10"/>
      <c r="AC82" s="13">
        <f t="shared" si="53"/>
        <v>1000</v>
      </c>
      <c r="AD82" s="517">
        <f t="shared" si="54"/>
        <v>80131</v>
      </c>
      <c r="AE82" s="15">
        <v>240393</v>
      </c>
      <c r="AF82" s="513">
        <f t="shared" si="55"/>
        <v>0</v>
      </c>
      <c r="AG82" s="513">
        <f t="shared" si="55"/>
        <v>0</v>
      </c>
      <c r="AH82" s="15"/>
      <c r="AI82" s="516">
        <v>240393</v>
      </c>
    </row>
    <row r="83" spans="1:35" x14ac:dyDescent="0.2">
      <c r="A83" s="502" t="s">
        <v>934</v>
      </c>
      <c r="B83" s="14">
        <v>3</v>
      </c>
      <c r="C83" s="10">
        <f>21040.33/B83</f>
        <v>7013.4433333333336</v>
      </c>
      <c r="D83" s="10"/>
      <c r="E83" s="10"/>
      <c r="F83" s="10"/>
      <c r="G83" s="10"/>
      <c r="H83" s="10"/>
      <c r="I83" s="10"/>
      <c r="J83" s="10"/>
      <c r="K83" s="515">
        <f t="shared" si="49"/>
        <v>7013.4433333333336</v>
      </c>
      <c r="L83" s="10">
        <v>1000</v>
      </c>
      <c r="M83" s="10"/>
      <c r="N83" s="13">
        <f t="shared" si="50"/>
        <v>1000</v>
      </c>
      <c r="O83" s="517">
        <f t="shared" si="51"/>
        <v>85161.32</v>
      </c>
      <c r="P83" s="15">
        <v>255483.96</v>
      </c>
      <c r="Q83" s="14">
        <v>3</v>
      </c>
      <c r="R83" s="10">
        <f>21040.33/Q83</f>
        <v>7013.4433333333336</v>
      </c>
      <c r="S83" s="10"/>
      <c r="T83" s="10"/>
      <c r="U83" s="10"/>
      <c r="V83" s="10"/>
      <c r="W83" s="10"/>
      <c r="X83" s="10"/>
      <c r="Y83" s="10"/>
      <c r="Z83" s="515">
        <f t="shared" si="52"/>
        <v>7013.4433333333336</v>
      </c>
      <c r="AA83" s="10">
        <v>1000</v>
      </c>
      <c r="AB83" s="10"/>
      <c r="AC83" s="13">
        <f t="shared" si="53"/>
        <v>1000</v>
      </c>
      <c r="AD83" s="517">
        <f t="shared" si="54"/>
        <v>85161.32</v>
      </c>
      <c r="AE83" s="15">
        <v>255483.96</v>
      </c>
      <c r="AF83" s="513">
        <f t="shared" si="55"/>
        <v>0</v>
      </c>
      <c r="AG83" s="513">
        <f t="shared" si="55"/>
        <v>0</v>
      </c>
      <c r="AH83" s="15"/>
      <c r="AI83" s="516">
        <v>255483.96</v>
      </c>
    </row>
    <row r="84" spans="1:35" x14ac:dyDescent="0.2">
      <c r="A84" s="502" t="s">
        <v>935</v>
      </c>
      <c r="B84" s="14">
        <v>31</v>
      </c>
      <c r="C84" s="10">
        <f>172404.68/B84</f>
        <v>5561.4412903225802</v>
      </c>
      <c r="D84" s="10"/>
      <c r="E84" s="10"/>
      <c r="F84" s="10"/>
      <c r="G84" s="10"/>
      <c r="H84" s="10"/>
      <c r="I84" s="10"/>
      <c r="J84" s="10"/>
      <c r="K84" s="515">
        <f t="shared" si="49"/>
        <v>5561.4412903225802</v>
      </c>
      <c r="L84" s="10">
        <v>1000</v>
      </c>
      <c r="M84" s="10"/>
      <c r="N84" s="13">
        <f t="shared" si="50"/>
        <v>1000</v>
      </c>
      <c r="O84" s="517">
        <f t="shared" si="51"/>
        <v>67737.295483870956</v>
      </c>
      <c r="P84" s="15">
        <v>2099856.16</v>
      </c>
      <c r="Q84" s="14">
        <v>31</v>
      </c>
      <c r="R84" s="10">
        <f>172404.68/Q84</f>
        <v>5561.4412903225802</v>
      </c>
      <c r="S84" s="10"/>
      <c r="T84" s="10"/>
      <c r="U84" s="10"/>
      <c r="V84" s="10"/>
      <c r="W84" s="10"/>
      <c r="X84" s="10"/>
      <c r="Y84" s="10"/>
      <c r="Z84" s="515">
        <f t="shared" si="52"/>
        <v>5561.4412903225802</v>
      </c>
      <c r="AA84" s="10">
        <v>1000</v>
      </c>
      <c r="AB84" s="10"/>
      <c r="AC84" s="13">
        <f t="shared" si="53"/>
        <v>1000</v>
      </c>
      <c r="AD84" s="517">
        <f t="shared" si="54"/>
        <v>67737.295483870956</v>
      </c>
      <c r="AE84" s="15">
        <v>2099856.16</v>
      </c>
      <c r="AF84" s="513">
        <f t="shared" si="55"/>
        <v>0</v>
      </c>
      <c r="AG84" s="513">
        <f t="shared" si="55"/>
        <v>0</v>
      </c>
      <c r="AH84" s="15"/>
      <c r="AI84" s="516">
        <v>2099856.16</v>
      </c>
    </row>
    <row r="85" spans="1:35" x14ac:dyDescent="0.2">
      <c r="A85" s="502" t="s">
        <v>936</v>
      </c>
      <c r="B85" s="14">
        <v>1</v>
      </c>
      <c r="C85" s="10">
        <v>5337.6</v>
      </c>
      <c r="D85" s="10"/>
      <c r="E85" s="10"/>
      <c r="F85" s="10"/>
      <c r="G85" s="10"/>
      <c r="H85" s="10"/>
      <c r="I85" s="10"/>
      <c r="J85" s="10"/>
      <c r="K85" s="515">
        <f t="shared" si="49"/>
        <v>5337.6</v>
      </c>
      <c r="L85" s="10">
        <v>1000</v>
      </c>
      <c r="M85" s="10"/>
      <c r="N85" s="13">
        <f t="shared" si="50"/>
        <v>1000</v>
      </c>
      <c r="O85" s="517">
        <f t="shared" si="51"/>
        <v>65051.200000000004</v>
      </c>
      <c r="P85" s="15">
        <v>65051.199999999997</v>
      </c>
      <c r="Q85" s="14">
        <v>1</v>
      </c>
      <c r="R85" s="10">
        <v>5337.6</v>
      </c>
      <c r="S85" s="10"/>
      <c r="T85" s="10"/>
      <c r="U85" s="10"/>
      <c r="V85" s="10"/>
      <c r="W85" s="10"/>
      <c r="X85" s="10"/>
      <c r="Y85" s="10"/>
      <c r="Z85" s="515">
        <f t="shared" si="52"/>
        <v>5337.6</v>
      </c>
      <c r="AA85" s="10">
        <v>1000</v>
      </c>
      <c r="AB85" s="10"/>
      <c r="AC85" s="13">
        <f t="shared" si="53"/>
        <v>1000</v>
      </c>
      <c r="AD85" s="517">
        <f t="shared" si="54"/>
        <v>65051.200000000004</v>
      </c>
      <c r="AE85" s="15">
        <v>65051.199999999997</v>
      </c>
      <c r="AF85" s="513">
        <f t="shared" si="55"/>
        <v>0</v>
      </c>
      <c r="AG85" s="513">
        <f t="shared" si="55"/>
        <v>0</v>
      </c>
      <c r="AH85" s="15"/>
      <c r="AI85" s="516">
        <v>65051.199999999997</v>
      </c>
    </row>
    <row r="86" spans="1:35" x14ac:dyDescent="0.2">
      <c r="A86" s="502"/>
      <c r="B86" s="14"/>
      <c r="C86" s="10"/>
      <c r="D86" s="10"/>
      <c r="E86" s="10"/>
      <c r="F86" s="10"/>
      <c r="G86" s="10"/>
      <c r="H86" s="10"/>
      <c r="I86" s="10"/>
      <c r="J86" s="10"/>
      <c r="K86" s="10"/>
      <c r="L86" s="10"/>
      <c r="M86" s="10"/>
      <c r="O86" s="45"/>
      <c r="P86" s="15"/>
      <c r="Q86" s="14"/>
      <c r="R86" s="10"/>
      <c r="S86" s="10"/>
      <c r="T86" s="10"/>
      <c r="U86" s="10"/>
      <c r="V86" s="10"/>
      <c r="W86" s="10"/>
      <c r="X86" s="10"/>
      <c r="Y86" s="10"/>
      <c r="Z86" s="10"/>
      <c r="AA86" s="10"/>
      <c r="AB86" s="10"/>
      <c r="AD86" s="45"/>
      <c r="AE86" s="15"/>
      <c r="AF86" s="15"/>
      <c r="AG86" s="14"/>
      <c r="AH86" s="15"/>
      <c r="AI86" s="516"/>
    </row>
    <row r="87" spans="1:35" x14ac:dyDescent="0.2">
      <c r="A87" s="502"/>
      <c r="B87" s="14"/>
      <c r="C87" s="10"/>
      <c r="D87" s="10"/>
      <c r="E87" s="10"/>
      <c r="F87" s="10"/>
      <c r="G87" s="10"/>
      <c r="H87" s="10"/>
      <c r="I87" s="10"/>
      <c r="J87" s="10"/>
      <c r="K87" s="10"/>
      <c r="L87" s="10"/>
      <c r="M87" s="10"/>
      <c r="O87" s="45"/>
      <c r="P87" s="15"/>
      <c r="Q87" s="14"/>
      <c r="R87" s="10"/>
      <c r="S87" s="10"/>
      <c r="T87" s="10"/>
      <c r="U87" s="10"/>
      <c r="V87" s="10"/>
      <c r="W87" s="10"/>
      <c r="X87" s="10"/>
      <c r="Y87" s="10"/>
      <c r="Z87" s="10"/>
      <c r="AA87" s="10"/>
      <c r="AB87" s="10"/>
      <c r="AD87" s="45"/>
      <c r="AE87" s="15"/>
      <c r="AF87" s="15"/>
      <c r="AG87" s="14"/>
      <c r="AH87" s="15"/>
      <c r="AI87" s="516"/>
    </row>
    <row r="88" spans="1:35" x14ac:dyDescent="0.2">
      <c r="A88" s="14" t="s">
        <v>937</v>
      </c>
      <c r="B88" s="14"/>
      <c r="C88" s="10"/>
      <c r="D88" s="10"/>
      <c r="E88" s="10"/>
      <c r="F88" s="10"/>
      <c r="G88" s="10"/>
      <c r="H88" s="10"/>
      <c r="I88" s="10"/>
      <c r="J88" s="10"/>
      <c r="K88" s="10"/>
      <c r="L88" s="10"/>
      <c r="M88" s="10"/>
      <c r="O88" s="45"/>
      <c r="P88" s="15"/>
      <c r="Q88" s="14"/>
      <c r="R88" s="10"/>
      <c r="S88" s="10"/>
      <c r="T88" s="10"/>
      <c r="U88" s="10"/>
      <c r="V88" s="10"/>
      <c r="W88" s="10"/>
      <c r="X88" s="10"/>
      <c r="Y88" s="10"/>
      <c r="Z88" s="10"/>
      <c r="AA88" s="10"/>
      <c r="AB88" s="10"/>
      <c r="AD88" s="45"/>
      <c r="AE88" s="15"/>
      <c r="AF88" s="15"/>
      <c r="AG88" s="14"/>
      <c r="AH88" s="15"/>
      <c r="AI88" s="516"/>
    </row>
    <row r="89" spans="1:35" x14ac:dyDescent="0.2">
      <c r="A89" s="502" t="s">
        <v>938</v>
      </c>
      <c r="B89" s="339">
        <v>5</v>
      </c>
      <c r="C89" s="45">
        <f>34241.7/B89</f>
        <v>6848.3399999999992</v>
      </c>
      <c r="D89" s="10"/>
      <c r="E89" s="10"/>
      <c r="F89" s="10"/>
      <c r="G89" s="10"/>
      <c r="H89" s="10"/>
      <c r="I89" s="10"/>
      <c r="J89" s="10"/>
      <c r="K89" s="515">
        <f t="shared" ref="K89:K107" si="56">SUM(C89:J89)</f>
        <v>6848.3399999999992</v>
      </c>
      <c r="L89" s="10">
        <v>1000</v>
      </c>
      <c r="M89" s="10"/>
      <c r="N89" s="13">
        <f t="shared" ref="N89:N107" si="57">L89+M89</f>
        <v>1000</v>
      </c>
      <c r="O89" s="517">
        <f t="shared" ref="O89:O107" si="58">(K89*12)+N89</f>
        <v>83180.079999999987</v>
      </c>
      <c r="P89" s="15">
        <v>415900.4</v>
      </c>
      <c r="Q89" s="339">
        <v>5</v>
      </c>
      <c r="R89" s="45">
        <f>34241.7/Q89</f>
        <v>6848.3399999999992</v>
      </c>
      <c r="S89" s="10"/>
      <c r="T89" s="10"/>
      <c r="U89" s="10"/>
      <c r="V89" s="10"/>
      <c r="W89" s="10"/>
      <c r="X89" s="10"/>
      <c r="Y89" s="10"/>
      <c r="Z89" s="515">
        <f t="shared" ref="Z89:Z107" si="59">SUM(R89:Y89)</f>
        <v>6848.3399999999992</v>
      </c>
      <c r="AA89" s="10">
        <v>1000</v>
      </c>
      <c r="AB89" s="10"/>
      <c r="AC89" s="13">
        <f t="shared" ref="AC89:AC107" si="60">AA89+AB89</f>
        <v>1000</v>
      </c>
      <c r="AD89" s="517">
        <f t="shared" ref="AD89:AD107" si="61">(Z89*12)+AC89</f>
        <v>83180.079999999987</v>
      </c>
      <c r="AE89" s="15">
        <v>415900.4</v>
      </c>
      <c r="AF89" s="513">
        <f t="shared" ref="AF89:AG107" si="62">AD89-O89</f>
        <v>0</v>
      </c>
      <c r="AG89" s="513">
        <f t="shared" si="62"/>
        <v>0</v>
      </c>
      <c r="AH89" s="15"/>
      <c r="AI89" s="516">
        <v>415900.4</v>
      </c>
    </row>
    <row r="90" spans="1:35" x14ac:dyDescent="0.2">
      <c r="A90" s="502" t="s">
        <v>939</v>
      </c>
      <c r="B90" s="339">
        <v>28</v>
      </c>
      <c r="C90" s="45">
        <f>174758.19/B90</f>
        <v>6241.3639285714289</v>
      </c>
      <c r="D90" s="10"/>
      <c r="E90" s="10"/>
      <c r="F90" s="10"/>
      <c r="G90" s="10"/>
      <c r="H90" s="10"/>
      <c r="I90" s="10"/>
      <c r="J90" s="10"/>
      <c r="K90" s="515">
        <f t="shared" si="56"/>
        <v>6241.3639285714289</v>
      </c>
      <c r="L90" s="10">
        <v>1000</v>
      </c>
      <c r="M90" s="10"/>
      <c r="N90" s="13">
        <f t="shared" si="57"/>
        <v>1000</v>
      </c>
      <c r="O90" s="517">
        <f t="shared" si="58"/>
        <v>75896.36714285714</v>
      </c>
      <c r="P90" s="15">
        <v>2125098.2799999998</v>
      </c>
      <c r="Q90" s="339">
        <v>28</v>
      </c>
      <c r="R90" s="45">
        <f>174758.19/Q90</f>
        <v>6241.3639285714289</v>
      </c>
      <c r="S90" s="10"/>
      <c r="T90" s="10"/>
      <c r="U90" s="10"/>
      <c r="V90" s="10"/>
      <c r="W90" s="10"/>
      <c r="X90" s="10"/>
      <c r="Y90" s="10"/>
      <c r="Z90" s="515">
        <f t="shared" si="59"/>
        <v>6241.3639285714289</v>
      </c>
      <c r="AA90" s="10">
        <v>1000</v>
      </c>
      <c r="AB90" s="10"/>
      <c r="AC90" s="13">
        <f t="shared" si="60"/>
        <v>1000</v>
      </c>
      <c r="AD90" s="517">
        <f t="shared" si="61"/>
        <v>75896.36714285714</v>
      </c>
      <c r="AE90" s="15">
        <v>2125098.2799999998</v>
      </c>
      <c r="AF90" s="513">
        <f t="shared" si="62"/>
        <v>0</v>
      </c>
      <c r="AG90" s="513">
        <f t="shared" si="62"/>
        <v>0</v>
      </c>
      <c r="AH90" s="15"/>
      <c r="AI90" s="516">
        <v>2125098.2799999998</v>
      </c>
    </row>
    <row r="91" spans="1:35" x14ac:dyDescent="0.2">
      <c r="A91" s="502" t="s">
        <v>940</v>
      </c>
      <c r="B91" s="339">
        <v>35</v>
      </c>
      <c r="C91" s="45">
        <f>175046.85/B91</f>
        <v>5001.3385714285714</v>
      </c>
      <c r="D91" s="10"/>
      <c r="E91" s="10"/>
      <c r="F91" s="10"/>
      <c r="G91" s="10"/>
      <c r="H91" s="10"/>
      <c r="I91" s="10"/>
      <c r="J91" s="10"/>
      <c r="K91" s="515">
        <f t="shared" si="56"/>
        <v>5001.3385714285714</v>
      </c>
      <c r="L91" s="10">
        <v>1000</v>
      </c>
      <c r="M91" s="10"/>
      <c r="N91" s="13">
        <f t="shared" si="57"/>
        <v>1000</v>
      </c>
      <c r="O91" s="517">
        <f t="shared" si="58"/>
        <v>61016.062857142853</v>
      </c>
      <c r="P91" s="15">
        <v>2135562.2000000002</v>
      </c>
      <c r="Q91" s="339">
        <v>35</v>
      </c>
      <c r="R91" s="45">
        <f>175046.85/Q91</f>
        <v>5001.3385714285714</v>
      </c>
      <c r="S91" s="10"/>
      <c r="T91" s="10"/>
      <c r="U91" s="10"/>
      <c r="V91" s="10"/>
      <c r="W91" s="10"/>
      <c r="X91" s="10"/>
      <c r="Y91" s="10"/>
      <c r="Z91" s="515">
        <f t="shared" si="59"/>
        <v>5001.3385714285714</v>
      </c>
      <c r="AA91" s="10">
        <v>1000</v>
      </c>
      <c r="AB91" s="10"/>
      <c r="AC91" s="13">
        <f t="shared" si="60"/>
        <v>1000</v>
      </c>
      <c r="AD91" s="517">
        <f t="shared" si="61"/>
        <v>61016.062857142853</v>
      </c>
      <c r="AE91" s="15">
        <v>2135562.2000000002</v>
      </c>
      <c r="AF91" s="513">
        <f t="shared" si="62"/>
        <v>0</v>
      </c>
      <c r="AG91" s="513">
        <f t="shared" si="62"/>
        <v>0</v>
      </c>
      <c r="AH91" s="15"/>
      <c r="AI91" s="516">
        <v>2135562.2000000002</v>
      </c>
    </row>
    <row r="92" spans="1:35" x14ac:dyDescent="0.2">
      <c r="A92" s="502" t="s">
        <v>941</v>
      </c>
      <c r="B92" s="339">
        <v>65</v>
      </c>
      <c r="C92" s="45">
        <f>299464.75/B92</f>
        <v>4607.1499999999996</v>
      </c>
      <c r="D92" s="10"/>
      <c r="E92" s="10"/>
      <c r="F92" s="10"/>
      <c r="G92" s="10"/>
      <c r="H92" s="10"/>
      <c r="I92" s="10"/>
      <c r="J92" s="10"/>
      <c r="K92" s="515">
        <f t="shared" si="56"/>
        <v>4607.1499999999996</v>
      </c>
      <c r="L92" s="10">
        <v>1000</v>
      </c>
      <c r="M92" s="10"/>
      <c r="N92" s="13">
        <f t="shared" si="57"/>
        <v>1000</v>
      </c>
      <c r="O92" s="517">
        <f t="shared" si="58"/>
        <v>56285.799999999996</v>
      </c>
      <c r="P92" s="15">
        <v>3658577</v>
      </c>
      <c r="Q92" s="339">
        <v>65</v>
      </c>
      <c r="R92" s="45">
        <f>299464.75/Q92</f>
        <v>4607.1499999999996</v>
      </c>
      <c r="S92" s="10"/>
      <c r="T92" s="10"/>
      <c r="U92" s="10"/>
      <c r="V92" s="10"/>
      <c r="W92" s="10"/>
      <c r="X92" s="10"/>
      <c r="Y92" s="10"/>
      <c r="Z92" s="515">
        <f t="shared" si="59"/>
        <v>4607.1499999999996</v>
      </c>
      <c r="AA92" s="10">
        <v>1000</v>
      </c>
      <c r="AB92" s="10"/>
      <c r="AC92" s="13">
        <f t="shared" si="60"/>
        <v>1000</v>
      </c>
      <c r="AD92" s="517">
        <f t="shared" si="61"/>
        <v>56285.799999999996</v>
      </c>
      <c r="AE92" s="15">
        <v>3658577</v>
      </c>
      <c r="AF92" s="513">
        <f t="shared" si="62"/>
        <v>0</v>
      </c>
      <c r="AG92" s="513">
        <f t="shared" si="62"/>
        <v>0</v>
      </c>
      <c r="AH92" s="15"/>
      <c r="AI92" s="516">
        <v>3658577</v>
      </c>
    </row>
    <row r="93" spans="1:35" x14ac:dyDescent="0.2">
      <c r="A93" s="502" t="s">
        <v>942</v>
      </c>
      <c r="B93" s="339">
        <v>14</v>
      </c>
      <c r="C93" s="45">
        <f>59909.46/B93</f>
        <v>4279.2471428571425</v>
      </c>
      <c r="D93" s="10"/>
      <c r="E93" s="10"/>
      <c r="F93" s="10"/>
      <c r="G93" s="10"/>
      <c r="H93" s="10"/>
      <c r="I93" s="10"/>
      <c r="J93" s="10"/>
      <c r="K93" s="515">
        <f t="shared" si="56"/>
        <v>4279.2471428571425</v>
      </c>
      <c r="L93" s="10">
        <v>1000</v>
      </c>
      <c r="M93" s="10"/>
      <c r="N93" s="13">
        <f t="shared" si="57"/>
        <v>1000</v>
      </c>
      <c r="O93" s="517">
        <f t="shared" si="58"/>
        <v>52350.96571428571</v>
      </c>
      <c r="P93" s="15">
        <v>732913.52</v>
      </c>
      <c r="Q93" s="339">
        <v>14</v>
      </c>
      <c r="R93" s="45">
        <f>59909.46/Q93</f>
        <v>4279.2471428571425</v>
      </c>
      <c r="S93" s="10"/>
      <c r="T93" s="10"/>
      <c r="U93" s="10"/>
      <c r="V93" s="10"/>
      <c r="W93" s="10"/>
      <c r="X93" s="10"/>
      <c r="Y93" s="10"/>
      <c r="Z93" s="515">
        <f t="shared" si="59"/>
        <v>4279.2471428571425</v>
      </c>
      <c r="AA93" s="10">
        <v>1000</v>
      </c>
      <c r="AB93" s="10"/>
      <c r="AC93" s="13">
        <f t="shared" si="60"/>
        <v>1000</v>
      </c>
      <c r="AD93" s="517">
        <f t="shared" si="61"/>
        <v>52350.96571428571</v>
      </c>
      <c r="AE93" s="15">
        <v>732913.52</v>
      </c>
      <c r="AF93" s="513">
        <f t="shared" si="62"/>
        <v>0</v>
      </c>
      <c r="AG93" s="513">
        <f t="shared" si="62"/>
        <v>0</v>
      </c>
      <c r="AH93" s="15"/>
      <c r="AI93" s="516">
        <v>732913.52</v>
      </c>
    </row>
    <row r="94" spans="1:35" x14ac:dyDescent="0.2">
      <c r="A94" s="502" t="s">
        <v>943</v>
      </c>
      <c r="B94" s="339">
        <v>23</v>
      </c>
      <c r="C94" s="45">
        <f>90165.26/B94</f>
        <v>3920.2286956521739</v>
      </c>
      <c r="D94" s="10"/>
      <c r="E94" s="10"/>
      <c r="F94" s="10"/>
      <c r="G94" s="10"/>
      <c r="H94" s="10"/>
      <c r="I94" s="10"/>
      <c r="J94" s="10"/>
      <c r="K94" s="515">
        <f t="shared" si="56"/>
        <v>3920.2286956521739</v>
      </c>
      <c r="L94" s="10">
        <v>1000</v>
      </c>
      <c r="M94" s="10"/>
      <c r="N94" s="13">
        <f t="shared" si="57"/>
        <v>1000</v>
      </c>
      <c r="O94" s="517">
        <f t="shared" si="58"/>
        <v>48042.744347826083</v>
      </c>
      <c r="P94" s="15">
        <v>1104983.1200000001</v>
      </c>
      <c r="Q94" s="339">
        <v>23</v>
      </c>
      <c r="R94" s="45">
        <f>90165.26/Q94</f>
        <v>3920.2286956521739</v>
      </c>
      <c r="S94" s="10"/>
      <c r="T94" s="10"/>
      <c r="U94" s="10"/>
      <c r="V94" s="10"/>
      <c r="W94" s="10"/>
      <c r="X94" s="10"/>
      <c r="Y94" s="10"/>
      <c r="Z94" s="515">
        <f t="shared" si="59"/>
        <v>3920.2286956521739</v>
      </c>
      <c r="AA94" s="10">
        <v>1000</v>
      </c>
      <c r="AB94" s="10"/>
      <c r="AC94" s="13">
        <f t="shared" si="60"/>
        <v>1000</v>
      </c>
      <c r="AD94" s="517">
        <f t="shared" si="61"/>
        <v>48042.744347826083</v>
      </c>
      <c r="AE94" s="15">
        <v>1104983.1200000001</v>
      </c>
      <c r="AF94" s="513">
        <f t="shared" si="62"/>
        <v>0</v>
      </c>
      <c r="AG94" s="513">
        <f t="shared" si="62"/>
        <v>0</v>
      </c>
      <c r="AH94" s="15"/>
      <c r="AI94" s="516">
        <v>1104983.1200000001</v>
      </c>
    </row>
    <row r="95" spans="1:35" x14ac:dyDescent="0.2">
      <c r="A95" s="502" t="s">
        <v>944</v>
      </c>
      <c r="B95" s="339">
        <v>2</v>
      </c>
      <c r="C95" s="45">
        <f>8330.3/B95</f>
        <v>4165.1499999999996</v>
      </c>
      <c r="D95" s="10"/>
      <c r="E95" s="10"/>
      <c r="F95" s="10"/>
      <c r="G95" s="10"/>
      <c r="H95" s="10"/>
      <c r="I95" s="10"/>
      <c r="J95" s="10"/>
      <c r="K95" s="515">
        <f t="shared" si="56"/>
        <v>4165.1499999999996</v>
      </c>
      <c r="L95" s="10">
        <v>1000</v>
      </c>
      <c r="M95" s="10"/>
      <c r="N95" s="13">
        <f t="shared" si="57"/>
        <v>1000</v>
      </c>
      <c r="O95" s="517">
        <f t="shared" si="58"/>
        <v>50981.799999999996</v>
      </c>
      <c r="P95" s="15">
        <v>101963.6</v>
      </c>
      <c r="Q95" s="339">
        <v>2</v>
      </c>
      <c r="R95" s="45">
        <f>8330.3/Q95</f>
        <v>4165.1499999999996</v>
      </c>
      <c r="S95" s="10"/>
      <c r="T95" s="10"/>
      <c r="U95" s="10"/>
      <c r="V95" s="10"/>
      <c r="W95" s="10"/>
      <c r="X95" s="10"/>
      <c r="Y95" s="10"/>
      <c r="Z95" s="515">
        <f t="shared" si="59"/>
        <v>4165.1499999999996</v>
      </c>
      <c r="AA95" s="10">
        <v>1000</v>
      </c>
      <c r="AB95" s="10"/>
      <c r="AC95" s="13">
        <f t="shared" si="60"/>
        <v>1000</v>
      </c>
      <c r="AD95" s="517">
        <f t="shared" si="61"/>
        <v>50981.799999999996</v>
      </c>
      <c r="AE95" s="15">
        <v>101963.6</v>
      </c>
      <c r="AF95" s="513">
        <f t="shared" si="62"/>
        <v>0</v>
      </c>
      <c r="AG95" s="513">
        <f t="shared" si="62"/>
        <v>0</v>
      </c>
      <c r="AH95" s="15"/>
      <c r="AI95" s="516">
        <v>101963.6</v>
      </c>
    </row>
    <row r="96" spans="1:35" x14ac:dyDescent="0.2">
      <c r="A96" s="502" t="s">
        <v>945</v>
      </c>
      <c r="B96" s="339">
        <v>5</v>
      </c>
      <c r="C96" s="45">
        <f>18115.65/B96</f>
        <v>3623.13</v>
      </c>
      <c r="D96" s="10"/>
      <c r="E96" s="10"/>
      <c r="F96" s="10"/>
      <c r="G96" s="10"/>
      <c r="H96" s="10"/>
      <c r="I96" s="10"/>
      <c r="J96" s="10"/>
      <c r="K96" s="515">
        <f t="shared" si="56"/>
        <v>3623.13</v>
      </c>
      <c r="L96" s="10">
        <v>1000</v>
      </c>
      <c r="M96" s="10"/>
      <c r="N96" s="13">
        <f t="shared" si="57"/>
        <v>1000</v>
      </c>
      <c r="O96" s="517">
        <f t="shared" si="58"/>
        <v>44477.56</v>
      </c>
      <c r="P96" s="15">
        <v>222387.8</v>
      </c>
      <c r="Q96" s="339">
        <v>5</v>
      </c>
      <c r="R96" s="45">
        <f>18115.65/Q96</f>
        <v>3623.13</v>
      </c>
      <c r="S96" s="10"/>
      <c r="T96" s="10"/>
      <c r="U96" s="10"/>
      <c r="V96" s="10"/>
      <c r="W96" s="10"/>
      <c r="X96" s="10"/>
      <c r="Y96" s="10"/>
      <c r="Z96" s="515">
        <f t="shared" si="59"/>
        <v>3623.13</v>
      </c>
      <c r="AA96" s="10">
        <v>1000</v>
      </c>
      <c r="AB96" s="10"/>
      <c r="AC96" s="13">
        <f t="shared" si="60"/>
        <v>1000</v>
      </c>
      <c r="AD96" s="517">
        <f t="shared" si="61"/>
        <v>44477.56</v>
      </c>
      <c r="AE96" s="15">
        <v>222387.8</v>
      </c>
      <c r="AF96" s="513">
        <f t="shared" si="62"/>
        <v>0</v>
      </c>
      <c r="AG96" s="513">
        <f t="shared" si="62"/>
        <v>0</v>
      </c>
      <c r="AH96" s="15"/>
      <c r="AI96" s="516">
        <v>222387.8</v>
      </c>
    </row>
    <row r="97" spans="1:35" x14ac:dyDescent="0.2">
      <c r="A97" s="502" t="s">
        <v>946</v>
      </c>
      <c r="B97" s="339">
        <v>19</v>
      </c>
      <c r="C97" s="45">
        <f>63830.09/B97</f>
        <v>3359.4784210526313</v>
      </c>
      <c r="D97" s="10"/>
      <c r="E97" s="10"/>
      <c r="F97" s="10"/>
      <c r="G97" s="10"/>
      <c r="H97" s="10"/>
      <c r="I97" s="10"/>
      <c r="J97" s="10"/>
      <c r="K97" s="515">
        <f t="shared" si="56"/>
        <v>3359.4784210526313</v>
      </c>
      <c r="L97" s="10">
        <v>1000</v>
      </c>
      <c r="M97" s="10"/>
      <c r="N97" s="13">
        <f t="shared" si="57"/>
        <v>1000</v>
      </c>
      <c r="O97" s="517">
        <f t="shared" si="58"/>
        <v>41313.74105263158</v>
      </c>
      <c r="P97" s="15">
        <v>784961.08</v>
      </c>
      <c r="Q97" s="339">
        <v>19</v>
      </c>
      <c r="R97" s="45">
        <f>63830.09/Q97</f>
        <v>3359.4784210526313</v>
      </c>
      <c r="S97" s="10"/>
      <c r="T97" s="10"/>
      <c r="U97" s="10"/>
      <c r="V97" s="10"/>
      <c r="W97" s="10"/>
      <c r="X97" s="10"/>
      <c r="Y97" s="10"/>
      <c r="Z97" s="515">
        <f t="shared" si="59"/>
        <v>3359.4784210526313</v>
      </c>
      <c r="AA97" s="10">
        <v>1000</v>
      </c>
      <c r="AB97" s="10"/>
      <c r="AC97" s="13">
        <f t="shared" si="60"/>
        <v>1000</v>
      </c>
      <c r="AD97" s="517">
        <f t="shared" si="61"/>
        <v>41313.74105263158</v>
      </c>
      <c r="AE97" s="15">
        <v>784961.08</v>
      </c>
      <c r="AF97" s="513">
        <f t="shared" si="62"/>
        <v>0</v>
      </c>
      <c r="AG97" s="513">
        <f t="shared" si="62"/>
        <v>0</v>
      </c>
      <c r="AH97" s="15"/>
      <c r="AI97" s="516">
        <v>784961.08</v>
      </c>
    </row>
    <row r="98" spans="1:35" x14ac:dyDescent="0.2">
      <c r="A98" s="502" t="s">
        <v>947</v>
      </c>
      <c r="B98" s="339">
        <v>23</v>
      </c>
      <c r="C98" s="45">
        <f>70935.53/B98</f>
        <v>3084.1534782608696</v>
      </c>
      <c r="D98" s="10"/>
      <c r="E98" s="10"/>
      <c r="F98" s="10"/>
      <c r="G98" s="10"/>
      <c r="H98" s="10"/>
      <c r="I98" s="10"/>
      <c r="J98" s="10"/>
      <c r="K98" s="515">
        <f t="shared" si="56"/>
        <v>3084.1534782608696</v>
      </c>
      <c r="L98" s="10">
        <v>1000</v>
      </c>
      <c r="M98" s="10"/>
      <c r="N98" s="13">
        <f t="shared" si="57"/>
        <v>1000</v>
      </c>
      <c r="O98" s="517">
        <f t="shared" si="58"/>
        <v>38009.841739130439</v>
      </c>
      <c r="P98" s="15">
        <v>874226.36</v>
      </c>
      <c r="Q98" s="339">
        <v>23</v>
      </c>
      <c r="R98" s="45">
        <f>70935.53/Q98</f>
        <v>3084.1534782608696</v>
      </c>
      <c r="S98" s="10"/>
      <c r="T98" s="10"/>
      <c r="U98" s="10"/>
      <c r="V98" s="10"/>
      <c r="W98" s="10"/>
      <c r="X98" s="10"/>
      <c r="Y98" s="10"/>
      <c r="Z98" s="515">
        <f t="shared" si="59"/>
        <v>3084.1534782608696</v>
      </c>
      <c r="AA98" s="10">
        <v>1000</v>
      </c>
      <c r="AB98" s="10"/>
      <c r="AC98" s="13">
        <f t="shared" si="60"/>
        <v>1000</v>
      </c>
      <c r="AD98" s="517">
        <f t="shared" si="61"/>
        <v>38009.841739130439</v>
      </c>
      <c r="AE98" s="15">
        <v>874226.36</v>
      </c>
      <c r="AF98" s="513">
        <f t="shared" si="62"/>
        <v>0</v>
      </c>
      <c r="AG98" s="513">
        <f t="shared" si="62"/>
        <v>0</v>
      </c>
      <c r="AH98" s="15"/>
      <c r="AI98" s="516">
        <v>874226.36</v>
      </c>
    </row>
    <row r="99" spans="1:35" x14ac:dyDescent="0.2">
      <c r="A99" s="502" t="s">
        <v>948</v>
      </c>
      <c r="B99" s="339">
        <v>30</v>
      </c>
      <c r="C99" s="45">
        <f>84786.95/B99</f>
        <v>2826.2316666666666</v>
      </c>
      <c r="D99" s="10"/>
      <c r="E99" s="10"/>
      <c r="F99" s="10"/>
      <c r="G99" s="10"/>
      <c r="H99" s="10"/>
      <c r="I99" s="10"/>
      <c r="J99" s="10"/>
      <c r="K99" s="515">
        <f t="shared" si="56"/>
        <v>2826.2316666666666</v>
      </c>
      <c r="L99" s="10">
        <v>1000</v>
      </c>
      <c r="M99" s="10"/>
      <c r="N99" s="13">
        <f t="shared" si="57"/>
        <v>1000</v>
      </c>
      <c r="O99" s="517">
        <f t="shared" si="58"/>
        <v>34914.78</v>
      </c>
      <c r="P99" s="15">
        <v>1047443.4</v>
      </c>
      <c r="Q99" s="339">
        <v>30</v>
      </c>
      <c r="R99" s="45">
        <f>84786.95/Q99</f>
        <v>2826.2316666666666</v>
      </c>
      <c r="S99" s="10"/>
      <c r="T99" s="10"/>
      <c r="U99" s="10"/>
      <c r="V99" s="10"/>
      <c r="W99" s="10"/>
      <c r="X99" s="10"/>
      <c r="Y99" s="10"/>
      <c r="Z99" s="515">
        <f t="shared" si="59"/>
        <v>2826.2316666666666</v>
      </c>
      <c r="AA99" s="10">
        <v>1000</v>
      </c>
      <c r="AB99" s="10"/>
      <c r="AC99" s="13">
        <f t="shared" si="60"/>
        <v>1000</v>
      </c>
      <c r="AD99" s="517">
        <f t="shared" si="61"/>
        <v>34914.78</v>
      </c>
      <c r="AE99" s="15">
        <v>1047443.4</v>
      </c>
      <c r="AF99" s="513">
        <f t="shared" si="62"/>
        <v>0</v>
      </c>
      <c r="AG99" s="513">
        <f t="shared" si="62"/>
        <v>0</v>
      </c>
      <c r="AH99" s="15"/>
      <c r="AI99" s="516">
        <v>1047443.4</v>
      </c>
    </row>
    <row r="100" spans="1:35" x14ac:dyDescent="0.2">
      <c r="A100" s="502" t="s">
        <v>949</v>
      </c>
      <c r="B100" s="339">
        <v>6</v>
      </c>
      <c r="C100" s="45">
        <f>27177.56/B100</f>
        <v>4529.5933333333332</v>
      </c>
      <c r="D100" s="10"/>
      <c r="E100" s="10"/>
      <c r="F100" s="10"/>
      <c r="G100" s="10"/>
      <c r="H100" s="10"/>
      <c r="I100" s="10"/>
      <c r="J100" s="10"/>
      <c r="K100" s="515">
        <f t="shared" si="56"/>
        <v>4529.5933333333332</v>
      </c>
      <c r="L100" s="10">
        <v>1000</v>
      </c>
      <c r="M100" s="10"/>
      <c r="N100" s="13">
        <f t="shared" si="57"/>
        <v>1000</v>
      </c>
      <c r="O100" s="517">
        <f t="shared" si="58"/>
        <v>55355.119999999995</v>
      </c>
      <c r="P100" s="15">
        <v>332130.71999999997</v>
      </c>
      <c r="Q100" s="339">
        <v>6</v>
      </c>
      <c r="R100" s="45">
        <f>27177.56/Q100</f>
        <v>4529.5933333333332</v>
      </c>
      <c r="S100" s="10"/>
      <c r="T100" s="10"/>
      <c r="U100" s="10"/>
      <c r="V100" s="10"/>
      <c r="W100" s="10"/>
      <c r="X100" s="10"/>
      <c r="Y100" s="10"/>
      <c r="Z100" s="515">
        <f t="shared" si="59"/>
        <v>4529.5933333333332</v>
      </c>
      <c r="AA100" s="10">
        <v>1000</v>
      </c>
      <c r="AB100" s="10"/>
      <c r="AC100" s="13">
        <f t="shared" si="60"/>
        <v>1000</v>
      </c>
      <c r="AD100" s="517">
        <f t="shared" si="61"/>
        <v>55355.119999999995</v>
      </c>
      <c r="AE100" s="15">
        <v>332130.71999999997</v>
      </c>
      <c r="AF100" s="513">
        <f t="shared" si="62"/>
        <v>0</v>
      </c>
      <c r="AG100" s="513">
        <f t="shared" si="62"/>
        <v>0</v>
      </c>
      <c r="AH100" s="15"/>
      <c r="AI100" s="516">
        <v>332130.71999999997</v>
      </c>
    </row>
    <row r="101" spans="1:35" x14ac:dyDescent="0.2">
      <c r="A101" s="502" t="s">
        <v>950</v>
      </c>
      <c r="B101" s="339">
        <v>31</v>
      </c>
      <c r="C101" s="45">
        <f>125466.9/B101</f>
        <v>4047.3193548387094</v>
      </c>
      <c r="D101" s="10"/>
      <c r="E101" s="10"/>
      <c r="F101" s="10"/>
      <c r="G101" s="10"/>
      <c r="H101" s="10"/>
      <c r="I101" s="10"/>
      <c r="J101" s="10"/>
      <c r="K101" s="515">
        <f t="shared" si="56"/>
        <v>4047.3193548387094</v>
      </c>
      <c r="L101" s="10">
        <v>1000</v>
      </c>
      <c r="M101" s="10"/>
      <c r="N101" s="13">
        <f t="shared" si="57"/>
        <v>1000</v>
      </c>
      <c r="O101" s="517">
        <f t="shared" si="58"/>
        <v>49567.832258064511</v>
      </c>
      <c r="P101" s="15">
        <v>2634226.84</v>
      </c>
      <c r="Q101" s="339">
        <v>31</v>
      </c>
      <c r="R101" s="45">
        <f>125466.9/Q101</f>
        <v>4047.3193548387094</v>
      </c>
      <c r="S101" s="10"/>
      <c r="T101" s="10"/>
      <c r="U101" s="10"/>
      <c r="V101" s="10"/>
      <c r="W101" s="10"/>
      <c r="X101" s="10"/>
      <c r="Y101" s="10"/>
      <c r="Z101" s="515">
        <f t="shared" si="59"/>
        <v>4047.3193548387094</v>
      </c>
      <c r="AA101" s="10">
        <v>1000</v>
      </c>
      <c r="AB101" s="10"/>
      <c r="AC101" s="13">
        <f t="shared" si="60"/>
        <v>1000</v>
      </c>
      <c r="AD101" s="517">
        <f t="shared" si="61"/>
        <v>49567.832258064511</v>
      </c>
      <c r="AE101" s="15">
        <v>2634226.84</v>
      </c>
      <c r="AF101" s="513">
        <f t="shared" si="62"/>
        <v>0</v>
      </c>
      <c r="AG101" s="513">
        <f t="shared" si="62"/>
        <v>0</v>
      </c>
      <c r="AH101" s="15"/>
      <c r="AI101" s="516">
        <v>2634226.84</v>
      </c>
    </row>
    <row r="102" spans="1:35" x14ac:dyDescent="0.2">
      <c r="A102" s="502" t="s">
        <v>951</v>
      </c>
      <c r="B102" s="339">
        <v>61</v>
      </c>
      <c r="C102" s="45">
        <f>214435.57/B102</f>
        <v>3515.3372131147544</v>
      </c>
      <c r="D102" s="10"/>
      <c r="E102" s="10"/>
      <c r="F102" s="10"/>
      <c r="G102" s="10"/>
      <c r="H102" s="10"/>
      <c r="I102" s="10"/>
      <c r="J102" s="10"/>
      <c r="K102" s="515">
        <f t="shared" si="56"/>
        <v>3515.3372131147544</v>
      </c>
      <c r="L102" s="10">
        <v>1000</v>
      </c>
      <c r="M102" s="10"/>
      <c r="N102" s="13">
        <f t="shared" si="57"/>
        <v>1000</v>
      </c>
      <c r="O102" s="517">
        <f t="shared" si="58"/>
        <v>43184.046557377049</v>
      </c>
      <c r="P102" s="15">
        <v>8400471.4399999995</v>
      </c>
      <c r="Q102" s="339">
        <v>61</v>
      </c>
      <c r="R102" s="45">
        <f>214435.57/Q102</f>
        <v>3515.3372131147544</v>
      </c>
      <c r="S102" s="10"/>
      <c r="T102" s="10"/>
      <c r="U102" s="10"/>
      <c r="V102" s="10"/>
      <c r="W102" s="10"/>
      <c r="X102" s="10"/>
      <c r="Y102" s="10"/>
      <c r="Z102" s="515">
        <f t="shared" si="59"/>
        <v>3515.3372131147544</v>
      </c>
      <c r="AA102" s="10">
        <v>1000</v>
      </c>
      <c r="AB102" s="10"/>
      <c r="AC102" s="13">
        <f t="shared" si="60"/>
        <v>1000</v>
      </c>
      <c r="AD102" s="517">
        <f t="shared" si="61"/>
        <v>43184.046557377049</v>
      </c>
      <c r="AE102" s="15">
        <v>8400471.4399999995</v>
      </c>
      <c r="AF102" s="513">
        <f t="shared" si="62"/>
        <v>0</v>
      </c>
      <c r="AG102" s="513">
        <f t="shared" si="62"/>
        <v>0</v>
      </c>
      <c r="AH102" s="15"/>
      <c r="AI102" s="516">
        <v>8400471.4399999995</v>
      </c>
    </row>
    <row r="103" spans="1:35" x14ac:dyDescent="0.2">
      <c r="A103" s="502" t="s">
        <v>952</v>
      </c>
      <c r="B103" s="339">
        <v>209</v>
      </c>
      <c r="C103" s="45">
        <f>682622.62/B103</f>
        <v>3266.1369377990432</v>
      </c>
      <c r="D103" s="10"/>
      <c r="E103" s="10"/>
      <c r="F103" s="10"/>
      <c r="G103" s="10"/>
      <c r="H103" s="10"/>
      <c r="I103" s="10"/>
      <c r="J103" s="10"/>
      <c r="K103" s="515">
        <f t="shared" si="56"/>
        <v>3266.1369377990432</v>
      </c>
      <c r="L103" s="10">
        <v>1000</v>
      </c>
      <c r="M103" s="10"/>
      <c r="N103" s="13">
        <f t="shared" si="57"/>
        <v>1000</v>
      </c>
      <c r="O103" s="517">
        <f t="shared" si="58"/>
        <v>40193.643253588518</v>
      </c>
      <c r="P103" s="15">
        <v>10779306.119999999</v>
      </c>
      <c r="Q103" s="339">
        <v>209</v>
      </c>
      <c r="R103" s="45">
        <f>682622.62/Q103</f>
        <v>3266.1369377990432</v>
      </c>
      <c r="S103" s="10"/>
      <c r="T103" s="10"/>
      <c r="U103" s="10"/>
      <c r="V103" s="10"/>
      <c r="W103" s="10"/>
      <c r="X103" s="10"/>
      <c r="Y103" s="10"/>
      <c r="Z103" s="515">
        <f t="shared" si="59"/>
        <v>3266.1369377990432</v>
      </c>
      <c r="AA103" s="10">
        <v>1000</v>
      </c>
      <c r="AB103" s="10"/>
      <c r="AC103" s="13">
        <f t="shared" si="60"/>
        <v>1000</v>
      </c>
      <c r="AD103" s="517">
        <f t="shared" si="61"/>
        <v>40193.643253588518</v>
      </c>
      <c r="AE103" s="15">
        <v>10779306.119999999</v>
      </c>
      <c r="AF103" s="513">
        <f t="shared" si="62"/>
        <v>0</v>
      </c>
      <c r="AG103" s="513">
        <f t="shared" si="62"/>
        <v>0</v>
      </c>
      <c r="AH103" s="15"/>
      <c r="AI103" s="516">
        <v>10779306.119999999</v>
      </c>
    </row>
    <row r="104" spans="1:35" x14ac:dyDescent="0.2">
      <c r="A104" s="502" t="s">
        <v>953</v>
      </c>
      <c r="B104" s="339">
        <v>288</v>
      </c>
      <c r="C104" s="45">
        <f>874275.51/B104</f>
        <v>3035.6788541666665</v>
      </c>
      <c r="D104" s="10"/>
      <c r="E104" s="10"/>
      <c r="F104" s="10"/>
      <c r="G104" s="10"/>
      <c r="H104" s="10"/>
      <c r="I104" s="10"/>
      <c r="J104" s="10"/>
      <c r="K104" s="515">
        <f t="shared" si="56"/>
        <v>3035.6788541666665</v>
      </c>
      <c r="L104" s="10">
        <v>1000</v>
      </c>
      <c r="M104" s="10"/>
      <c r="N104" s="13">
        <f t="shared" si="57"/>
        <v>1000</v>
      </c>
      <c r="O104" s="517">
        <f t="shared" si="58"/>
        <v>37428.146249999998</v>
      </c>
      <c r="P104" s="15">
        <v>12882739.08</v>
      </c>
      <c r="Q104" s="339">
        <v>288</v>
      </c>
      <c r="R104" s="45">
        <f>874275.51/Q104</f>
        <v>3035.6788541666665</v>
      </c>
      <c r="S104" s="10"/>
      <c r="T104" s="10"/>
      <c r="U104" s="10"/>
      <c r="V104" s="10"/>
      <c r="W104" s="10"/>
      <c r="X104" s="10"/>
      <c r="Y104" s="10"/>
      <c r="Z104" s="515">
        <f t="shared" si="59"/>
        <v>3035.6788541666665</v>
      </c>
      <c r="AA104" s="10">
        <v>1000</v>
      </c>
      <c r="AB104" s="10"/>
      <c r="AC104" s="13">
        <f t="shared" si="60"/>
        <v>1000</v>
      </c>
      <c r="AD104" s="517">
        <f t="shared" si="61"/>
        <v>37428.146249999998</v>
      </c>
      <c r="AE104" s="15">
        <v>12882739.08</v>
      </c>
      <c r="AF104" s="513">
        <f t="shared" si="62"/>
        <v>0</v>
      </c>
      <c r="AG104" s="513">
        <f t="shared" si="62"/>
        <v>0</v>
      </c>
      <c r="AH104" s="15"/>
      <c r="AI104" s="516">
        <v>12882739.08</v>
      </c>
    </row>
    <row r="105" spans="1:35" x14ac:dyDescent="0.2">
      <c r="A105" s="502" t="s">
        <v>954</v>
      </c>
      <c r="B105" s="339">
        <v>375</v>
      </c>
      <c r="C105" s="45">
        <f>1042311.59/B105</f>
        <v>2779.4975733333331</v>
      </c>
      <c r="D105" s="10"/>
      <c r="E105" s="10"/>
      <c r="F105" s="10"/>
      <c r="G105" s="10"/>
      <c r="H105" s="10"/>
      <c r="I105" s="10"/>
      <c r="J105" s="10"/>
      <c r="K105" s="515">
        <f t="shared" si="56"/>
        <v>2779.4975733333331</v>
      </c>
      <c r="L105" s="10">
        <v>1000</v>
      </c>
      <c r="M105" s="10"/>
      <c r="N105" s="13">
        <f t="shared" si="57"/>
        <v>1000</v>
      </c>
      <c r="O105" s="517">
        <f t="shared" si="58"/>
        <v>34353.970879999993</v>
      </c>
      <c r="P105" s="15">
        <v>60128739.079999998</v>
      </c>
      <c r="Q105" s="339">
        <v>375</v>
      </c>
      <c r="R105" s="45">
        <f>1042311.59/Q105</f>
        <v>2779.4975733333331</v>
      </c>
      <c r="S105" s="10"/>
      <c r="T105" s="10"/>
      <c r="U105" s="10"/>
      <c r="V105" s="10"/>
      <c r="W105" s="10"/>
      <c r="X105" s="10"/>
      <c r="Y105" s="10"/>
      <c r="Z105" s="515">
        <f t="shared" si="59"/>
        <v>2779.4975733333331</v>
      </c>
      <c r="AA105" s="10">
        <v>1000</v>
      </c>
      <c r="AB105" s="10"/>
      <c r="AC105" s="13">
        <f t="shared" si="60"/>
        <v>1000</v>
      </c>
      <c r="AD105" s="517">
        <f t="shared" si="61"/>
        <v>34353.970879999993</v>
      </c>
      <c r="AE105" s="15">
        <v>60128739.079999998</v>
      </c>
      <c r="AF105" s="513">
        <f t="shared" si="62"/>
        <v>0</v>
      </c>
      <c r="AG105" s="513">
        <f t="shared" si="62"/>
        <v>0</v>
      </c>
      <c r="AH105" s="15"/>
      <c r="AI105" s="516">
        <v>60128739.079999998</v>
      </c>
    </row>
    <row r="106" spans="1:35" x14ac:dyDescent="0.2">
      <c r="A106" s="502" t="s">
        <v>955</v>
      </c>
      <c r="B106" s="339">
        <v>1</v>
      </c>
      <c r="C106" s="45">
        <v>4927.3599999999997</v>
      </c>
      <c r="D106" s="10"/>
      <c r="E106" s="10"/>
      <c r="F106" s="10"/>
      <c r="G106" s="10"/>
      <c r="H106" s="10"/>
      <c r="I106" s="10"/>
      <c r="J106" s="10"/>
      <c r="K106" s="515">
        <f t="shared" si="56"/>
        <v>4927.3599999999997</v>
      </c>
      <c r="L106" s="10">
        <v>1000</v>
      </c>
      <c r="M106" s="10"/>
      <c r="N106" s="13">
        <f t="shared" si="57"/>
        <v>1000</v>
      </c>
      <c r="O106" s="517">
        <f t="shared" si="58"/>
        <v>60128.319999999992</v>
      </c>
      <c r="P106" s="15">
        <v>84237.759999999995</v>
      </c>
      <c r="Q106" s="339">
        <v>1</v>
      </c>
      <c r="R106" s="45">
        <v>4927.3599999999997</v>
      </c>
      <c r="S106" s="10"/>
      <c r="T106" s="10"/>
      <c r="U106" s="10"/>
      <c r="V106" s="10"/>
      <c r="W106" s="10"/>
      <c r="X106" s="10"/>
      <c r="Y106" s="10"/>
      <c r="Z106" s="515">
        <f t="shared" si="59"/>
        <v>4927.3599999999997</v>
      </c>
      <c r="AA106" s="10">
        <v>1000</v>
      </c>
      <c r="AB106" s="10"/>
      <c r="AC106" s="13">
        <f t="shared" si="60"/>
        <v>1000</v>
      </c>
      <c r="AD106" s="517">
        <f t="shared" si="61"/>
        <v>60128.319999999992</v>
      </c>
      <c r="AE106" s="15">
        <v>84237.759999999995</v>
      </c>
      <c r="AF106" s="513">
        <f t="shared" si="62"/>
        <v>0</v>
      </c>
      <c r="AG106" s="513">
        <f t="shared" si="62"/>
        <v>0</v>
      </c>
      <c r="AH106" s="15"/>
      <c r="AI106" s="516">
        <v>84237.759999999995</v>
      </c>
    </row>
    <row r="107" spans="1:35" x14ac:dyDescent="0.2">
      <c r="A107" s="502" t="s">
        <v>956</v>
      </c>
      <c r="B107" s="339">
        <v>1</v>
      </c>
      <c r="C107" s="45">
        <v>6936.48</v>
      </c>
      <c r="D107" s="10"/>
      <c r="E107" s="10"/>
      <c r="F107" s="10"/>
      <c r="G107" s="10"/>
      <c r="H107" s="10"/>
      <c r="I107" s="10"/>
      <c r="J107" s="10"/>
      <c r="K107" s="515">
        <f t="shared" si="56"/>
        <v>6936.48</v>
      </c>
      <c r="L107" s="10">
        <v>1000</v>
      </c>
      <c r="M107" s="10"/>
      <c r="N107" s="13">
        <f t="shared" si="57"/>
        <v>1000</v>
      </c>
      <c r="O107" s="517">
        <f t="shared" si="58"/>
        <v>84237.759999999995</v>
      </c>
      <c r="P107" s="15">
        <v>49913859.840000004</v>
      </c>
      <c r="Q107" s="339">
        <v>1</v>
      </c>
      <c r="R107" s="45">
        <v>6936.48</v>
      </c>
      <c r="S107" s="10"/>
      <c r="T107" s="10"/>
      <c r="U107" s="10"/>
      <c r="V107" s="10"/>
      <c r="W107" s="10"/>
      <c r="X107" s="10"/>
      <c r="Y107" s="10"/>
      <c r="Z107" s="515">
        <f t="shared" si="59"/>
        <v>6936.48</v>
      </c>
      <c r="AA107" s="10">
        <v>1000</v>
      </c>
      <c r="AB107" s="10"/>
      <c r="AC107" s="13">
        <f t="shared" si="60"/>
        <v>1000</v>
      </c>
      <c r="AD107" s="517">
        <f t="shared" si="61"/>
        <v>84237.759999999995</v>
      </c>
      <c r="AE107" s="15">
        <v>49913859.840000004</v>
      </c>
      <c r="AF107" s="513">
        <f t="shared" si="62"/>
        <v>0</v>
      </c>
      <c r="AG107" s="513">
        <f t="shared" si="62"/>
        <v>0</v>
      </c>
      <c r="AH107" s="15"/>
      <c r="AI107" s="516">
        <v>49913859.840000004</v>
      </c>
    </row>
    <row r="108" spans="1:35" x14ac:dyDescent="0.2">
      <c r="A108" s="502"/>
      <c r="B108" s="339"/>
      <c r="C108" s="10"/>
      <c r="D108" s="10"/>
      <c r="E108" s="10"/>
      <c r="F108" s="10"/>
      <c r="G108" s="10"/>
      <c r="H108" s="10"/>
      <c r="I108" s="10"/>
      <c r="J108" s="10"/>
      <c r="K108" s="515"/>
      <c r="L108" s="10"/>
      <c r="M108" s="10"/>
      <c r="N108" s="13"/>
      <c r="O108" s="517"/>
      <c r="P108" s="15"/>
      <c r="Q108" s="339"/>
      <c r="R108" s="10"/>
      <c r="S108" s="10"/>
      <c r="T108" s="10"/>
      <c r="U108" s="10"/>
      <c r="V108" s="10"/>
      <c r="W108" s="10"/>
      <c r="X108" s="10"/>
      <c r="Y108" s="10"/>
      <c r="Z108" s="515"/>
      <c r="AA108" s="10"/>
      <c r="AB108" s="10"/>
      <c r="AC108" s="13"/>
      <c r="AD108" s="517"/>
      <c r="AE108" s="15"/>
      <c r="AF108" s="15"/>
      <c r="AG108" s="14"/>
      <c r="AH108" s="15"/>
      <c r="AI108" s="516"/>
    </row>
    <row r="109" spans="1:35" x14ac:dyDescent="0.2">
      <c r="A109" s="518" t="s">
        <v>957</v>
      </c>
      <c r="B109" s="339"/>
      <c r="C109" s="10"/>
      <c r="D109" s="10"/>
      <c r="E109" s="10"/>
      <c r="F109" s="10"/>
      <c r="G109" s="10"/>
      <c r="H109" s="10"/>
      <c r="I109" s="10"/>
      <c r="J109" s="10"/>
      <c r="K109" s="515"/>
      <c r="L109" s="10"/>
      <c r="M109" s="10"/>
      <c r="N109" s="13"/>
      <c r="O109" s="517"/>
      <c r="P109" s="15"/>
      <c r="Q109" s="339"/>
      <c r="R109" s="10"/>
      <c r="S109" s="10"/>
      <c r="T109" s="10"/>
      <c r="U109" s="10"/>
      <c r="V109" s="10"/>
      <c r="W109" s="10"/>
      <c r="X109" s="10"/>
      <c r="Y109" s="10"/>
      <c r="Z109" s="515"/>
      <c r="AA109" s="10"/>
      <c r="AB109" s="10"/>
      <c r="AC109" s="13"/>
      <c r="AD109" s="517"/>
      <c r="AE109" s="15"/>
      <c r="AF109" s="15"/>
      <c r="AG109" s="14"/>
      <c r="AH109" s="15"/>
      <c r="AI109" s="516"/>
    </row>
    <row r="110" spans="1:35" x14ac:dyDescent="0.2">
      <c r="A110" s="502" t="s">
        <v>958</v>
      </c>
      <c r="B110" s="339">
        <v>5</v>
      </c>
      <c r="C110" s="45">
        <f>16938.1/B110</f>
        <v>3387.62</v>
      </c>
      <c r="D110" s="10"/>
      <c r="E110" s="10"/>
      <c r="F110" s="10"/>
      <c r="G110" s="10"/>
      <c r="H110" s="10"/>
      <c r="I110" s="10"/>
      <c r="J110" s="10"/>
      <c r="K110" s="515">
        <f t="shared" ref="K110:K111" si="63">SUM(C110:J110)</f>
        <v>3387.62</v>
      </c>
      <c r="L110" s="10">
        <v>600</v>
      </c>
      <c r="M110" s="10"/>
      <c r="N110" s="13">
        <f t="shared" ref="N110:N111" si="64">L110+M110</f>
        <v>600</v>
      </c>
      <c r="O110" s="517">
        <f t="shared" ref="O110:O111" si="65">(K110*12)+N110</f>
        <v>41251.440000000002</v>
      </c>
      <c r="P110" s="15">
        <v>206257.2</v>
      </c>
      <c r="Q110" s="339">
        <v>5</v>
      </c>
      <c r="R110" s="45">
        <f>16938.1/Q110</f>
        <v>3387.62</v>
      </c>
      <c r="S110" s="10"/>
      <c r="T110" s="10"/>
      <c r="U110" s="10"/>
      <c r="V110" s="10"/>
      <c r="W110" s="10"/>
      <c r="X110" s="10"/>
      <c r="Y110" s="10"/>
      <c r="Z110" s="515">
        <f t="shared" ref="Z110:Z111" si="66">SUM(R110:Y110)</f>
        <v>3387.62</v>
      </c>
      <c r="AA110" s="10">
        <v>600</v>
      </c>
      <c r="AB110" s="10"/>
      <c r="AC110" s="13">
        <f t="shared" ref="AC110:AC111" si="67">AA110+AB110</f>
        <v>600</v>
      </c>
      <c r="AD110" s="517">
        <f t="shared" ref="AD110:AD111" si="68">(Z110*12)+AC110</f>
        <v>41251.440000000002</v>
      </c>
      <c r="AE110" s="15">
        <v>206257.2</v>
      </c>
      <c r="AF110" s="513">
        <f t="shared" ref="AF110:AG111" si="69">AD110-O110</f>
        <v>0</v>
      </c>
      <c r="AG110" s="513">
        <f t="shared" si="69"/>
        <v>0</v>
      </c>
      <c r="AH110" s="15"/>
      <c r="AI110" s="516">
        <v>206257.2</v>
      </c>
    </row>
    <row r="111" spans="1:35" x14ac:dyDescent="0.2">
      <c r="A111" s="502" t="s">
        <v>959</v>
      </c>
      <c r="B111" s="339">
        <v>585</v>
      </c>
      <c r="C111" s="45">
        <f>1633154.08/B111</f>
        <v>2791.7163760683761</v>
      </c>
      <c r="D111" s="10"/>
      <c r="E111" s="10"/>
      <c r="F111" s="10"/>
      <c r="G111" s="10"/>
      <c r="H111" s="10"/>
      <c r="I111" s="10"/>
      <c r="J111" s="10"/>
      <c r="K111" s="515">
        <f t="shared" si="63"/>
        <v>2791.7163760683761</v>
      </c>
      <c r="L111" s="10">
        <v>600</v>
      </c>
      <c r="M111" s="10"/>
      <c r="N111" s="13">
        <f t="shared" si="64"/>
        <v>600</v>
      </c>
      <c r="O111" s="517">
        <f t="shared" si="65"/>
        <v>34100.596512820513</v>
      </c>
      <c r="P111" s="15">
        <v>19948848.960000001</v>
      </c>
      <c r="Q111" s="339">
        <v>585</v>
      </c>
      <c r="R111" s="45">
        <f>1633154.08/Q111</f>
        <v>2791.7163760683761</v>
      </c>
      <c r="S111" s="10"/>
      <c r="T111" s="10"/>
      <c r="U111" s="10"/>
      <c r="V111" s="10"/>
      <c r="W111" s="10"/>
      <c r="X111" s="10"/>
      <c r="Y111" s="10"/>
      <c r="Z111" s="515">
        <f t="shared" si="66"/>
        <v>2791.7163760683761</v>
      </c>
      <c r="AA111" s="10">
        <v>600</v>
      </c>
      <c r="AB111" s="10"/>
      <c r="AC111" s="13">
        <f t="shared" si="67"/>
        <v>600</v>
      </c>
      <c r="AD111" s="517">
        <f t="shared" si="68"/>
        <v>34100.596512820513</v>
      </c>
      <c r="AE111" s="15">
        <v>19948848.960000001</v>
      </c>
      <c r="AF111" s="513">
        <f t="shared" si="69"/>
        <v>0</v>
      </c>
      <c r="AG111" s="513">
        <f t="shared" si="69"/>
        <v>0</v>
      </c>
      <c r="AH111" s="15"/>
      <c r="AI111" s="516">
        <v>19948848.960000001</v>
      </c>
    </row>
    <row r="112" spans="1:35" x14ac:dyDescent="0.2">
      <c r="A112" s="502"/>
      <c r="B112" s="339"/>
      <c r="C112" s="45"/>
      <c r="D112" s="10"/>
      <c r="E112" s="10"/>
      <c r="F112" s="10"/>
      <c r="G112" s="10"/>
      <c r="H112" s="10"/>
      <c r="I112" s="10"/>
      <c r="J112" s="10"/>
      <c r="K112" s="515"/>
      <c r="L112" s="10"/>
      <c r="M112" s="10"/>
      <c r="N112" s="13"/>
      <c r="O112" s="517"/>
      <c r="P112" s="15"/>
      <c r="Q112" s="339"/>
      <c r="R112" s="45"/>
      <c r="S112" s="10"/>
      <c r="T112" s="10"/>
      <c r="U112" s="10"/>
      <c r="V112" s="10"/>
      <c r="W112" s="10"/>
      <c r="X112" s="10"/>
      <c r="Y112" s="10"/>
      <c r="Z112" s="515"/>
      <c r="AA112" s="10"/>
      <c r="AB112" s="10"/>
      <c r="AC112" s="13"/>
      <c r="AD112" s="517"/>
      <c r="AE112" s="15"/>
      <c r="AF112" s="15"/>
      <c r="AG112" s="14"/>
      <c r="AH112" s="15"/>
      <c r="AI112" s="516"/>
    </row>
    <row r="113" spans="1:35" x14ac:dyDescent="0.2">
      <c r="A113" s="518" t="s">
        <v>960</v>
      </c>
      <c r="B113" s="339"/>
      <c r="C113" s="45"/>
      <c r="D113" s="10"/>
      <c r="E113" s="10"/>
      <c r="F113" s="10"/>
      <c r="G113" s="10"/>
      <c r="H113" s="10"/>
      <c r="I113" s="10"/>
      <c r="J113" s="10"/>
      <c r="K113" s="515"/>
      <c r="L113" s="10"/>
      <c r="M113" s="10"/>
      <c r="N113" s="13"/>
      <c r="O113" s="517"/>
      <c r="P113" s="15"/>
      <c r="Q113" s="339"/>
      <c r="R113" s="45"/>
      <c r="S113" s="10"/>
      <c r="T113" s="10"/>
      <c r="U113" s="10"/>
      <c r="V113" s="10"/>
      <c r="W113" s="10"/>
      <c r="X113" s="10"/>
      <c r="Y113" s="10"/>
      <c r="Z113" s="515"/>
      <c r="AA113" s="10"/>
      <c r="AB113" s="10"/>
      <c r="AC113" s="13"/>
      <c r="AD113" s="517"/>
      <c r="AE113" s="15"/>
      <c r="AF113" s="15"/>
      <c r="AG113" s="14"/>
      <c r="AH113" s="15"/>
      <c r="AI113" s="516"/>
    </row>
    <row r="114" spans="1:35" x14ac:dyDescent="0.2">
      <c r="A114" s="502" t="s">
        <v>961</v>
      </c>
      <c r="B114" s="339">
        <v>130</v>
      </c>
      <c r="C114" s="45">
        <f>213561/B114</f>
        <v>1642.7769230769231</v>
      </c>
      <c r="D114" s="10"/>
      <c r="E114" s="10"/>
      <c r="F114" s="10"/>
      <c r="G114" s="10"/>
      <c r="H114" s="10"/>
      <c r="I114" s="10"/>
      <c r="J114" s="10"/>
      <c r="K114" s="515">
        <f t="shared" ref="K114" si="70">SUM(C114:J114)</f>
        <v>1642.7769230769231</v>
      </c>
      <c r="L114" s="10">
        <v>1000</v>
      </c>
      <c r="M114" s="10"/>
      <c r="N114" s="13">
        <f t="shared" ref="N114" si="71">L114+M114</f>
        <v>1000</v>
      </c>
      <c r="O114" s="517">
        <f t="shared" ref="O114" si="72">(K114*12)+N114</f>
        <v>20713.323076923079</v>
      </c>
      <c r="P114" s="15">
        <v>2692732</v>
      </c>
      <c r="Q114" s="339">
        <v>130</v>
      </c>
      <c r="R114" s="45">
        <f>213561/Q114</f>
        <v>1642.7769230769231</v>
      </c>
      <c r="S114" s="10"/>
      <c r="T114" s="10"/>
      <c r="U114" s="10"/>
      <c r="V114" s="10"/>
      <c r="W114" s="10"/>
      <c r="X114" s="10"/>
      <c r="Y114" s="10"/>
      <c r="Z114" s="515">
        <f t="shared" ref="Z114" si="73">SUM(R114:Y114)</f>
        <v>1642.7769230769231</v>
      </c>
      <c r="AA114" s="10">
        <v>1000</v>
      </c>
      <c r="AB114" s="10"/>
      <c r="AC114" s="13">
        <f t="shared" ref="AC114" si="74">AA114+AB114</f>
        <v>1000</v>
      </c>
      <c r="AD114" s="517">
        <f t="shared" ref="AD114" si="75">(Z114*12)+AC114</f>
        <v>20713.323076923079</v>
      </c>
      <c r="AE114" s="15">
        <v>2692732</v>
      </c>
      <c r="AF114" s="513">
        <f t="shared" ref="AF114:AG114" si="76">AD114-O114</f>
        <v>0</v>
      </c>
      <c r="AG114" s="513">
        <f t="shared" si="76"/>
        <v>0</v>
      </c>
      <c r="AH114" s="15"/>
      <c r="AI114" s="516">
        <v>2692732</v>
      </c>
    </row>
    <row r="115" spans="1:35" x14ac:dyDescent="0.2">
      <c r="A115" s="502"/>
      <c r="B115" s="339"/>
      <c r="C115" s="45"/>
      <c r="D115" s="10"/>
      <c r="E115" s="10"/>
      <c r="F115" s="10"/>
      <c r="G115" s="10"/>
      <c r="H115" s="10"/>
      <c r="I115" s="10"/>
      <c r="J115" s="10"/>
      <c r="K115" s="515"/>
      <c r="L115" s="10"/>
      <c r="M115" s="10"/>
      <c r="N115" s="13"/>
      <c r="O115" s="517"/>
      <c r="P115" s="15"/>
      <c r="Q115" s="339"/>
      <c r="R115" s="45"/>
      <c r="S115" s="10"/>
      <c r="T115" s="10"/>
      <c r="U115" s="10"/>
      <c r="V115" s="10"/>
      <c r="W115" s="10"/>
      <c r="X115" s="10"/>
      <c r="Y115" s="10"/>
      <c r="Z115" s="515"/>
      <c r="AA115" s="10"/>
      <c r="AB115" s="10"/>
      <c r="AC115" s="13"/>
      <c r="AD115" s="517"/>
      <c r="AE115" s="15"/>
      <c r="AF115" s="15"/>
      <c r="AG115" s="14"/>
      <c r="AH115" s="15"/>
      <c r="AI115" s="516"/>
    </row>
    <row r="116" spans="1:35" x14ac:dyDescent="0.2">
      <c r="A116" s="518" t="s">
        <v>962</v>
      </c>
      <c r="B116" s="339"/>
      <c r="C116" s="45"/>
      <c r="D116" s="10"/>
      <c r="E116" s="10"/>
      <c r="F116" s="10"/>
      <c r="G116" s="10"/>
      <c r="H116" s="10"/>
      <c r="I116" s="10"/>
      <c r="J116" s="10"/>
      <c r="K116" s="515"/>
      <c r="L116" s="10"/>
      <c r="M116" s="10"/>
      <c r="N116" s="13"/>
      <c r="O116" s="517"/>
      <c r="P116" s="15"/>
      <c r="Q116" s="339"/>
      <c r="R116" s="45"/>
      <c r="S116" s="10"/>
      <c r="T116" s="10"/>
      <c r="U116" s="10"/>
      <c r="V116" s="10"/>
      <c r="W116" s="10"/>
      <c r="X116" s="10"/>
      <c r="Y116" s="10"/>
      <c r="Z116" s="515"/>
      <c r="AA116" s="10"/>
      <c r="AB116" s="10"/>
      <c r="AC116" s="13"/>
      <c r="AD116" s="517"/>
      <c r="AE116" s="15"/>
      <c r="AF116" s="15"/>
      <c r="AG116" s="14"/>
      <c r="AH116" s="15"/>
      <c r="AI116" s="516"/>
    </row>
    <row r="117" spans="1:35" x14ac:dyDescent="0.2">
      <c r="A117" s="502" t="s">
        <v>941</v>
      </c>
      <c r="B117" s="339">
        <v>5</v>
      </c>
      <c r="C117" s="45">
        <f>21693.95/B117</f>
        <v>4338.79</v>
      </c>
      <c r="D117" s="10"/>
      <c r="E117" s="10"/>
      <c r="F117" s="10"/>
      <c r="G117" s="10"/>
      <c r="H117" s="10"/>
      <c r="I117" s="10"/>
      <c r="J117" s="10"/>
      <c r="K117" s="515">
        <f t="shared" ref="K117:K119" si="77">SUM(C117:J117)</f>
        <v>4338.79</v>
      </c>
      <c r="L117" s="10">
        <v>1000</v>
      </c>
      <c r="M117" s="10"/>
      <c r="N117" s="13">
        <f t="shared" ref="N117:N119" si="78">L117+M117</f>
        <v>1000</v>
      </c>
      <c r="O117" s="517">
        <f t="shared" ref="O117:O119" si="79">(K117*12)+N117</f>
        <v>53065.479999999996</v>
      </c>
      <c r="P117" s="15">
        <v>265327.40000000002</v>
      </c>
      <c r="Q117" s="339">
        <v>5</v>
      </c>
      <c r="R117" s="45">
        <f>21693.95/Q117</f>
        <v>4338.79</v>
      </c>
      <c r="S117" s="10"/>
      <c r="T117" s="10"/>
      <c r="U117" s="10"/>
      <c r="V117" s="10"/>
      <c r="W117" s="10"/>
      <c r="X117" s="10"/>
      <c r="Y117" s="10"/>
      <c r="Z117" s="515">
        <f t="shared" ref="Z117:Z119" si="80">SUM(R117:Y117)</f>
        <v>4338.79</v>
      </c>
      <c r="AA117" s="10">
        <v>1000</v>
      </c>
      <c r="AB117" s="10"/>
      <c r="AC117" s="13">
        <f t="shared" ref="AC117:AC119" si="81">AA117+AB117</f>
        <v>1000</v>
      </c>
      <c r="AD117" s="517">
        <f t="shared" ref="AD117:AD119" si="82">(Z117*12)+AC117</f>
        <v>53065.479999999996</v>
      </c>
      <c r="AE117" s="15">
        <v>265327.40000000002</v>
      </c>
      <c r="AF117" s="513">
        <f t="shared" ref="AF117:AG119" si="83">AD117-O117</f>
        <v>0</v>
      </c>
      <c r="AG117" s="513">
        <f t="shared" si="83"/>
        <v>0</v>
      </c>
      <c r="AH117" s="15"/>
      <c r="AI117" s="516">
        <v>265327.40000000002</v>
      </c>
    </row>
    <row r="118" spans="1:35" x14ac:dyDescent="0.2">
      <c r="A118" s="502" t="s">
        <v>942</v>
      </c>
      <c r="B118" s="339">
        <v>6</v>
      </c>
      <c r="C118" s="45">
        <f>19524.6/B118</f>
        <v>3254.1</v>
      </c>
      <c r="D118" s="10"/>
      <c r="E118" s="10"/>
      <c r="F118" s="10"/>
      <c r="G118" s="10"/>
      <c r="H118" s="10"/>
      <c r="I118" s="10"/>
      <c r="J118" s="10"/>
      <c r="K118" s="515">
        <f t="shared" si="77"/>
        <v>3254.1</v>
      </c>
      <c r="L118" s="10">
        <v>1000</v>
      </c>
      <c r="M118" s="10"/>
      <c r="N118" s="13">
        <f t="shared" si="78"/>
        <v>1000</v>
      </c>
      <c r="O118" s="517">
        <f t="shared" si="79"/>
        <v>40049.199999999997</v>
      </c>
      <c r="P118" s="15">
        <v>240295.2</v>
      </c>
      <c r="Q118" s="339">
        <v>6</v>
      </c>
      <c r="R118" s="45">
        <f>19524.6/Q118</f>
        <v>3254.1</v>
      </c>
      <c r="S118" s="10"/>
      <c r="T118" s="10"/>
      <c r="U118" s="10"/>
      <c r="V118" s="10"/>
      <c r="W118" s="10"/>
      <c r="X118" s="10"/>
      <c r="Y118" s="10"/>
      <c r="Z118" s="515">
        <f t="shared" si="80"/>
        <v>3254.1</v>
      </c>
      <c r="AA118" s="10">
        <v>1000</v>
      </c>
      <c r="AB118" s="10"/>
      <c r="AC118" s="13">
        <f t="shared" si="81"/>
        <v>1000</v>
      </c>
      <c r="AD118" s="517">
        <f t="shared" si="82"/>
        <v>40049.199999999997</v>
      </c>
      <c r="AE118" s="15">
        <v>240295.2</v>
      </c>
      <c r="AF118" s="513">
        <f t="shared" si="83"/>
        <v>0</v>
      </c>
      <c r="AG118" s="513">
        <f t="shared" si="83"/>
        <v>0</v>
      </c>
      <c r="AH118" s="15"/>
      <c r="AI118" s="516">
        <v>240295.2</v>
      </c>
    </row>
    <row r="119" spans="1:35" x14ac:dyDescent="0.2">
      <c r="A119" s="502" t="s">
        <v>943</v>
      </c>
      <c r="B119" s="339">
        <v>55</v>
      </c>
      <c r="C119" s="45">
        <f>154569.75/B119</f>
        <v>2810.3590909090908</v>
      </c>
      <c r="D119" s="10"/>
      <c r="E119" s="10"/>
      <c r="F119" s="10"/>
      <c r="G119" s="10"/>
      <c r="H119" s="10"/>
      <c r="I119" s="10"/>
      <c r="J119" s="10"/>
      <c r="K119" s="515">
        <f t="shared" si="77"/>
        <v>2810.3590909090908</v>
      </c>
      <c r="L119" s="10">
        <v>1000</v>
      </c>
      <c r="M119" s="10"/>
      <c r="N119" s="13">
        <f t="shared" si="78"/>
        <v>1000</v>
      </c>
      <c r="O119" s="517">
        <f t="shared" si="79"/>
        <v>34724.30909090909</v>
      </c>
      <c r="P119" s="15">
        <v>1889837</v>
      </c>
      <c r="Q119" s="339">
        <v>55</v>
      </c>
      <c r="R119" s="45">
        <f>154569.75/Q119</f>
        <v>2810.3590909090908</v>
      </c>
      <c r="S119" s="10"/>
      <c r="T119" s="10"/>
      <c r="U119" s="10"/>
      <c r="V119" s="10"/>
      <c r="W119" s="10"/>
      <c r="X119" s="10"/>
      <c r="Y119" s="10"/>
      <c r="Z119" s="515">
        <f t="shared" si="80"/>
        <v>2810.3590909090908</v>
      </c>
      <c r="AA119" s="10">
        <v>1000</v>
      </c>
      <c r="AB119" s="10"/>
      <c r="AC119" s="13">
        <f t="shared" si="81"/>
        <v>1000</v>
      </c>
      <c r="AD119" s="517">
        <f t="shared" si="82"/>
        <v>34724.30909090909</v>
      </c>
      <c r="AE119" s="15">
        <v>1889837</v>
      </c>
      <c r="AF119" s="513">
        <f t="shared" si="83"/>
        <v>0</v>
      </c>
      <c r="AG119" s="513">
        <f t="shared" si="83"/>
        <v>0</v>
      </c>
      <c r="AH119" s="15"/>
      <c r="AI119" s="516">
        <v>1889837</v>
      </c>
    </row>
    <row r="120" spans="1:35" x14ac:dyDescent="0.2">
      <c r="A120" s="502"/>
      <c r="B120" s="339"/>
      <c r="C120" s="10"/>
      <c r="D120" s="10"/>
      <c r="E120" s="10"/>
      <c r="F120" s="10"/>
      <c r="G120" s="10"/>
      <c r="H120" s="10"/>
      <c r="I120" s="10"/>
      <c r="J120" s="10"/>
      <c r="K120" s="515"/>
      <c r="L120" s="10"/>
      <c r="M120" s="10"/>
      <c r="N120" s="13"/>
      <c r="O120" s="517"/>
      <c r="P120" s="15"/>
      <c r="Q120" s="339"/>
      <c r="R120" s="10"/>
      <c r="S120" s="10"/>
      <c r="T120" s="10"/>
      <c r="U120" s="10"/>
      <c r="V120" s="10"/>
      <c r="W120" s="10"/>
      <c r="X120" s="10"/>
      <c r="Y120" s="10"/>
      <c r="Z120" s="515"/>
      <c r="AA120" s="10"/>
      <c r="AB120" s="10"/>
      <c r="AC120" s="13"/>
      <c r="AD120" s="517"/>
      <c r="AE120" s="15"/>
      <c r="AF120" s="15"/>
      <c r="AG120" s="14"/>
      <c r="AH120" s="15"/>
      <c r="AI120" s="516"/>
    </row>
    <row r="121" spans="1:35" x14ac:dyDescent="0.2">
      <c r="A121" s="14"/>
      <c r="B121" s="14"/>
      <c r="C121" s="10"/>
      <c r="D121" s="10"/>
      <c r="E121" s="10"/>
      <c r="F121" s="10"/>
      <c r="G121" s="10"/>
      <c r="H121" s="10"/>
      <c r="I121" s="10"/>
      <c r="J121" s="10"/>
      <c r="K121" s="10"/>
      <c r="L121" s="10"/>
      <c r="M121" s="10"/>
      <c r="O121" s="45"/>
      <c r="P121" s="15"/>
      <c r="Q121" s="14"/>
      <c r="R121" s="10"/>
      <c r="S121" s="10"/>
      <c r="T121" s="10"/>
      <c r="U121" s="10"/>
      <c r="V121" s="10"/>
      <c r="W121" s="10"/>
      <c r="X121" s="10"/>
      <c r="Y121" s="10"/>
      <c r="Z121" s="10"/>
      <c r="AA121" s="10"/>
      <c r="AB121" s="10"/>
      <c r="AD121" s="45"/>
      <c r="AE121" s="15"/>
      <c r="AF121" s="15"/>
      <c r="AG121" s="14"/>
      <c r="AH121" s="15"/>
      <c r="AI121" s="516"/>
    </row>
    <row r="122" spans="1:35" x14ac:dyDescent="0.2">
      <c r="A122" s="518" t="s">
        <v>963</v>
      </c>
      <c r="B122" s="14"/>
      <c r="C122" s="10"/>
      <c r="D122" s="10"/>
      <c r="E122" s="10"/>
      <c r="F122" s="10"/>
      <c r="G122" s="10"/>
      <c r="H122" s="10"/>
      <c r="I122" s="10"/>
      <c r="J122" s="10"/>
      <c r="K122" s="10"/>
      <c r="L122" s="10"/>
      <c r="M122" s="10"/>
      <c r="O122" s="45"/>
      <c r="P122" s="15"/>
      <c r="Q122" s="14"/>
      <c r="R122" s="10"/>
      <c r="S122" s="10"/>
      <c r="T122" s="10"/>
      <c r="U122" s="10"/>
      <c r="V122" s="10"/>
      <c r="W122" s="10"/>
      <c r="X122" s="10"/>
      <c r="Y122" s="10"/>
      <c r="Z122" s="10"/>
      <c r="AA122" s="10"/>
      <c r="AB122" s="10"/>
      <c r="AD122" s="45"/>
      <c r="AE122" s="15"/>
      <c r="AF122" s="15"/>
      <c r="AG122" s="14"/>
      <c r="AH122" s="15"/>
      <c r="AI122" s="516"/>
    </row>
    <row r="123" spans="1:35" x14ac:dyDescent="0.2">
      <c r="A123" s="518" t="s">
        <v>964</v>
      </c>
      <c r="B123" s="14"/>
      <c r="C123" s="10"/>
      <c r="D123" s="10"/>
      <c r="E123" s="10"/>
      <c r="F123" s="10"/>
      <c r="G123" s="10"/>
      <c r="H123" s="10"/>
      <c r="I123" s="10"/>
      <c r="J123" s="10"/>
      <c r="K123" s="515"/>
      <c r="L123" s="10"/>
      <c r="M123" s="10"/>
      <c r="N123" s="13"/>
      <c r="O123" s="45"/>
      <c r="P123" s="15"/>
      <c r="Q123" s="14"/>
      <c r="R123" s="10"/>
      <c r="S123" s="10"/>
      <c r="T123" s="10"/>
      <c r="U123" s="10"/>
      <c r="V123" s="10"/>
      <c r="W123" s="10"/>
      <c r="X123" s="10"/>
      <c r="Y123" s="10"/>
      <c r="Z123" s="515"/>
      <c r="AA123" s="10"/>
      <c r="AB123" s="10"/>
      <c r="AC123" s="13"/>
      <c r="AD123" s="45"/>
      <c r="AE123" s="15"/>
      <c r="AF123" s="15"/>
      <c r="AG123" s="14"/>
      <c r="AH123" s="15"/>
      <c r="AI123" s="516"/>
    </row>
    <row r="124" spans="1:35" x14ac:dyDescent="0.2">
      <c r="A124" s="502" t="s">
        <v>965</v>
      </c>
      <c r="B124" s="14">
        <v>1</v>
      </c>
      <c r="C124" s="10">
        <v>8705.83</v>
      </c>
      <c r="D124" s="10"/>
      <c r="E124" s="10"/>
      <c r="F124" s="10"/>
      <c r="G124" s="10"/>
      <c r="H124" s="10"/>
      <c r="I124" s="10"/>
      <c r="J124" s="10"/>
      <c r="K124" s="515">
        <f t="shared" ref="K124:K125" si="84">SUM(C124:J124)</f>
        <v>8705.83</v>
      </c>
      <c r="L124" s="10">
        <f>7977+15974</f>
        <v>23951</v>
      </c>
      <c r="M124" s="10">
        <v>1437.66</v>
      </c>
      <c r="N124" s="13">
        <f t="shared" ref="N124:N125" si="85">L124+M124</f>
        <v>25388.66</v>
      </c>
      <c r="O124" s="517">
        <f t="shared" ref="O124:O147" si="86">(K124*12)+N124</f>
        <v>129858.62</v>
      </c>
      <c r="P124" s="15">
        <v>129858.62</v>
      </c>
      <c r="Q124" s="14">
        <v>1</v>
      </c>
      <c r="R124" s="10">
        <v>8705.83</v>
      </c>
      <c r="S124" s="10"/>
      <c r="T124" s="10"/>
      <c r="U124" s="10"/>
      <c r="V124" s="10"/>
      <c r="W124" s="10"/>
      <c r="X124" s="10"/>
      <c r="Y124" s="10"/>
      <c r="Z124" s="515">
        <f t="shared" ref="Z124:Z125" si="87">SUM(R124:Y124)</f>
        <v>8705.83</v>
      </c>
      <c r="AA124" s="10">
        <f>7977+15974</f>
        <v>23951</v>
      </c>
      <c r="AB124" s="10">
        <v>1437.66</v>
      </c>
      <c r="AC124" s="13">
        <f t="shared" ref="AC124:AC125" si="88">AA124+AB124</f>
        <v>25388.66</v>
      </c>
      <c r="AD124" s="517">
        <f t="shared" ref="AD124:AD125" si="89">(Z124*12)+AC124</f>
        <v>129858.62</v>
      </c>
      <c r="AE124" s="15">
        <v>129858.62</v>
      </c>
      <c r="AF124" s="513">
        <f t="shared" ref="AF124:AG125" si="90">AD124-O124</f>
        <v>0</v>
      </c>
      <c r="AG124" s="513">
        <f t="shared" si="90"/>
        <v>0</v>
      </c>
      <c r="AH124" s="15"/>
      <c r="AI124" s="516">
        <v>129858.62</v>
      </c>
    </row>
    <row r="125" spans="1:35" x14ac:dyDescent="0.2">
      <c r="A125" s="502" t="s">
        <v>966</v>
      </c>
      <c r="B125" s="14">
        <v>6</v>
      </c>
      <c r="C125" s="10">
        <v>39560.46</v>
      </c>
      <c r="D125" s="10"/>
      <c r="E125" s="10"/>
      <c r="F125" s="10"/>
      <c r="G125" s="10"/>
      <c r="H125" s="10"/>
      <c r="I125" s="10"/>
      <c r="J125" s="10"/>
      <c r="K125" s="515">
        <f t="shared" si="84"/>
        <v>39560.46</v>
      </c>
      <c r="L125" s="10">
        <v>19137</v>
      </c>
      <c r="M125" s="10">
        <f>6532.92/B125</f>
        <v>1088.82</v>
      </c>
      <c r="N125" s="13">
        <f t="shared" si="85"/>
        <v>20225.82</v>
      </c>
      <c r="O125" s="517">
        <f t="shared" si="86"/>
        <v>494951.34</v>
      </c>
      <c r="P125" s="15">
        <v>590080.43999999994</v>
      </c>
      <c r="Q125" s="14">
        <v>6</v>
      </c>
      <c r="R125" s="10">
        <v>39560.46</v>
      </c>
      <c r="S125" s="10"/>
      <c r="T125" s="10"/>
      <c r="U125" s="10"/>
      <c r="V125" s="10"/>
      <c r="W125" s="10"/>
      <c r="X125" s="10"/>
      <c r="Y125" s="10"/>
      <c r="Z125" s="515">
        <f t="shared" si="87"/>
        <v>39560.46</v>
      </c>
      <c r="AA125" s="10">
        <v>19137</v>
      </c>
      <c r="AB125" s="10">
        <f>6532.92/Q125</f>
        <v>1088.82</v>
      </c>
      <c r="AC125" s="13">
        <f t="shared" si="88"/>
        <v>20225.82</v>
      </c>
      <c r="AD125" s="517">
        <f t="shared" si="89"/>
        <v>494951.34</v>
      </c>
      <c r="AE125" s="15">
        <v>590080.43999999994</v>
      </c>
      <c r="AF125" s="513">
        <f t="shared" si="90"/>
        <v>0</v>
      </c>
      <c r="AG125" s="513">
        <f t="shared" si="90"/>
        <v>0</v>
      </c>
      <c r="AH125" s="15"/>
      <c r="AI125" s="516">
        <v>590080.43999999994</v>
      </c>
    </row>
    <row r="126" spans="1:35" x14ac:dyDescent="0.2">
      <c r="A126" s="518" t="s">
        <v>4</v>
      </c>
      <c r="B126" s="14"/>
      <c r="C126" s="10"/>
      <c r="D126" s="10"/>
      <c r="E126" s="10"/>
      <c r="F126" s="10"/>
      <c r="G126" s="10"/>
      <c r="H126" s="10"/>
      <c r="I126" s="10"/>
      <c r="J126" s="10"/>
      <c r="K126" s="10"/>
      <c r="L126" s="10"/>
      <c r="M126" s="10"/>
      <c r="O126" s="45"/>
      <c r="P126" s="15"/>
      <c r="Q126" s="14"/>
      <c r="R126" s="10"/>
      <c r="S126" s="10"/>
      <c r="T126" s="10"/>
      <c r="U126" s="10"/>
      <c r="V126" s="10"/>
      <c r="W126" s="10"/>
      <c r="X126" s="10"/>
      <c r="Y126" s="10"/>
      <c r="Z126" s="10"/>
      <c r="AA126" s="10"/>
      <c r="AB126" s="10"/>
      <c r="AD126" s="45"/>
      <c r="AE126" s="15"/>
      <c r="AF126" s="15"/>
      <c r="AG126" s="14"/>
      <c r="AH126" s="15"/>
      <c r="AI126" s="516"/>
    </row>
    <row r="127" spans="1:35" x14ac:dyDescent="0.2">
      <c r="A127" s="502" t="s">
        <v>967</v>
      </c>
      <c r="B127" s="14">
        <v>1</v>
      </c>
      <c r="C127" s="10">
        <v>6551.99</v>
      </c>
      <c r="D127" s="10"/>
      <c r="E127" s="10"/>
      <c r="F127" s="10"/>
      <c r="G127" s="10"/>
      <c r="H127" s="10"/>
      <c r="I127" s="10"/>
      <c r="J127" s="10"/>
      <c r="K127" s="515">
        <f t="shared" ref="K127:K139" si="91">SUM(C127:J127)</f>
        <v>6551.99</v>
      </c>
      <c r="L127" s="10">
        <f>6001+12022</f>
        <v>18023</v>
      </c>
      <c r="M127" s="10">
        <v>1081.98</v>
      </c>
      <c r="N127" s="13">
        <f t="shared" ref="N127:N139" si="92">L127+M127</f>
        <v>19104.98</v>
      </c>
      <c r="O127" s="517">
        <f t="shared" si="86"/>
        <v>97728.86</v>
      </c>
      <c r="P127" s="15">
        <v>97728.86</v>
      </c>
      <c r="Q127" s="14">
        <v>1</v>
      </c>
      <c r="R127" s="10">
        <v>6551.99</v>
      </c>
      <c r="S127" s="10"/>
      <c r="T127" s="10"/>
      <c r="U127" s="10"/>
      <c r="V127" s="10"/>
      <c r="W127" s="10"/>
      <c r="X127" s="10"/>
      <c r="Y127" s="10"/>
      <c r="Z127" s="515">
        <f t="shared" ref="Z127:Z132" si="93">SUM(R127:Y127)</f>
        <v>6551.99</v>
      </c>
      <c r="AA127" s="10">
        <f>6001+12022</f>
        <v>18023</v>
      </c>
      <c r="AB127" s="10">
        <v>1081.98</v>
      </c>
      <c r="AC127" s="13">
        <f t="shared" ref="AC127:AC132" si="94">AA127+AB127</f>
        <v>19104.98</v>
      </c>
      <c r="AD127" s="517">
        <f t="shared" ref="AD127:AD132" si="95">(Z127*12)+AC127</f>
        <v>97728.86</v>
      </c>
      <c r="AE127" s="15">
        <v>97728.86</v>
      </c>
      <c r="AF127" s="513">
        <f t="shared" ref="AF127:AG132" si="96">AD127-O127</f>
        <v>0</v>
      </c>
      <c r="AG127" s="513">
        <f t="shared" si="96"/>
        <v>0</v>
      </c>
      <c r="AH127" s="15"/>
      <c r="AI127" s="516">
        <v>97728.86</v>
      </c>
    </row>
    <row r="128" spans="1:35" x14ac:dyDescent="0.2">
      <c r="A128" s="502" t="s">
        <v>968</v>
      </c>
      <c r="B128" s="14">
        <v>2</v>
      </c>
      <c r="C128" s="10">
        <f>8798.48/B128</f>
        <v>4399.24</v>
      </c>
      <c r="D128" s="10"/>
      <c r="E128" s="10"/>
      <c r="F128" s="10"/>
      <c r="G128" s="10"/>
      <c r="H128" s="10"/>
      <c r="I128" s="10"/>
      <c r="J128" s="10"/>
      <c r="K128" s="515">
        <f t="shared" si="91"/>
        <v>4399.24</v>
      </c>
      <c r="L128" s="10">
        <v>12098</v>
      </c>
      <c r="M128" s="10">
        <f>1452.96/2</f>
        <v>726.48</v>
      </c>
      <c r="N128" s="13">
        <f t="shared" si="92"/>
        <v>12824.48</v>
      </c>
      <c r="O128" s="517">
        <f t="shared" si="86"/>
        <v>65615.360000000001</v>
      </c>
      <c r="P128" s="15">
        <v>131230.72</v>
      </c>
      <c r="Q128" s="14">
        <v>2</v>
      </c>
      <c r="R128" s="10">
        <f>8798.48/Q128</f>
        <v>4399.24</v>
      </c>
      <c r="S128" s="10"/>
      <c r="T128" s="10"/>
      <c r="U128" s="10"/>
      <c r="V128" s="10"/>
      <c r="W128" s="10"/>
      <c r="X128" s="10"/>
      <c r="Y128" s="10"/>
      <c r="Z128" s="515">
        <f t="shared" si="93"/>
        <v>4399.24</v>
      </c>
      <c r="AA128" s="10">
        <v>12098</v>
      </c>
      <c r="AB128" s="10">
        <f>1452.96/2</f>
        <v>726.48</v>
      </c>
      <c r="AC128" s="13">
        <f t="shared" si="94"/>
        <v>12824.48</v>
      </c>
      <c r="AD128" s="517">
        <f t="shared" si="95"/>
        <v>65615.360000000001</v>
      </c>
      <c r="AE128" s="15">
        <v>131230.72</v>
      </c>
      <c r="AF128" s="513">
        <f t="shared" si="96"/>
        <v>0</v>
      </c>
      <c r="AG128" s="513">
        <f t="shared" si="96"/>
        <v>0</v>
      </c>
      <c r="AH128" s="15"/>
      <c r="AI128" s="516">
        <v>131230.72</v>
      </c>
    </row>
    <row r="129" spans="1:35" x14ac:dyDescent="0.2">
      <c r="A129" s="502" t="s">
        <v>969</v>
      </c>
      <c r="B129" s="14">
        <v>8</v>
      </c>
      <c r="C129" s="10">
        <f>36010.33/B129</f>
        <v>4501.2912500000002</v>
      </c>
      <c r="D129" s="10"/>
      <c r="E129" s="10"/>
      <c r="F129" s="10"/>
      <c r="G129" s="10"/>
      <c r="H129" s="10"/>
      <c r="I129" s="10"/>
      <c r="J129" s="10"/>
      <c r="K129" s="515">
        <f t="shared" si="91"/>
        <v>4501.2912500000002</v>
      </c>
      <c r="L129" s="10">
        <v>12378.9</v>
      </c>
      <c r="M129" s="519">
        <f>5946.66/B129</f>
        <v>743.33249999999998</v>
      </c>
      <c r="N129" s="13">
        <f t="shared" si="92"/>
        <v>13122.2325</v>
      </c>
      <c r="O129" s="517">
        <f t="shared" si="86"/>
        <v>67137.727500000008</v>
      </c>
      <c r="P129" s="15">
        <v>537101.62</v>
      </c>
      <c r="Q129" s="14">
        <v>8</v>
      </c>
      <c r="R129" s="10">
        <f>36010.33/Q129</f>
        <v>4501.2912500000002</v>
      </c>
      <c r="S129" s="10"/>
      <c r="T129" s="10"/>
      <c r="U129" s="10"/>
      <c r="V129" s="10"/>
      <c r="W129" s="10"/>
      <c r="X129" s="10"/>
      <c r="Y129" s="10"/>
      <c r="Z129" s="515">
        <f t="shared" si="93"/>
        <v>4501.2912500000002</v>
      </c>
      <c r="AA129" s="10">
        <v>12378.9</v>
      </c>
      <c r="AB129" s="519">
        <f>5946.66/Q129</f>
        <v>743.33249999999998</v>
      </c>
      <c r="AC129" s="13">
        <f t="shared" si="94"/>
        <v>13122.2325</v>
      </c>
      <c r="AD129" s="517">
        <f t="shared" si="95"/>
        <v>67137.727500000008</v>
      </c>
      <c r="AE129" s="15">
        <v>537101.62</v>
      </c>
      <c r="AF129" s="513">
        <f t="shared" si="96"/>
        <v>0</v>
      </c>
      <c r="AG129" s="513">
        <f t="shared" si="96"/>
        <v>0</v>
      </c>
      <c r="AH129" s="15"/>
      <c r="AI129" s="516">
        <v>537101.62</v>
      </c>
    </row>
    <row r="130" spans="1:35" x14ac:dyDescent="0.2">
      <c r="A130" s="502" t="s">
        <v>970</v>
      </c>
      <c r="B130" s="14">
        <v>1</v>
      </c>
      <c r="C130" s="10">
        <v>3103.23</v>
      </c>
      <c r="D130" s="10"/>
      <c r="E130" s="10"/>
      <c r="F130" s="10"/>
      <c r="G130" s="10"/>
      <c r="H130" s="10"/>
      <c r="I130" s="10"/>
      <c r="J130" s="10"/>
      <c r="K130" s="515">
        <f t="shared" si="91"/>
        <v>3103.23</v>
      </c>
      <c r="L130" s="10">
        <f>2837+5694</f>
        <v>8531</v>
      </c>
      <c r="M130" s="10">
        <v>512.46</v>
      </c>
      <c r="N130" s="13">
        <f t="shared" si="92"/>
        <v>9043.4599999999991</v>
      </c>
      <c r="O130" s="517">
        <f t="shared" si="86"/>
        <v>46282.22</v>
      </c>
      <c r="P130" s="15">
        <v>46282.22</v>
      </c>
      <c r="Q130" s="14">
        <v>1</v>
      </c>
      <c r="R130" s="10">
        <v>3103.23</v>
      </c>
      <c r="S130" s="10"/>
      <c r="T130" s="10"/>
      <c r="U130" s="10"/>
      <c r="V130" s="10"/>
      <c r="W130" s="10"/>
      <c r="X130" s="10"/>
      <c r="Y130" s="10"/>
      <c r="Z130" s="515">
        <f t="shared" si="93"/>
        <v>3103.23</v>
      </c>
      <c r="AA130" s="10">
        <f>2837+5694</f>
        <v>8531</v>
      </c>
      <c r="AB130" s="10">
        <v>512.46</v>
      </c>
      <c r="AC130" s="13">
        <f t="shared" si="94"/>
        <v>9043.4599999999991</v>
      </c>
      <c r="AD130" s="517">
        <f t="shared" si="95"/>
        <v>46282.22</v>
      </c>
      <c r="AE130" s="15">
        <v>46282.22</v>
      </c>
      <c r="AF130" s="513">
        <f t="shared" si="96"/>
        <v>0</v>
      </c>
      <c r="AG130" s="513">
        <f t="shared" si="96"/>
        <v>0</v>
      </c>
      <c r="AH130" s="15"/>
      <c r="AI130" s="516">
        <v>46282.22</v>
      </c>
    </row>
    <row r="131" spans="1:35" x14ac:dyDescent="0.2">
      <c r="A131" s="502" t="s">
        <v>971</v>
      </c>
      <c r="B131" s="14">
        <v>3</v>
      </c>
      <c r="C131" s="10">
        <f>9290.07/B131</f>
        <v>3096.69</v>
      </c>
      <c r="D131" s="10"/>
      <c r="E131" s="10"/>
      <c r="F131" s="10"/>
      <c r="G131" s="10"/>
      <c r="H131" s="10"/>
      <c r="I131" s="10"/>
      <c r="J131" s="10"/>
      <c r="K131" s="515">
        <f t="shared" si="91"/>
        <v>3096.69</v>
      </c>
      <c r="L131" s="10">
        <v>8513</v>
      </c>
      <c r="M131" s="10">
        <f>1534.14/3</f>
        <v>511.38000000000005</v>
      </c>
      <c r="N131" s="13">
        <f t="shared" si="92"/>
        <v>9024.3799999999992</v>
      </c>
      <c r="O131" s="517">
        <f t="shared" si="86"/>
        <v>46184.659999999996</v>
      </c>
      <c r="P131" s="15">
        <v>138553.98000000001</v>
      </c>
      <c r="Q131" s="14">
        <v>3</v>
      </c>
      <c r="R131" s="10">
        <f>9290.07/Q131</f>
        <v>3096.69</v>
      </c>
      <c r="S131" s="10"/>
      <c r="T131" s="10"/>
      <c r="U131" s="10"/>
      <c r="V131" s="10"/>
      <c r="W131" s="10"/>
      <c r="X131" s="10"/>
      <c r="Y131" s="10"/>
      <c r="Z131" s="515">
        <f t="shared" si="93"/>
        <v>3096.69</v>
      </c>
      <c r="AA131" s="10">
        <v>8513</v>
      </c>
      <c r="AB131" s="10">
        <f>1534.14/3</f>
        <v>511.38000000000005</v>
      </c>
      <c r="AC131" s="13">
        <f t="shared" si="94"/>
        <v>9024.3799999999992</v>
      </c>
      <c r="AD131" s="517">
        <f t="shared" si="95"/>
        <v>46184.659999999996</v>
      </c>
      <c r="AE131" s="15">
        <v>138553.98000000001</v>
      </c>
      <c r="AF131" s="513">
        <f t="shared" si="96"/>
        <v>0</v>
      </c>
      <c r="AG131" s="513">
        <f t="shared" si="96"/>
        <v>0</v>
      </c>
      <c r="AH131" s="15"/>
      <c r="AI131" s="516">
        <v>138553.98000000001</v>
      </c>
    </row>
    <row r="132" spans="1:35" x14ac:dyDescent="0.2">
      <c r="A132" s="502" t="s">
        <v>972</v>
      </c>
      <c r="B132" s="14">
        <v>1</v>
      </c>
      <c r="C132" s="10">
        <v>2245.4</v>
      </c>
      <c r="D132" s="10"/>
      <c r="E132" s="10"/>
      <c r="F132" s="10"/>
      <c r="G132" s="10"/>
      <c r="H132" s="10"/>
      <c r="I132" s="10"/>
      <c r="J132" s="10"/>
      <c r="K132" s="515">
        <f t="shared" si="91"/>
        <v>2245.4</v>
      </c>
      <c r="L132" s="10">
        <f>2050+4120</f>
        <v>6170</v>
      </c>
      <c r="M132" s="10">
        <v>370.8</v>
      </c>
      <c r="N132" s="13">
        <f t="shared" si="92"/>
        <v>6540.8</v>
      </c>
      <c r="O132" s="517">
        <f t="shared" si="86"/>
        <v>33485.600000000006</v>
      </c>
      <c r="P132" s="15">
        <v>33485.599999999999</v>
      </c>
      <c r="Q132" s="14">
        <v>1</v>
      </c>
      <c r="R132" s="10">
        <v>2245.4</v>
      </c>
      <c r="S132" s="10"/>
      <c r="T132" s="10"/>
      <c r="U132" s="10"/>
      <c r="V132" s="10"/>
      <c r="W132" s="10"/>
      <c r="X132" s="10"/>
      <c r="Y132" s="10"/>
      <c r="Z132" s="515">
        <f t="shared" si="93"/>
        <v>2245.4</v>
      </c>
      <c r="AA132" s="10">
        <f>2050+4120</f>
        <v>6170</v>
      </c>
      <c r="AB132" s="10">
        <v>370.8</v>
      </c>
      <c r="AC132" s="13">
        <f t="shared" si="94"/>
        <v>6540.8</v>
      </c>
      <c r="AD132" s="517">
        <f t="shared" si="95"/>
        <v>33485.600000000006</v>
      </c>
      <c r="AE132" s="15">
        <v>33485.599999999999</v>
      </c>
      <c r="AF132" s="513">
        <f t="shared" si="96"/>
        <v>0</v>
      </c>
      <c r="AG132" s="513">
        <f t="shared" si="96"/>
        <v>0</v>
      </c>
      <c r="AH132" s="15"/>
      <c r="AI132" s="516">
        <v>33485.599999999999</v>
      </c>
    </row>
    <row r="133" spans="1:35" x14ac:dyDescent="0.2">
      <c r="A133" s="518" t="s">
        <v>5</v>
      </c>
      <c r="B133" s="14"/>
      <c r="C133" s="10"/>
      <c r="D133" s="10"/>
      <c r="E133" s="10"/>
      <c r="F133" s="10"/>
      <c r="G133" s="10"/>
      <c r="H133" s="10"/>
      <c r="I133" s="10"/>
      <c r="J133" s="10"/>
      <c r="K133" s="515"/>
      <c r="L133" s="10"/>
      <c r="M133" s="10"/>
      <c r="N133" s="13"/>
      <c r="O133" s="517"/>
      <c r="P133" s="15"/>
      <c r="Q133" s="14"/>
      <c r="R133" s="10"/>
      <c r="S133" s="10"/>
      <c r="T133" s="10"/>
      <c r="U133" s="10"/>
      <c r="V133" s="10"/>
      <c r="W133" s="10"/>
      <c r="X133" s="10"/>
      <c r="Y133" s="10"/>
      <c r="Z133" s="515"/>
      <c r="AA133" s="10"/>
      <c r="AB133" s="10"/>
      <c r="AC133" s="13"/>
      <c r="AD133" s="517"/>
      <c r="AE133" s="15"/>
      <c r="AF133" s="15"/>
      <c r="AG133" s="14"/>
      <c r="AH133" s="15"/>
      <c r="AI133" s="516"/>
    </row>
    <row r="134" spans="1:35" x14ac:dyDescent="0.2">
      <c r="A134" s="502" t="s">
        <v>973</v>
      </c>
      <c r="B134" s="14">
        <v>6</v>
      </c>
      <c r="C134" s="10">
        <f>13235.87/B134</f>
        <v>2205.9783333333335</v>
      </c>
      <c r="D134" s="10"/>
      <c r="E134" s="10"/>
      <c r="F134" s="10"/>
      <c r="G134" s="10"/>
      <c r="H134" s="10"/>
      <c r="I134" s="10"/>
      <c r="J134" s="10"/>
      <c r="K134" s="515">
        <f t="shared" si="91"/>
        <v>2205.9783333333335</v>
      </c>
      <c r="L134" s="10">
        <v>6061.5</v>
      </c>
      <c r="M134" s="10">
        <f>2185.74/6</f>
        <v>364.28999999999996</v>
      </c>
      <c r="N134" s="13">
        <f t="shared" si="92"/>
        <v>6425.79</v>
      </c>
      <c r="O134" s="517">
        <f t="shared" si="86"/>
        <v>32897.53</v>
      </c>
      <c r="P134" s="15">
        <v>197385.18</v>
      </c>
      <c r="Q134" s="14">
        <v>6</v>
      </c>
      <c r="R134" s="10">
        <f>13235.87/Q134</f>
        <v>2205.9783333333335</v>
      </c>
      <c r="S134" s="10"/>
      <c r="T134" s="10"/>
      <c r="U134" s="10"/>
      <c r="V134" s="10"/>
      <c r="W134" s="10"/>
      <c r="X134" s="10"/>
      <c r="Y134" s="10"/>
      <c r="Z134" s="515">
        <f t="shared" ref="Z134:Z135" si="97">SUM(R134:Y134)</f>
        <v>2205.9783333333335</v>
      </c>
      <c r="AA134" s="10">
        <v>6061.5</v>
      </c>
      <c r="AB134" s="10">
        <f>2185.74/6</f>
        <v>364.28999999999996</v>
      </c>
      <c r="AC134" s="13">
        <f t="shared" ref="AC134:AC135" si="98">AA134+AB134</f>
        <v>6425.79</v>
      </c>
      <c r="AD134" s="517">
        <f t="shared" ref="AD134:AD135" si="99">(Z134*12)+AC134</f>
        <v>32897.53</v>
      </c>
      <c r="AE134" s="15">
        <v>197385.18</v>
      </c>
      <c r="AF134" s="513">
        <f t="shared" ref="AF134:AG135" si="100">AD134-O134</f>
        <v>0</v>
      </c>
      <c r="AG134" s="513">
        <f t="shared" si="100"/>
        <v>0</v>
      </c>
      <c r="AH134" s="15"/>
      <c r="AI134" s="516">
        <v>197385.18</v>
      </c>
    </row>
    <row r="135" spans="1:35" x14ac:dyDescent="0.2">
      <c r="A135" s="502" t="s">
        <v>974</v>
      </c>
      <c r="B135" s="14">
        <v>6</v>
      </c>
      <c r="C135" s="10">
        <f>9275.9/B135</f>
        <v>1545.9833333333333</v>
      </c>
      <c r="D135" s="10"/>
      <c r="E135" s="10"/>
      <c r="F135" s="10"/>
      <c r="G135" s="10"/>
      <c r="H135" s="10"/>
      <c r="I135" s="10"/>
      <c r="J135" s="10"/>
      <c r="K135" s="515">
        <f t="shared" si="91"/>
        <v>1545.9833333333333</v>
      </c>
      <c r="L135" s="10">
        <v>4245</v>
      </c>
      <c r="M135" s="10">
        <v>255.3</v>
      </c>
      <c r="N135" s="13">
        <f t="shared" si="92"/>
        <v>4500.3</v>
      </c>
      <c r="O135" s="517">
        <f t="shared" si="86"/>
        <v>23052.1</v>
      </c>
      <c r="P135" s="15">
        <v>138312.6</v>
      </c>
      <c r="Q135" s="14">
        <v>6</v>
      </c>
      <c r="R135" s="10">
        <f>9275.9/Q135</f>
        <v>1545.9833333333333</v>
      </c>
      <c r="S135" s="10"/>
      <c r="T135" s="10"/>
      <c r="U135" s="10"/>
      <c r="V135" s="10"/>
      <c r="W135" s="10"/>
      <c r="X135" s="10"/>
      <c r="Y135" s="10"/>
      <c r="Z135" s="515">
        <f t="shared" si="97"/>
        <v>1545.9833333333333</v>
      </c>
      <c r="AA135" s="10">
        <v>4245</v>
      </c>
      <c r="AB135" s="10">
        <v>255.3</v>
      </c>
      <c r="AC135" s="13">
        <f t="shared" si="98"/>
        <v>4500.3</v>
      </c>
      <c r="AD135" s="517">
        <f t="shared" si="99"/>
        <v>23052.1</v>
      </c>
      <c r="AE135" s="15">
        <v>138312.6</v>
      </c>
      <c r="AF135" s="513">
        <f t="shared" si="100"/>
        <v>0</v>
      </c>
      <c r="AG135" s="513">
        <f t="shared" si="100"/>
        <v>0</v>
      </c>
      <c r="AH135" s="15"/>
      <c r="AI135" s="516">
        <v>138312.6</v>
      </c>
    </row>
    <row r="136" spans="1:35" x14ac:dyDescent="0.2">
      <c r="A136" s="502"/>
      <c r="B136" s="14"/>
      <c r="C136" s="10"/>
      <c r="D136" s="10"/>
      <c r="E136" s="10"/>
      <c r="F136" s="10"/>
      <c r="G136" s="10"/>
      <c r="H136" s="10"/>
      <c r="I136" s="10"/>
      <c r="J136" s="10"/>
      <c r="K136" s="515"/>
      <c r="L136" s="10"/>
      <c r="M136" s="10"/>
      <c r="N136" s="13"/>
      <c r="O136" s="517"/>
      <c r="P136" s="15"/>
      <c r="Q136" s="14"/>
      <c r="R136" s="10"/>
      <c r="S136" s="10"/>
      <c r="T136" s="10"/>
      <c r="U136" s="10"/>
      <c r="V136" s="10"/>
      <c r="W136" s="10"/>
      <c r="X136" s="10"/>
      <c r="Y136" s="10"/>
      <c r="Z136" s="515"/>
      <c r="AA136" s="10"/>
      <c r="AB136" s="10"/>
      <c r="AC136" s="13"/>
      <c r="AD136" s="517"/>
      <c r="AE136" s="15"/>
      <c r="AF136" s="15"/>
      <c r="AG136" s="14"/>
      <c r="AH136" s="15"/>
      <c r="AI136" s="516"/>
    </row>
    <row r="137" spans="1:35" x14ac:dyDescent="0.2">
      <c r="A137" s="518" t="s">
        <v>6</v>
      </c>
      <c r="B137" s="14"/>
      <c r="C137" s="10"/>
      <c r="D137" s="10"/>
      <c r="E137" s="10"/>
      <c r="F137" s="10"/>
      <c r="G137" s="10"/>
      <c r="H137" s="10"/>
      <c r="I137" s="10"/>
      <c r="J137" s="10"/>
      <c r="K137" s="515"/>
      <c r="L137" s="10"/>
      <c r="M137" s="10"/>
      <c r="N137" s="13"/>
      <c r="O137" s="517"/>
      <c r="P137" s="15"/>
      <c r="Q137" s="14"/>
      <c r="R137" s="10"/>
      <c r="S137" s="10"/>
      <c r="T137" s="10"/>
      <c r="U137" s="10"/>
      <c r="V137" s="10"/>
      <c r="W137" s="10"/>
      <c r="X137" s="10"/>
      <c r="Y137" s="10"/>
      <c r="Z137" s="515"/>
      <c r="AA137" s="10"/>
      <c r="AB137" s="10"/>
      <c r="AC137" s="13"/>
      <c r="AD137" s="517"/>
      <c r="AE137" s="15"/>
      <c r="AF137" s="15"/>
      <c r="AG137" s="14"/>
      <c r="AH137" s="15"/>
      <c r="AI137" s="516"/>
    </row>
    <row r="138" spans="1:35" x14ac:dyDescent="0.2">
      <c r="A138" s="502" t="s">
        <v>975</v>
      </c>
      <c r="B138" s="14">
        <v>3</v>
      </c>
      <c r="C138" s="10">
        <f>4728.42/B138</f>
        <v>1576.14</v>
      </c>
      <c r="D138" s="10"/>
      <c r="E138" s="10"/>
      <c r="F138" s="10"/>
      <c r="G138" s="10"/>
      <c r="H138" s="10"/>
      <c r="I138" s="10"/>
      <c r="J138" s="10"/>
      <c r="K138" s="515">
        <f t="shared" si="91"/>
        <v>1576.14</v>
      </c>
      <c r="L138" s="10">
        <v>4328</v>
      </c>
      <c r="M138" s="10">
        <f>780.84/3</f>
        <v>260.28000000000003</v>
      </c>
      <c r="N138" s="13">
        <f t="shared" si="92"/>
        <v>4588.28</v>
      </c>
      <c r="O138" s="517">
        <f t="shared" si="86"/>
        <v>23501.96</v>
      </c>
      <c r="P138" s="15">
        <v>70505.88</v>
      </c>
      <c r="Q138" s="14">
        <v>3</v>
      </c>
      <c r="R138" s="10">
        <f>4728.42/Q138</f>
        <v>1576.14</v>
      </c>
      <c r="S138" s="10"/>
      <c r="T138" s="10"/>
      <c r="U138" s="10"/>
      <c r="V138" s="10"/>
      <c r="W138" s="10"/>
      <c r="X138" s="10"/>
      <c r="Y138" s="10"/>
      <c r="Z138" s="515">
        <f t="shared" ref="Z138:Z139" si="101">SUM(R138:Y138)</f>
        <v>1576.14</v>
      </c>
      <c r="AA138" s="10">
        <v>4328</v>
      </c>
      <c r="AB138" s="10">
        <f>780.84/3</f>
        <v>260.28000000000003</v>
      </c>
      <c r="AC138" s="13">
        <f t="shared" ref="AC138:AC139" si="102">AA138+AB138</f>
        <v>4588.28</v>
      </c>
      <c r="AD138" s="517">
        <f t="shared" ref="AD138:AD139" si="103">(Z138*12)+AC138</f>
        <v>23501.96</v>
      </c>
      <c r="AE138" s="15">
        <v>70505.88</v>
      </c>
      <c r="AF138" s="513">
        <f t="shared" ref="AF138:AG139" si="104">AD138-O138</f>
        <v>0</v>
      </c>
      <c r="AG138" s="513">
        <f t="shared" si="104"/>
        <v>0</v>
      </c>
      <c r="AH138" s="15"/>
      <c r="AI138" s="516">
        <v>70505.88</v>
      </c>
    </row>
    <row r="139" spans="1:35" x14ac:dyDescent="0.2">
      <c r="A139" s="502" t="s">
        <v>976</v>
      </c>
      <c r="B139" s="14">
        <v>6</v>
      </c>
      <c r="C139" s="10">
        <f>5624.4/B139</f>
        <v>937.4</v>
      </c>
      <c r="D139" s="10"/>
      <c r="E139" s="10"/>
      <c r="F139" s="10"/>
      <c r="G139" s="10"/>
      <c r="H139" s="10"/>
      <c r="I139" s="10"/>
      <c r="J139" s="10"/>
      <c r="K139" s="515">
        <f t="shared" si="91"/>
        <v>937.4</v>
      </c>
      <c r="L139" s="10">
        <v>2570</v>
      </c>
      <c r="M139" s="10">
        <f>928.8/6</f>
        <v>154.79999999999998</v>
      </c>
      <c r="N139" s="13">
        <f t="shared" si="92"/>
        <v>2724.8</v>
      </c>
      <c r="O139" s="517">
        <f t="shared" si="86"/>
        <v>13973.599999999999</v>
      </c>
      <c r="P139" s="15">
        <v>83841.600000000006</v>
      </c>
      <c r="Q139" s="14">
        <v>6</v>
      </c>
      <c r="R139" s="10">
        <f>5624.4/Q139</f>
        <v>937.4</v>
      </c>
      <c r="S139" s="10"/>
      <c r="T139" s="10"/>
      <c r="U139" s="10"/>
      <c r="V139" s="10"/>
      <c r="W139" s="10"/>
      <c r="X139" s="10"/>
      <c r="Y139" s="10"/>
      <c r="Z139" s="515">
        <f t="shared" si="101"/>
        <v>937.4</v>
      </c>
      <c r="AA139" s="10">
        <v>2570</v>
      </c>
      <c r="AB139" s="10">
        <f>928.8/6</f>
        <v>154.79999999999998</v>
      </c>
      <c r="AC139" s="13">
        <f t="shared" si="102"/>
        <v>2724.8</v>
      </c>
      <c r="AD139" s="517">
        <f t="shared" si="103"/>
        <v>13973.599999999999</v>
      </c>
      <c r="AE139" s="15">
        <v>83841.600000000006</v>
      </c>
      <c r="AF139" s="513">
        <f t="shared" si="104"/>
        <v>0</v>
      </c>
      <c r="AG139" s="513">
        <f t="shared" si="104"/>
        <v>0</v>
      </c>
      <c r="AH139" s="15"/>
      <c r="AI139" s="516">
        <v>83841.600000000006</v>
      </c>
    </row>
    <row r="140" spans="1:35" x14ac:dyDescent="0.2">
      <c r="A140" s="502"/>
      <c r="B140" s="14"/>
      <c r="C140" s="10"/>
      <c r="D140" s="10"/>
      <c r="E140" s="10"/>
      <c r="F140" s="10"/>
      <c r="G140" s="10"/>
      <c r="H140" s="10"/>
      <c r="I140" s="10"/>
      <c r="J140" s="10"/>
      <c r="K140" s="10"/>
      <c r="L140" s="10"/>
      <c r="M140" s="10"/>
      <c r="O140" s="517"/>
      <c r="P140" s="15"/>
      <c r="Q140" s="14"/>
      <c r="R140" s="10"/>
      <c r="S140" s="10"/>
      <c r="T140" s="10"/>
      <c r="U140" s="10"/>
      <c r="V140" s="10"/>
      <c r="W140" s="10"/>
      <c r="X140" s="10"/>
      <c r="Y140" s="10"/>
      <c r="Z140" s="10"/>
      <c r="AA140" s="10"/>
      <c r="AB140" s="10"/>
      <c r="AD140" s="517"/>
      <c r="AE140" s="15"/>
      <c r="AF140" s="15"/>
      <c r="AG140" s="14"/>
      <c r="AH140" s="15"/>
      <c r="AI140" s="516"/>
    </row>
    <row r="141" spans="1:35" x14ac:dyDescent="0.2">
      <c r="A141" s="520" t="s">
        <v>977</v>
      </c>
      <c r="B141" s="14"/>
      <c r="C141" s="10"/>
      <c r="D141" s="10"/>
      <c r="E141" s="10"/>
      <c r="F141" s="10"/>
      <c r="G141" s="10"/>
      <c r="H141" s="10"/>
      <c r="I141" s="10"/>
      <c r="J141" s="10"/>
      <c r="K141" s="10"/>
      <c r="L141" s="10"/>
      <c r="M141" s="10"/>
      <c r="O141" s="517"/>
      <c r="P141" s="15"/>
      <c r="Q141" s="14"/>
      <c r="R141" s="10"/>
      <c r="S141" s="10"/>
      <c r="T141" s="10"/>
      <c r="U141" s="10"/>
      <c r="V141" s="10"/>
      <c r="W141" s="10"/>
      <c r="X141" s="10"/>
      <c r="Y141" s="10"/>
      <c r="Z141" s="10"/>
      <c r="AA141" s="10"/>
      <c r="AB141" s="10"/>
      <c r="AD141" s="517"/>
      <c r="AE141" s="15"/>
      <c r="AF141" s="15"/>
      <c r="AG141" s="14"/>
      <c r="AH141" s="15"/>
      <c r="AI141" s="516"/>
    </row>
    <row r="142" spans="1:35" x14ac:dyDescent="0.2">
      <c r="A142" s="520" t="s">
        <v>978</v>
      </c>
      <c r="B142" s="14"/>
      <c r="C142" s="45"/>
      <c r="D142" s="10"/>
      <c r="E142" s="10"/>
      <c r="F142" s="10"/>
      <c r="G142" s="10"/>
      <c r="H142" s="10"/>
      <c r="I142" s="10"/>
      <c r="J142" s="10"/>
      <c r="K142" s="10"/>
      <c r="L142" s="10"/>
      <c r="M142" s="10"/>
      <c r="O142" s="517"/>
      <c r="P142" s="15"/>
      <c r="Q142" s="14"/>
      <c r="R142" s="45"/>
      <c r="S142" s="10"/>
      <c r="T142" s="10"/>
      <c r="U142" s="10"/>
      <c r="V142" s="10"/>
      <c r="W142" s="10"/>
      <c r="X142" s="10"/>
      <c r="Y142" s="10"/>
      <c r="Z142" s="10"/>
      <c r="AA142" s="10"/>
      <c r="AB142" s="10"/>
      <c r="AD142" s="517"/>
      <c r="AE142" s="15"/>
      <c r="AF142" s="15"/>
      <c r="AG142" s="14"/>
      <c r="AH142" s="15"/>
      <c r="AI142" s="516"/>
    </row>
    <row r="143" spans="1:35" x14ac:dyDescent="0.2">
      <c r="A143" s="502" t="s">
        <v>979</v>
      </c>
      <c r="B143" s="339">
        <v>31</v>
      </c>
      <c r="C143" s="45">
        <f>172748.22/B143</f>
        <v>5572.5232258064516</v>
      </c>
      <c r="D143" s="10"/>
      <c r="E143" s="10"/>
      <c r="F143" s="10"/>
      <c r="G143" s="10"/>
      <c r="H143" s="10"/>
      <c r="I143" s="10"/>
      <c r="J143" s="10"/>
      <c r="K143" s="515">
        <f t="shared" ref="K143:K147" si="105">SUM(C143:J143)</f>
        <v>5572.5232258064516</v>
      </c>
      <c r="L143" s="10">
        <v>1000</v>
      </c>
      <c r="M143" s="10"/>
      <c r="N143" s="13">
        <f t="shared" ref="N143:N147" si="106">L143+M143</f>
        <v>1000</v>
      </c>
      <c r="O143" s="517">
        <f t="shared" si="86"/>
        <v>67870.278709677426</v>
      </c>
      <c r="P143" s="15">
        <v>2103978.64</v>
      </c>
      <c r="Q143" s="339">
        <v>31</v>
      </c>
      <c r="R143" s="45">
        <f>172748.22/Q143</f>
        <v>5572.5232258064516</v>
      </c>
      <c r="S143" s="10"/>
      <c r="T143" s="10"/>
      <c r="U143" s="10"/>
      <c r="V143" s="10"/>
      <c r="W143" s="10"/>
      <c r="X143" s="10"/>
      <c r="Y143" s="10"/>
      <c r="Z143" s="515">
        <f t="shared" ref="Z143:Z147" si="107">SUM(R143:Y143)</f>
        <v>5572.5232258064516</v>
      </c>
      <c r="AA143" s="10">
        <v>1000</v>
      </c>
      <c r="AB143" s="10"/>
      <c r="AC143" s="13">
        <f t="shared" ref="AC143:AC147" si="108">AA143+AB143</f>
        <v>1000</v>
      </c>
      <c r="AD143" s="517">
        <f t="shared" ref="AD143:AD147" si="109">(Z143*12)+AC143</f>
        <v>67870.278709677426</v>
      </c>
      <c r="AE143" s="15">
        <v>2103978.64</v>
      </c>
      <c r="AF143" s="513">
        <f t="shared" ref="AF143:AG147" si="110">AD143-O143</f>
        <v>0</v>
      </c>
      <c r="AG143" s="513">
        <f t="shared" si="110"/>
        <v>0</v>
      </c>
      <c r="AH143" s="15"/>
      <c r="AI143" s="516">
        <v>2103978.64</v>
      </c>
    </row>
    <row r="144" spans="1:35" x14ac:dyDescent="0.2">
      <c r="A144" s="502" t="s">
        <v>980</v>
      </c>
      <c r="B144" s="339">
        <v>221</v>
      </c>
      <c r="C144" s="45">
        <f>456109.86/B144</f>
        <v>2063.845520361991</v>
      </c>
      <c r="D144" s="10"/>
      <c r="E144" s="10"/>
      <c r="F144" s="10"/>
      <c r="G144" s="10"/>
      <c r="H144" s="10"/>
      <c r="I144" s="10"/>
      <c r="J144" s="10"/>
      <c r="K144" s="515">
        <f t="shared" si="105"/>
        <v>2063.845520361991</v>
      </c>
      <c r="L144" s="10">
        <v>600</v>
      </c>
      <c r="M144" s="10"/>
      <c r="N144" s="13">
        <f t="shared" si="106"/>
        <v>600</v>
      </c>
      <c r="O144" s="517">
        <f t="shared" si="86"/>
        <v>25366.146244343894</v>
      </c>
      <c r="P144" s="15">
        <v>5574758.3200000003</v>
      </c>
      <c r="Q144" s="339">
        <v>221</v>
      </c>
      <c r="R144" s="45">
        <f>456109.86/Q144</f>
        <v>2063.845520361991</v>
      </c>
      <c r="S144" s="10"/>
      <c r="T144" s="10"/>
      <c r="U144" s="10"/>
      <c r="V144" s="10"/>
      <c r="W144" s="10"/>
      <c r="X144" s="10"/>
      <c r="Y144" s="10"/>
      <c r="Z144" s="515">
        <f t="shared" si="107"/>
        <v>2063.845520361991</v>
      </c>
      <c r="AA144" s="10">
        <v>600</v>
      </c>
      <c r="AB144" s="10"/>
      <c r="AC144" s="13">
        <f t="shared" si="108"/>
        <v>600</v>
      </c>
      <c r="AD144" s="517">
        <f t="shared" si="109"/>
        <v>25366.146244343894</v>
      </c>
      <c r="AE144" s="15">
        <v>5574758.3200000003</v>
      </c>
      <c r="AF144" s="513">
        <f t="shared" si="110"/>
        <v>0</v>
      </c>
      <c r="AG144" s="513">
        <f t="shared" si="110"/>
        <v>0</v>
      </c>
      <c r="AH144" s="15"/>
      <c r="AI144" s="516">
        <v>5574758.3200000003</v>
      </c>
    </row>
    <row r="145" spans="1:35" x14ac:dyDescent="0.2">
      <c r="A145" s="502" t="s">
        <v>981</v>
      </c>
      <c r="B145" s="339">
        <v>9</v>
      </c>
      <c r="C145" s="45">
        <f>38610/B145</f>
        <v>4290</v>
      </c>
      <c r="D145" s="10"/>
      <c r="E145" s="10"/>
      <c r="F145" s="10"/>
      <c r="G145" s="10"/>
      <c r="H145" s="10"/>
      <c r="I145" s="10"/>
      <c r="J145" s="10"/>
      <c r="K145" s="515">
        <f t="shared" si="105"/>
        <v>4290</v>
      </c>
      <c r="L145" s="10">
        <v>0</v>
      </c>
      <c r="M145" s="10"/>
      <c r="N145" s="13">
        <f t="shared" si="106"/>
        <v>0</v>
      </c>
      <c r="O145" s="517">
        <f t="shared" si="86"/>
        <v>51480</v>
      </c>
      <c r="P145" s="15">
        <v>463320</v>
      </c>
      <c r="Q145" s="339">
        <v>9</v>
      </c>
      <c r="R145" s="45">
        <f>38610/Q145</f>
        <v>4290</v>
      </c>
      <c r="S145" s="10"/>
      <c r="T145" s="10"/>
      <c r="U145" s="10"/>
      <c r="V145" s="10"/>
      <c r="W145" s="10"/>
      <c r="X145" s="10"/>
      <c r="Y145" s="10"/>
      <c r="Z145" s="515">
        <f t="shared" si="107"/>
        <v>4290</v>
      </c>
      <c r="AA145" s="10">
        <v>0</v>
      </c>
      <c r="AB145" s="10"/>
      <c r="AC145" s="13">
        <f t="shared" si="108"/>
        <v>0</v>
      </c>
      <c r="AD145" s="517">
        <f t="shared" si="109"/>
        <v>51480</v>
      </c>
      <c r="AE145" s="15">
        <v>463320</v>
      </c>
      <c r="AF145" s="513">
        <f t="shared" si="110"/>
        <v>0</v>
      </c>
      <c r="AG145" s="513">
        <f t="shared" si="110"/>
        <v>0</v>
      </c>
      <c r="AH145" s="15"/>
      <c r="AI145" s="516">
        <v>463320</v>
      </c>
    </row>
    <row r="146" spans="1:35" x14ac:dyDescent="0.2">
      <c r="A146" s="502" t="s">
        <v>982</v>
      </c>
      <c r="B146" s="339">
        <v>719</v>
      </c>
      <c r="C146" s="45">
        <f>2007044.57/B146</f>
        <v>2791.4389012517386</v>
      </c>
      <c r="D146" s="10"/>
      <c r="E146" s="10"/>
      <c r="F146" s="10"/>
      <c r="G146" s="10"/>
      <c r="H146" s="10"/>
      <c r="I146" s="10"/>
      <c r="J146" s="10"/>
      <c r="K146" s="515">
        <f t="shared" si="105"/>
        <v>2791.4389012517386</v>
      </c>
      <c r="L146" s="10">
        <v>1000</v>
      </c>
      <c r="M146" s="10"/>
      <c r="N146" s="13">
        <f t="shared" si="106"/>
        <v>1000</v>
      </c>
      <c r="O146" s="517">
        <f t="shared" si="86"/>
        <v>34497.266815020863</v>
      </c>
      <c r="P146" s="15">
        <v>24533534.84</v>
      </c>
      <c r="Q146" s="339">
        <v>719</v>
      </c>
      <c r="R146" s="45">
        <f>2007044.57/Q146</f>
        <v>2791.4389012517386</v>
      </c>
      <c r="S146" s="10"/>
      <c r="T146" s="10"/>
      <c r="U146" s="10"/>
      <c r="V146" s="10"/>
      <c r="W146" s="10"/>
      <c r="X146" s="10"/>
      <c r="Y146" s="10"/>
      <c r="Z146" s="515">
        <f t="shared" si="107"/>
        <v>2791.4389012517386</v>
      </c>
      <c r="AA146" s="10">
        <v>1000</v>
      </c>
      <c r="AB146" s="10"/>
      <c r="AC146" s="13">
        <f t="shared" si="108"/>
        <v>1000</v>
      </c>
      <c r="AD146" s="517">
        <f t="shared" si="109"/>
        <v>34497.266815020863</v>
      </c>
      <c r="AE146" s="15">
        <v>24533534.84</v>
      </c>
      <c r="AF146" s="513">
        <f t="shared" si="110"/>
        <v>0</v>
      </c>
      <c r="AG146" s="513">
        <f t="shared" si="110"/>
        <v>0</v>
      </c>
      <c r="AH146" s="15"/>
      <c r="AI146" s="516">
        <v>24533534.84</v>
      </c>
    </row>
    <row r="147" spans="1:35" x14ac:dyDescent="0.2">
      <c r="A147" s="502" t="s">
        <v>983</v>
      </c>
      <c r="B147" s="339">
        <v>2</v>
      </c>
      <c r="C147" s="45">
        <f>2500/B147</f>
        <v>1250</v>
      </c>
      <c r="D147" s="10"/>
      <c r="E147" s="10"/>
      <c r="F147" s="10"/>
      <c r="G147" s="10"/>
      <c r="H147" s="10"/>
      <c r="I147" s="10"/>
      <c r="J147" s="10"/>
      <c r="K147" s="515">
        <f t="shared" si="105"/>
        <v>1250</v>
      </c>
      <c r="L147" s="10">
        <v>0</v>
      </c>
      <c r="M147" s="10"/>
      <c r="N147" s="13">
        <f t="shared" si="106"/>
        <v>0</v>
      </c>
      <c r="O147" s="517">
        <f t="shared" si="86"/>
        <v>15000</v>
      </c>
      <c r="P147" s="15">
        <v>300000</v>
      </c>
      <c r="Q147" s="339">
        <v>2</v>
      </c>
      <c r="R147" s="45">
        <f>2500/Q147</f>
        <v>1250</v>
      </c>
      <c r="S147" s="10"/>
      <c r="T147" s="10"/>
      <c r="U147" s="10"/>
      <c r="V147" s="10"/>
      <c r="W147" s="10"/>
      <c r="X147" s="10"/>
      <c r="Y147" s="10"/>
      <c r="Z147" s="515">
        <f t="shared" si="107"/>
        <v>1250</v>
      </c>
      <c r="AA147" s="10">
        <v>0</v>
      </c>
      <c r="AB147" s="10"/>
      <c r="AC147" s="13">
        <f t="shared" si="108"/>
        <v>0</v>
      </c>
      <c r="AD147" s="517">
        <f t="shared" si="109"/>
        <v>15000</v>
      </c>
      <c r="AE147" s="15">
        <v>300000</v>
      </c>
      <c r="AF147" s="513">
        <f t="shared" si="110"/>
        <v>0</v>
      </c>
      <c r="AG147" s="513">
        <f t="shared" si="110"/>
        <v>0</v>
      </c>
      <c r="AH147" s="15"/>
      <c r="AI147" s="516">
        <v>300000</v>
      </c>
    </row>
    <row r="148" spans="1:35" x14ac:dyDescent="0.2">
      <c r="A148" s="14"/>
      <c r="B148" s="14"/>
      <c r="C148" s="45"/>
      <c r="D148" s="10"/>
      <c r="E148" s="10"/>
      <c r="F148" s="10"/>
      <c r="G148" s="10"/>
      <c r="H148" s="10"/>
      <c r="I148" s="10"/>
      <c r="J148" s="10"/>
      <c r="K148" s="10"/>
      <c r="L148" s="10"/>
      <c r="M148" s="10"/>
      <c r="O148" s="45"/>
      <c r="P148" s="15"/>
      <c r="Q148" s="14"/>
      <c r="R148" s="45"/>
      <c r="S148" s="10"/>
      <c r="T148" s="10"/>
      <c r="U148" s="10"/>
      <c r="V148" s="10"/>
      <c r="W148" s="10"/>
      <c r="X148" s="10"/>
      <c r="Y148" s="10"/>
      <c r="Z148" s="10"/>
      <c r="AA148" s="10"/>
      <c r="AB148" s="10"/>
      <c r="AD148" s="45"/>
      <c r="AE148" s="15"/>
      <c r="AF148" s="15"/>
      <c r="AG148" s="14"/>
      <c r="AH148" s="15"/>
      <c r="AI148" s="516"/>
    </row>
    <row r="149" spans="1:35" x14ac:dyDescent="0.2">
      <c r="A149" s="494" t="s">
        <v>251</v>
      </c>
      <c r="B149" s="14"/>
      <c r="C149" s="10"/>
      <c r="D149" s="10"/>
      <c r="E149" s="10"/>
      <c r="F149" s="10"/>
      <c r="G149" s="10"/>
      <c r="H149" s="10"/>
      <c r="I149" s="10"/>
      <c r="J149" s="10"/>
      <c r="K149" s="10"/>
      <c r="L149" s="10"/>
      <c r="M149" s="10"/>
      <c r="O149" s="45"/>
      <c r="P149" s="15"/>
      <c r="Q149" s="14"/>
      <c r="R149" s="10"/>
      <c r="S149" s="10"/>
      <c r="T149" s="10"/>
      <c r="U149" s="10"/>
      <c r="V149" s="10"/>
      <c r="W149" s="10"/>
      <c r="X149" s="10"/>
      <c r="Y149" s="10"/>
      <c r="Z149" s="10"/>
      <c r="AA149" s="10"/>
      <c r="AB149" s="10"/>
      <c r="AD149" s="45"/>
      <c r="AE149" s="15"/>
      <c r="AF149" s="15"/>
      <c r="AG149" s="14"/>
      <c r="AH149" s="15"/>
      <c r="AI149" s="516"/>
    </row>
    <row r="150" spans="1:35" x14ac:dyDescent="0.2">
      <c r="A150" s="502" t="s">
        <v>79</v>
      </c>
      <c r="B150" s="14">
        <v>515</v>
      </c>
      <c r="C150" s="10">
        <f>1185300.76/B150</f>
        <v>2301.5548737864078</v>
      </c>
      <c r="D150" s="10"/>
      <c r="E150" s="10"/>
      <c r="F150" s="10"/>
      <c r="G150" s="10"/>
      <c r="H150" s="10"/>
      <c r="I150" s="10"/>
      <c r="J150" s="10"/>
      <c r="K150" s="515">
        <f t="shared" ref="K150:K152" si="111">SUM(C150:J150)</f>
        <v>2301.5548737864078</v>
      </c>
      <c r="L150" s="10">
        <v>600</v>
      </c>
      <c r="M150" s="10"/>
      <c r="N150" s="13">
        <f t="shared" ref="N150:N152" si="112">L150+M150</f>
        <v>600</v>
      </c>
      <c r="O150" s="517">
        <f t="shared" ref="O150:O152" si="113">(K150*12)+N150</f>
        <v>28218.658485436892</v>
      </c>
      <c r="P150" s="15">
        <v>14551209.119999999</v>
      </c>
      <c r="Q150" s="14">
        <v>515</v>
      </c>
      <c r="R150" s="10">
        <f>1185300.76/Q150</f>
        <v>2301.5548737864078</v>
      </c>
      <c r="S150" s="10"/>
      <c r="T150" s="10"/>
      <c r="U150" s="10"/>
      <c r="V150" s="10"/>
      <c r="W150" s="10"/>
      <c r="X150" s="10"/>
      <c r="Y150" s="10"/>
      <c r="Z150" s="515">
        <f t="shared" ref="Z150:Z152" si="114">SUM(R150:Y150)</f>
        <v>2301.5548737864078</v>
      </c>
      <c r="AA150" s="10">
        <v>600</v>
      </c>
      <c r="AB150" s="10"/>
      <c r="AC150" s="13">
        <f t="shared" ref="AC150:AC152" si="115">AA150+AB150</f>
        <v>600</v>
      </c>
      <c r="AD150" s="517">
        <f t="shared" ref="AD150:AD152" si="116">(Z150*12)+AC150</f>
        <v>28218.658485436892</v>
      </c>
      <c r="AE150" s="15">
        <v>14551209.119999999</v>
      </c>
      <c r="AF150" s="513">
        <f t="shared" ref="AF150:AG152" si="117">AD150-O150</f>
        <v>0</v>
      </c>
      <c r="AG150" s="513">
        <f t="shared" si="117"/>
        <v>0</v>
      </c>
      <c r="AH150" s="15"/>
      <c r="AI150" s="516">
        <v>14551209.119999999</v>
      </c>
    </row>
    <row r="151" spans="1:35" x14ac:dyDescent="0.2">
      <c r="A151" s="502" t="s">
        <v>984</v>
      </c>
      <c r="B151" s="14">
        <v>89</v>
      </c>
      <c r="C151" s="10">
        <f>221126.2/B151</f>
        <v>2484.5640449438201</v>
      </c>
      <c r="D151" s="10"/>
      <c r="E151" s="10"/>
      <c r="F151" s="10"/>
      <c r="G151" s="10"/>
      <c r="H151" s="10"/>
      <c r="I151" s="10"/>
      <c r="J151" s="10"/>
      <c r="K151" s="515">
        <f t="shared" si="111"/>
        <v>2484.5640449438201</v>
      </c>
      <c r="L151" s="10">
        <v>600</v>
      </c>
      <c r="M151" s="10"/>
      <c r="N151" s="13">
        <f t="shared" si="112"/>
        <v>600</v>
      </c>
      <c r="O151" s="517">
        <f t="shared" si="113"/>
        <v>30414.768539325843</v>
      </c>
      <c r="P151" s="15">
        <v>2715914.4</v>
      </c>
      <c r="Q151" s="14">
        <v>89</v>
      </c>
      <c r="R151" s="10">
        <f>221126.2/Q151</f>
        <v>2484.5640449438201</v>
      </c>
      <c r="S151" s="10"/>
      <c r="T151" s="10"/>
      <c r="U151" s="10"/>
      <c r="V151" s="10"/>
      <c r="W151" s="10"/>
      <c r="X151" s="10"/>
      <c r="Y151" s="10"/>
      <c r="Z151" s="515">
        <f t="shared" si="114"/>
        <v>2484.5640449438201</v>
      </c>
      <c r="AA151" s="10">
        <v>600</v>
      </c>
      <c r="AB151" s="10"/>
      <c r="AC151" s="13">
        <f t="shared" si="115"/>
        <v>600</v>
      </c>
      <c r="AD151" s="517">
        <f t="shared" si="116"/>
        <v>30414.768539325843</v>
      </c>
      <c r="AE151" s="15">
        <v>2715914.4</v>
      </c>
      <c r="AF151" s="513">
        <f t="shared" si="117"/>
        <v>0</v>
      </c>
      <c r="AG151" s="513">
        <f t="shared" si="117"/>
        <v>0</v>
      </c>
      <c r="AH151" s="15"/>
      <c r="AI151" s="516">
        <v>2715914.4</v>
      </c>
    </row>
    <row r="152" spans="1:35" x14ac:dyDescent="0.2">
      <c r="A152" s="502" t="s">
        <v>985</v>
      </c>
      <c r="B152" s="14">
        <v>2</v>
      </c>
      <c r="C152" s="10">
        <f>9353.4/B152</f>
        <v>4676.7</v>
      </c>
      <c r="D152" s="10"/>
      <c r="E152" s="10"/>
      <c r="F152" s="10"/>
      <c r="G152" s="10"/>
      <c r="H152" s="10"/>
      <c r="I152" s="10"/>
      <c r="J152" s="10"/>
      <c r="K152" s="515">
        <f t="shared" si="111"/>
        <v>4676.7</v>
      </c>
      <c r="L152" s="10">
        <v>600</v>
      </c>
      <c r="M152" s="10"/>
      <c r="N152" s="13">
        <f t="shared" si="112"/>
        <v>600</v>
      </c>
      <c r="O152" s="517">
        <f t="shared" si="113"/>
        <v>56720.399999999994</v>
      </c>
      <c r="P152" s="15">
        <v>114040.8</v>
      </c>
      <c r="Q152" s="14">
        <v>2</v>
      </c>
      <c r="R152" s="10">
        <f>9353.4/Q152</f>
        <v>4676.7</v>
      </c>
      <c r="S152" s="10"/>
      <c r="T152" s="10"/>
      <c r="U152" s="10"/>
      <c r="V152" s="10"/>
      <c r="W152" s="10"/>
      <c r="X152" s="10"/>
      <c r="Y152" s="10"/>
      <c r="Z152" s="515">
        <f t="shared" si="114"/>
        <v>4676.7</v>
      </c>
      <c r="AA152" s="10">
        <v>600</v>
      </c>
      <c r="AB152" s="10"/>
      <c r="AC152" s="13">
        <f t="shared" si="115"/>
        <v>600</v>
      </c>
      <c r="AD152" s="517">
        <f t="shared" si="116"/>
        <v>56720.399999999994</v>
      </c>
      <c r="AE152" s="15">
        <v>114040.8</v>
      </c>
      <c r="AF152" s="513">
        <f t="shared" si="117"/>
        <v>0</v>
      </c>
      <c r="AG152" s="513">
        <f t="shared" si="117"/>
        <v>0</v>
      </c>
      <c r="AH152" s="15"/>
      <c r="AI152" s="516">
        <v>114040.8</v>
      </c>
    </row>
    <row r="153" spans="1:35" x14ac:dyDescent="0.2">
      <c r="A153" s="27"/>
      <c r="B153" s="14"/>
      <c r="C153" s="10"/>
      <c r="D153" s="10"/>
      <c r="E153" s="10"/>
      <c r="F153" s="10"/>
      <c r="G153" s="10"/>
      <c r="H153" s="10"/>
      <c r="I153" s="10"/>
      <c r="J153" s="10"/>
      <c r="K153" s="10"/>
      <c r="L153" s="10"/>
      <c r="M153" s="10"/>
      <c r="O153" s="45"/>
      <c r="P153" s="15"/>
      <c r="Q153" s="14"/>
      <c r="R153" s="10"/>
      <c r="S153" s="10"/>
      <c r="T153" s="10"/>
      <c r="U153" s="10"/>
      <c r="V153" s="10"/>
      <c r="W153" s="10"/>
      <c r="X153" s="10"/>
      <c r="Y153" s="10"/>
      <c r="Z153" s="10"/>
      <c r="AA153" s="10"/>
      <c r="AB153" s="10"/>
      <c r="AD153" s="45"/>
      <c r="AE153" s="15"/>
      <c r="AF153" s="15"/>
      <c r="AG153" s="14"/>
      <c r="AH153" s="15"/>
      <c r="AI153" s="516"/>
    </row>
    <row r="154" spans="1:35" x14ac:dyDescent="0.2">
      <c r="A154" s="494" t="s">
        <v>986</v>
      </c>
      <c r="B154" s="14"/>
      <c r="C154" s="10"/>
      <c r="D154" s="10"/>
      <c r="E154" s="10"/>
      <c r="F154" s="10"/>
      <c r="G154" s="10"/>
      <c r="H154" s="10"/>
      <c r="I154" s="10"/>
      <c r="J154" s="10"/>
      <c r="K154" s="10"/>
      <c r="L154" s="10"/>
      <c r="M154" s="10"/>
      <c r="O154" s="45"/>
      <c r="P154" s="15"/>
      <c r="Q154" s="14"/>
      <c r="R154" s="10"/>
      <c r="S154" s="10"/>
      <c r="T154" s="10"/>
      <c r="U154" s="10"/>
      <c r="V154" s="10"/>
      <c r="W154" s="10"/>
      <c r="X154" s="10"/>
      <c r="Y154" s="10"/>
      <c r="Z154" s="10"/>
      <c r="AA154" s="10"/>
      <c r="AB154" s="10"/>
      <c r="AD154" s="45"/>
      <c r="AE154" s="15"/>
      <c r="AF154" s="15"/>
      <c r="AG154" s="14"/>
      <c r="AH154" s="15"/>
      <c r="AI154" s="516"/>
    </row>
    <row r="155" spans="1:35" x14ac:dyDescent="0.2">
      <c r="A155" s="502" t="s">
        <v>987</v>
      </c>
      <c r="B155" s="14">
        <v>16</v>
      </c>
      <c r="C155" s="519">
        <f>9730.7/16</f>
        <v>608.16875000000005</v>
      </c>
      <c r="D155" s="10"/>
      <c r="E155" s="10"/>
      <c r="F155" s="10"/>
      <c r="G155" s="10"/>
      <c r="H155" s="10"/>
      <c r="I155" s="10"/>
      <c r="J155" s="10"/>
      <c r="K155" s="515">
        <f t="shared" ref="K155" si="118">SUM(C155:J155)</f>
        <v>608.16875000000005</v>
      </c>
      <c r="L155" s="10">
        <v>0</v>
      </c>
      <c r="M155" s="10"/>
      <c r="N155" s="13">
        <f t="shared" ref="N155" si="119">L155+M155</f>
        <v>0</v>
      </c>
      <c r="O155" s="517">
        <f t="shared" ref="O155" si="120">(K155*12)+N155</f>
        <v>7298.0250000000005</v>
      </c>
      <c r="P155" s="15">
        <v>116768.4</v>
      </c>
      <c r="Q155" s="14">
        <v>16</v>
      </c>
      <c r="R155" s="519">
        <f>9730.7/16</f>
        <v>608.16875000000005</v>
      </c>
      <c r="S155" s="10"/>
      <c r="T155" s="10"/>
      <c r="U155" s="10"/>
      <c r="V155" s="10"/>
      <c r="W155" s="10"/>
      <c r="X155" s="10"/>
      <c r="Y155" s="10"/>
      <c r="Z155" s="515">
        <f t="shared" ref="Z155" si="121">SUM(R155:Y155)</f>
        <v>608.16875000000005</v>
      </c>
      <c r="AA155" s="10">
        <v>0</v>
      </c>
      <c r="AB155" s="10"/>
      <c r="AC155" s="13">
        <f t="shared" ref="AC155" si="122">AA155+AB155</f>
        <v>0</v>
      </c>
      <c r="AD155" s="517">
        <f t="shared" ref="AD155" si="123">(Z155*12)+AC155</f>
        <v>7298.0250000000005</v>
      </c>
      <c r="AE155" s="15">
        <v>116768.4</v>
      </c>
      <c r="AF155" s="513">
        <f t="shared" ref="AF155:AG155" si="124">AD155-O155</f>
        <v>0</v>
      </c>
      <c r="AG155" s="513">
        <f t="shared" si="124"/>
        <v>0</v>
      </c>
      <c r="AH155" s="15"/>
      <c r="AI155" s="516">
        <v>116768.4</v>
      </c>
    </row>
    <row r="156" spans="1:35" x14ac:dyDescent="0.2">
      <c r="A156" s="27"/>
      <c r="B156" s="14"/>
      <c r="C156" s="10"/>
      <c r="D156" s="10"/>
      <c r="E156" s="10"/>
      <c r="F156" s="10"/>
      <c r="G156" s="10"/>
      <c r="H156" s="10"/>
      <c r="I156" s="10"/>
      <c r="J156" s="10"/>
      <c r="K156" s="10"/>
      <c r="L156" s="10"/>
      <c r="M156" s="10"/>
      <c r="O156" s="45"/>
      <c r="P156" s="15"/>
      <c r="Q156" s="14"/>
      <c r="R156" s="10"/>
      <c r="S156" s="10"/>
      <c r="T156" s="10"/>
      <c r="U156" s="10"/>
      <c r="V156" s="10"/>
      <c r="W156" s="10"/>
      <c r="X156" s="10"/>
      <c r="Y156" s="10"/>
      <c r="Z156" s="10"/>
      <c r="AA156" s="10"/>
      <c r="AB156" s="10"/>
      <c r="AD156" s="45"/>
      <c r="AE156" s="15"/>
      <c r="AF156" s="15"/>
      <c r="AG156" s="14"/>
      <c r="AH156" s="15"/>
      <c r="AI156" s="516"/>
    </row>
    <row r="157" spans="1:35" x14ac:dyDescent="0.2">
      <c r="A157" s="494" t="s">
        <v>988</v>
      </c>
      <c r="B157" s="14"/>
      <c r="C157" s="10"/>
      <c r="D157" s="10"/>
      <c r="E157" s="10"/>
      <c r="F157" s="10"/>
      <c r="G157" s="10"/>
      <c r="H157" s="10"/>
      <c r="I157" s="10"/>
      <c r="J157" s="10"/>
      <c r="K157" s="10"/>
      <c r="L157" s="10"/>
      <c r="M157" s="10"/>
      <c r="O157" s="45"/>
      <c r="P157" s="15"/>
      <c r="Q157" s="14"/>
      <c r="R157" s="10"/>
      <c r="S157" s="10"/>
      <c r="T157" s="10"/>
      <c r="U157" s="10"/>
      <c r="V157" s="10"/>
      <c r="W157" s="10"/>
      <c r="X157" s="10"/>
      <c r="Y157" s="10"/>
      <c r="Z157" s="10"/>
      <c r="AA157" s="10"/>
      <c r="AB157" s="10"/>
      <c r="AD157" s="45"/>
      <c r="AE157" s="15"/>
      <c r="AF157" s="15"/>
      <c r="AG157" s="14"/>
      <c r="AH157" s="15"/>
      <c r="AI157" s="516"/>
    </row>
    <row r="158" spans="1:35" x14ac:dyDescent="0.2">
      <c r="A158" s="502" t="s">
        <v>988</v>
      </c>
      <c r="B158" s="14">
        <v>81</v>
      </c>
      <c r="C158" s="10">
        <f>50100/B158</f>
        <v>618.51851851851848</v>
      </c>
      <c r="D158" s="10"/>
      <c r="E158" s="10"/>
      <c r="F158" s="10"/>
      <c r="G158" s="10"/>
      <c r="H158" s="10"/>
      <c r="I158" s="10"/>
      <c r="J158" s="10"/>
      <c r="K158" s="515">
        <f t="shared" ref="K158" si="125">SUM(C158:J158)</f>
        <v>618.51851851851848</v>
      </c>
      <c r="L158" s="10">
        <v>0</v>
      </c>
      <c r="M158" s="10"/>
      <c r="N158" s="13">
        <f t="shared" ref="N158" si="126">L158+M158</f>
        <v>0</v>
      </c>
      <c r="O158" s="517">
        <f t="shared" ref="O158" si="127">(K158*12)+N158</f>
        <v>7422.2222222222217</v>
      </c>
      <c r="P158" s="15">
        <v>601200</v>
      </c>
      <c r="Q158" s="14">
        <v>81</v>
      </c>
      <c r="R158" s="10">
        <f>50100/Q158</f>
        <v>618.51851851851848</v>
      </c>
      <c r="S158" s="10"/>
      <c r="T158" s="10"/>
      <c r="U158" s="10"/>
      <c r="V158" s="10"/>
      <c r="W158" s="10"/>
      <c r="X158" s="10"/>
      <c r="Y158" s="10"/>
      <c r="Z158" s="515">
        <f t="shared" ref="Z158" si="128">SUM(R158:Y158)</f>
        <v>618.51851851851848</v>
      </c>
      <c r="AA158" s="10">
        <v>0</v>
      </c>
      <c r="AB158" s="10"/>
      <c r="AC158" s="13">
        <f t="shared" ref="AC158" si="129">AA158+AB158</f>
        <v>0</v>
      </c>
      <c r="AD158" s="517">
        <f t="shared" ref="AD158" si="130">(Z158*12)+AC158</f>
        <v>7422.2222222222217</v>
      </c>
      <c r="AE158" s="15">
        <v>601200</v>
      </c>
      <c r="AF158" s="513">
        <f t="shared" ref="AF158:AG158" si="131">AD158-O158</f>
        <v>0</v>
      </c>
      <c r="AG158" s="513">
        <f t="shared" si="131"/>
        <v>0</v>
      </c>
      <c r="AH158" s="15"/>
      <c r="AI158" s="516">
        <v>601200</v>
      </c>
    </row>
    <row r="159" spans="1:35" x14ac:dyDescent="0.2">
      <c r="A159" s="27"/>
      <c r="B159" s="14"/>
      <c r="C159" s="10"/>
      <c r="D159" s="10"/>
      <c r="E159" s="10"/>
      <c r="F159" s="10"/>
      <c r="G159" s="10"/>
      <c r="H159" s="10"/>
      <c r="I159" s="10"/>
      <c r="J159" s="10"/>
      <c r="K159" s="10"/>
      <c r="L159" s="10"/>
      <c r="M159" s="10"/>
      <c r="O159" s="45"/>
      <c r="P159" s="15"/>
      <c r="Q159" s="14"/>
      <c r="R159" s="10"/>
      <c r="S159" s="10"/>
      <c r="T159" s="10"/>
      <c r="U159" s="10"/>
      <c r="V159" s="10"/>
      <c r="W159" s="10"/>
      <c r="X159" s="10"/>
      <c r="Y159" s="10"/>
      <c r="Z159" s="10"/>
      <c r="AA159" s="10"/>
      <c r="AB159" s="10"/>
      <c r="AD159" s="45"/>
      <c r="AE159" s="15"/>
      <c r="AF159" s="15"/>
      <c r="AG159" s="14"/>
      <c r="AH159" s="15"/>
      <c r="AI159" s="516"/>
    </row>
    <row r="160" spans="1:35" x14ac:dyDescent="0.2">
      <c r="A160" s="14"/>
      <c r="B160" s="14"/>
      <c r="C160" s="10"/>
      <c r="D160" s="10"/>
      <c r="E160" s="10"/>
      <c r="F160" s="10"/>
      <c r="G160" s="10"/>
      <c r="H160" s="10"/>
      <c r="I160" s="10"/>
      <c r="J160" s="10"/>
      <c r="K160" s="10"/>
      <c r="L160" s="10"/>
      <c r="M160" s="10"/>
      <c r="O160" s="45"/>
      <c r="P160" s="15"/>
      <c r="Q160" s="14"/>
      <c r="R160" s="10"/>
      <c r="S160" s="10"/>
      <c r="T160" s="10"/>
      <c r="U160" s="10"/>
      <c r="V160" s="10"/>
      <c r="W160" s="10"/>
      <c r="X160" s="10"/>
      <c r="Y160" s="10"/>
      <c r="Z160" s="10"/>
      <c r="AA160" s="10"/>
      <c r="AB160" s="10"/>
      <c r="AD160" s="45"/>
      <c r="AE160" s="15"/>
      <c r="AF160" s="15"/>
      <c r="AG160" s="14"/>
      <c r="AH160" s="15"/>
      <c r="AI160" s="516"/>
    </row>
    <row r="161" spans="1:35" x14ac:dyDescent="0.2">
      <c r="A161" s="14"/>
      <c r="B161" s="14"/>
      <c r="C161" s="10"/>
      <c r="D161" s="10"/>
      <c r="E161" s="10"/>
      <c r="F161" s="10"/>
      <c r="G161" s="10"/>
      <c r="H161" s="10"/>
      <c r="I161" s="10"/>
      <c r="J161" s="10"/>
      <c r="K161" s="10"/>
      <c r="L161" s="10"/>
      <c r="M161" s="10"/>
      <c r="O161" s="45"/>
      <c r="P161" s="15"/>
      <c r="Q161" s="14"/>
      <c r="R161" s="10"/>
      <c r="S161" s="10"/>
      <c r="T161" s="10"/>
      <c r="U161" s="10"/>
      <c r="V161" s="10"/>
      <c r="W161" s="10"/>
      <c r="X161" s="10"/>
      <c r="Y161" s="10"/>
      <c r="Z161" s="10"/>
      <c r="AA161" s="10"/>
      <c r="AB161" s="10"/>
      <c r="AD161" s="45"/>
      <c r="AE161" s="15"/>
      <c r="AF161" s="15"/>
      <c r="AG161" s="14"/>
      <c r="AH161" s="15"/>
      <c r="AI161" s="516"/>
    </row>
    <row r="162" spans="1:35" x14ac:dyDescent="0.2">
      <c r="A162" s="14"/>
      <c r="B162" s="14"/>
      <c r="C162" s="10"/>
      <c r="D162" s="10"/>
      <c r="E162" s="10"/>
      <c r="F162" s="10"/>
      <c r="G162" s="10"/>
      <c r="H162" s="10"/>
      <c r="I162" s="10"/>
      <c r="J162" s="10"/>
      <c r="K162" s="10"/>
      <c r="L162" s="10"/>
      <c r="M162" s="10"/>
      <c r="O162" s="45"/>
      <c r="P162" s="15"/>
      <c r="Q162" s="14"/>
      <c r="R162" s="10"/>
      <c r="S162" s="10"/>
      <c r="T162" s="10"/>
      <c r="U162" s="10"/>
      <c r="V162" s="10"/>
      <c r="W162" s="10"/>
      <c r="X162" s="10"/>
      <c r="Y162" s="10"/>
      <c r="Z162" s="10"/>
      <c r="AA162" s="10"/>
      <c r="AB162" s="10"/>
      <c r="AD162" s="45"/>
      <c r="AE162" s="15"/>
      <c r="AF162" s="15"/>
      <c r="AG162" s="14"/>
      <c r="AH162" s="15"/>
      <c r="AI162" s="521"/>
    </row>
    <row r="163" spans="1:35" ht="12.75" thickBot="1" x14ac:dyDescent="0.25">
      <c r="A163" s="41"/>
      <c r="B163" s="78"/>
      <c r="C163" s="12"/>
      <c r="D163" s="12"/>
      <c r="E163" s="12"/>
      <c r="F163" s="12"/>
      <c r="G163" s="12"/>
      <c r="H163" s="12"/>
      <c r="I163" s="12"/>
      <c r="J163" s="12"/>
      <c r="K163" s="12"/>
      <c r="L163" s="12"/>
      <c r="M163" s="12"/>
      <c r="N163" s="11"/>
      <c r="O163" s="46"/>
      <c r="P163" s="47"/>
      <c r="Q163" s="78"/>
      <c r="R163" s="12"/>
      <c r="S163" s="12"/>
      <c r="T163" s="12"/>
      <c r="U163" s="12"/>
      <c r="V163" s="12"/>
      <c r="W163" s="12"/>
      <c r="X163" s="12"/>
      <c r="Y163" s="12"/>
      <c r="Z163" s="12"/>
      <c r="AA163" s="12"/>
      <c r="AB163" s="12"/>
      <c r="AC163" s="11"/>
      <c r="AD163" s="46"/>
      <c r="AE163" s="47"/>
      <c r="AF163" s="47"/>
      <c r="AG163" s="78"/>
      <c r="AH163" s="47"/>
      <c r="AI163" s="78"/>
    </row>
    <row r="164" spans="1:35" ht="12.75" thickBot="1" x14ac:dyDescent="0.25">
      <c r="A164" s="63" t="s">
        <v>0</v>
      </c>
      <c r="B164" s="79">
        <f t="shared" ref="B164:AE164" si="132">SUM(B10:B163)</f>
        <v>5276</v>
      </c>
      <c r="C164" s="522">
        <f t="shared" si="132"/>
        <v>472061.23860067624</v>
      </c>
      <c r="D164" s="522">
        <f t="shared" si="132"/>
        <v>28260.14</v>
      </c>
      <c r="E164" s="79">
        <f t="shared" si="132"/>
        <v>0</v>
      </c>
      <c r="F164" s="79">
        <f t="shared" si="132"/>
        <v>0</v>
      </c>
      <c r="G164" s="79">
        <f t="shared" si="132"/>
        <v>0</v>
      </c>
      <c r="H164" s="79">
        <f t="shared" si="132"/>
        <v>0</v>
      </c>
      <c r="I164" s="79">
        <f t="shared" si="132"/>
        <v>0</v>
      </c>
      <c r="J164" s="79">
        <f t="shared" si="132"/>
        <v>0</v>
      </c>
      <c r="K164" s="79">
        <f t="shared" si="132"/>
        <v>500321.37860067625</v>
      </c>
      <c r="L164" s="79">
        <f t="shared" si="132"/>
        <v>215606.39999999999</v>
      </c>
      <c r="M164" s="79">
        <f t="shared" si="132"/>
        <v>7507.5825000000013</v>
      </c>
      <c r="N164" s="79">
        <f t="shared" si="132"/>
        <v>223113.98250000001</v>
      </c>
      <c r="O164" s="79">
        <f t="shared" si="132"/>
        <v>5681111.5857081143</v>
      </c>
      <c r="P164" s="79">
        <f t="shared" si="132"/>
        <v>1135813517.0800004</v>
      </c>
      <c r="Q164" s="79">
        <f t="shared" si="132"/>
        <v>5276</v>
      </c>
      <c r="R164" s="79">
        <f t="shared" si="132"/>
        <v>452468.17860067624</v>
      </c>
      <c r="S164" s="79">
        <f t="shared" si="132"/>
        <v>28260.14</v>
      </c>
      <c r="T164" s="79">
        <f t="shared" si="132"/>
        <v>0</v>
      </c>
      <c r="U164" s="79">
        <f t="shared" si="132"/>
        <v>0</v>
      </c>
      <c r="V164" s="79">
        <f t="shared" si="132"/>
        <v>0</v>
      </c>
      <c r="W164" s="79">
        <f t="shared" si="132"/>
        <v>0</v>
      </c>
      <c r="X164" s="79">
        <f t="shared" si="132"/>
        <v>0</v>
      </c>
      <c r="Y164" s="79">
        <f t="shared" si="132"/>
        <v>0</v>
      </c>
      <c r="Z164" s="79">
        <f t="shared" si="132"/>
        <v>480728.31860067626</v>
      </c>
      <c r="AA164" s="79">
        <f t="shared" si="132"/>
        <v>215606.39999999999</v>
      </c>
      <c r="AB164" s="79">
        <f t="shared" si="132"/>
        <v>7507.5825000000013</v>
      </c>
      <c r="AC164" s="79">
        <f t="shared" si="132"/>
        <v>223113.98250000001</v>
      </c>
      <c r="AD164" s="79">
        <f t="shared" si="132"/>
        <v>5681944.8657081146</v>
      </c>
      <c r="AE164" s="79">
        <f t="shared" si="132"/>
        <v>1135556402.3600004</v>
      </c>
      <c r="AF164" s="79">
        <f t="shared" ref="AF164:AG164" si="133">SUM(AF10:AF163)</f>
        <v>833.28000000000065</v>
      </c>
      <c r="AG164" s="79">
        <f t="shared" si="133"/>
        <v>-257114.72000000003</v>
      </c>
      <c r="AH164" s="7"/>
      <c r="AI164" s="79">
        <f>SUM(AI10:AI163)</f>
        <v>1135813517.0800004</v>
      </c>
    </row>
    <row r="165" spans="1:35" x14ac:dyDescent="0.2">
      <c r="A165" s="95" t="s">
        <v>990</v>
      </c>
    </row>
  </sheetData>
  <mergeCells count="5">
    <mergeCell ref="A4:A6"/>
    <mergeCell ref="B4:P4"/>
    <mergeCell ref="Q4:AE4"/>
    <mergeCell ref="AF4:AG4"/>
    <mergeCell ref="AH4:AI4"/>
  </mergeCells>
  <printOptions horizontalCentered="1"/>
  <pageMargins left="0.19685039370078741" right="0.19685039370078741" top="0.74803149606299213" bottom="0.74803149606299213" header="0.31496062992125984" footer="0.31496062992125984"/>
  <pageSetup paperSize="9" scale="50" orientation="landscape" r:id="rId1"/>
  <headerFooter alignWithMargins="0">
    <oddHeader xml:space="preserve">&amp;C&amp;"Arial,Negrita"&amp;18PROYECTO DE PRESUPUESTO 2022
</oddHeader>
    <oddFooter>&amp;L&amp;"Arial,Negrita"&amp;8PROYECTO DE PRESUPUESTO PARA EL AÑO FISCAL 2022
INFORMACIÓN PARA LA COMISIÓN DE PRESUPUESTO Y CUENTA GENERAL DE LA REPÚBLICA DEL CONGRESO DE LA REPÚBLICA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27">
    <tabColor theme="9" tint="-0.249977111117893"/>
    <pageSetUpPr fitToPage="1"/>
  </sheetPr>
  <dimension ref="A1:U40"/>
  <sheetViews>
    <sheetView zoomScaleNormal="100" zoomScaleSheetLayoutView="80" zoomScalePageLayoutView="85" workbookViewId="0">
      <selection activeCell="B5" sqref="B5:E5"/>
    </sheetView>
  </sheetViews>
  <sheetFormatPr baseColWidth="10" defaultColWidth="11.42578125" defaultRowHeight="12" x14ac:dyDescent="0.2"/>
  <cols>
    <col min="1" max="1" width="57.140625" style="3" customWidth="1"/>
    <col min="2" max="4" width="12.7109375" style="3" customWidth="1"/>
    <col min="5" max="5" width="13.140625" style="3" customWidth="1"/>
    <col min="6" max="6" width="12.7109375" style="3" customWidth="1"/>
    <col min="7" max="7" width="14.28515625" style="3" customWidth="1"/>
    <col min="8" max="8" width="12.7109375" style="3" customWidth="1"/>
    <col min="9" max="9" width="15" style="3" customWidth="1"/>
    <col min="10" max="10" width="12.7109375" style="3" customWidth="1"/>
    <col min="11" max="16384" width="11.42578125" style="3"/>
  </cols>
  <sheetData>
    <row r="1" spans="1:21" s="80" customFormat="1" x14ac:dyDescent="0.2">
      <c r="A1" s="96" t="s">
        <v>395</v>
      </c>
      <c r="B1" s="96"/>
      <c r="C1" s="96"/>
      <c r="D1" s="96"/>
      <c r="E1" s="96"/>
      <c r="F1" s="96"/>
      <c r="G1" s="96"/>
      <c r="H1" s="96"/>
      <c r="I1" s="96"/>
    </row>
    <row r="2" spans="1:21" s="5" customFormat="1" x14ac:dyDescent="0.2">
      <c r="A2" s="96" t="s">
        <v>473</v>
      </c>
      <c r="B2" s="96"/>
      <c r="C2" s="96"/>
      <c r="D2" s="96"/>
      <c r="E2" s="96"/>
      <c r="F2" s="96"/>
      <c r="G2" s="96"/>
      <c r="H2" s="96"/>
      <c r="I2" s="96"/>
      <c r="J2" s="96"/>
      <c r="K2" s="96"/>
      <c r="L2" s="96"/>
      <c r="M2" s="96"/>
      <c r="N2" s="96"/>
      <c r="O2" s="96"/>
      <c r="P2" s="96"/>
      <c r="Q2" s="96"/>
      <c r="R2" s="96"/>
      <c r="S2" s="96"/>
      <c r="T2" s="96"/>
      <c r="U2" s="96"/>
    </row>
    <row r="3" spans="1:21" s="81" customFormat="1" ht="12.75" thickBot="1" x14ac:dyDescent="0.25">
      <c r="A3" s="8"/>
      <c r="B3" s="9"/>
      <c r="E3" s="9"/>
    </row>
    <row r="4" spans="1:21" ht="12" customHeight="1" thickBot="1" x14ac:dyDescent="0.25">
      <c r="A4" s="626" t="s">
        <v>31</v>
      </c>
      <c r="B4" s="636" t="s">
        <v>394</v>
      </c>
      <c r="C4" s="632" t="s">
        <v>493</v>
      </c>
      <c r="D4" s="637" t="s">
        <v>396</v>
      </c>
      <c r="E4" s="630" t="s">
        <v>397</v>
      </c>
      <c r="F4" s="634" t="s">
        <v>398</v>
      </c>
      <c r="G4" s="628" t="s">
        <v>365</v>
      </c>
      <c r="H4" s="630" t="s">
        <v>364</v>
      </c>
      <c r="I4" s="628" t="s">
        <v>399</v>
      </c>
      <c r="J4" s="632" t="s">
        <v>499</v>
      </c>
    </row>
    <row r="5" spans="1:21" ht="31.5" customHeight="1" thickBot="1" x14ac:dyDescent="0.25">
      <c r="A5" s="627"/>
      <c r="B5" s="627"/>
      <c r="C5" s="633"/>
      <c r="D5" s="638"/>
      <c r="E5" s="631"/>
      <c r="F5" s="635"/>
      <c r="G5" s="629"/>
      <c r="H5" s="631"/>
      <c r="I5" s="629"/>
      <c r="J5" s="633"/>
    </row>
    <row r="6" spans="1:21" x14ac:dyDescent="0.2">
      <c r="A6" s="39" t="s">
        <v>494</v>
      </c>
      <c r="B6" s="348">
        <v>11421215</v>
      </c>
      <c r="C6" s="349">
        <v>10443306</v>
      </c>
      <c r="D6" s="350">
        <v>7725853</v>
      </c>
      <c r="E6" s="348">
        <v>10138634</v>
      </c>
      <c r="F6" s="351">
        <v>8020165</v>
      </c>
      <c r="G6" s="352">
        <f>+D6-B6</f>
        <v>-3695362</v>
      </c>
      <c r="H6" s="355">
        <f>(D6-B6)/B6</f>
        <v>-0.32355244166229252</v>
      </c>
      <c r="I6" s="353">
        <f>+F6-D6</f>
        <v>294312</v>
      </c>
      <c r="J6" s="356">
        <f t="shared" ref="J6:J31" si="0">(F6-D6)/D6</f>
        <v>3.8094434362134513E-2</v>
      </c>
    </row>
    <row r="7" spans="1:21" x14ac:dyDescent="0.2">
      <c r="A7" s="39" t="s">
        <v>245</v>
      </c>
      <c r="B7" s="348">
        <v>384399</v>
      </c>
      <c r="C7" s="349">
        <v>771544</v>
      </c>
      <c r="D7" s="350">
        <v>406842</v>
      </c>
      <c r="E7" s="348">
        <v>272335</v>
      </c>
      <c r="F7" s="351">
        <v>720779</v>
      </c>
      <c r="G7" s="352">
        <f t="shared" ref="G7:G32" si="1">+D7-B7</f>
        <v>22443</v>
      </c>
      <c r="H7" s="355">
        <f t="shared" ref="H7:H31" si="2">(D7-B7)/B7</f>
        <v>5.8384647202516134E-2</v>
      </c>
      <c r="I7" s="353">
        <f t="shared" ref="I7:I32" si="3">+F7-D7</f>
        <v>313937</v>
      </c>
      <c r="J7" s="356">
        <f t="shared" si="0"/>
        <v>0.77164353729457624</v>
      </c>
    </row>
    <row r="8" spans="1:21" x14ac:dyDescent="0.2">
      <c r="A8" s="39" t="s">
        <v>242</v>
      </c>
      <c r="B8" s="348">
        <v>1181035</v>
      </c>
      <c r="C8" s="349">
        <v>1201344</v>
      </c>
      <c r="D8" s="350">
        <v>1550619</v>
      </c>
      <c r="E8" s="348">
        <v>909038</v>
      </c>
      <c r="F8" s="351">
        <v>1217302</v>
      </c>
      <c r="G8" s="352">
        <f t="shared" si="1"/>
        <v>369584</v>
      </c>
      <c r="H8" s="355">
        <f t="shared" si="2"/>
        <v>0.31293230090556162</v>
      </c>
      <c r="I8" s="353">
        <f t="shared" si="3"/>
        <v>-333317</v>
      </c>
      <c r="J8" s="356">
        <f t="shared" si="0"/>
        <v>-0.21495738153601884</v>
      </c>
    </row>
    <row r="9" spans="1:21" x14ac:dyDescent="0.2">
      <c r="A9" s="39" t="s">
        <v>255</v>
      </c>
      <c r="B9" s="348">
        <v>311795</v>
      </c>
      <c r="C9" s="349">
        <v>476964</v>
      </c>
      <c r="D9" s="350">
        <v>492185</v>
      </c>
      <c r="E9" s="348">
        <v>319293</v>
      </c>
      <c r="F9" s="351">
        <v>209285</v>
      </c>
      <c r="G9" s="352">
        <f t="shared" si="1"/>
        <v>180390</v>
      </c>
      <c r="H9" s="355">
        <f t="shared" si="2"/>
        <v>0.57855321605542098</v>
      </c>
      <c r="I9" s="353">
        <f t="shared" si="3"/>
        <v>-282900</v>
      </c>
      <c r="J9" s="356">
        <f t="shared" si="0"/>
        <v>-0.57478387191807956</v>
      </c>
    </row>
    <row r="10" spans="1:21" x14ac:dyDescent="0.2">
      <c r="A10" s="39" t="s">
        <v>251</v>
      </c>
      <c r="B10" s="348">
        <v>22854860</v>
      </c>
      <c r="C10" s="349">
        <v>35066701</v>
      </c>
      <c r="D10" s="350">
        <v>18275179</v>
      </c>
      <c r="E10" s="348">
        <v>26200895</v>
      </c>
      <c r="F10" s="351">
        <v>15709891</v>
      </c>
      <c r="G10" s="352">
        <f t="shared" si="1"/>
        <v>-4579681</v>
      </c>
      <c r="H10" s="355">
        <f t="shared" si="2"/>
        <v>-0.20038105680804871</v>
      </c>
      <c r="I10" s="353">
        <f t="shared" si="3"/>
        <v>-2565288</v>
      </c>
      <c r="J10" s="356">
        <f t="shared" si="0"/>
        <v>-0.14037006149160017</v>
      </c>
    </row>
    <row r="11" spans="1:21" x14ac:dyDescent="0.2">
      <c r="A11" s="39" t="s">
        <v>249</v>
      </c>
      <c r="B11" s="348">
        <v>97041</v>
      </c>
      <c r="C11" s="349">
        <v>41410</v>
      </c>
      <c r="D11" s="350">
        <v>71109</v>
      </c>
      <c r="E11" s="348">
        <v>63499</v>
      </c>
      <c r="F11" s="351">
        <v>35405</v>
      </c>
      <c r="G11" s="352">
        <f t="shared" si="1"/>
        <v>-25932</v>
      </c>
      <c r="H11" s="355">
        <f t="shared" si="2"/>
        <v>-0.26722725445945528</v>
      </c>
      <c r="I11" s="353">
        <f t="shared" si="3"/>
        <v>-35704</v>
      </c>
      <c r="J11" s="356">
        <f t="shared" si="0"/>
        <v>-0.50210240616518298</v>
      </c>
    </row>
    <row r="12" spans="1:21" s="95" customFormat="1" x14ac:dyDescent="0.2">
      <c r="A12" s="39" t="s">
        <v>498</v>
      </c>
      <c r="B12" s="348">
        <v>0</v>
      </c>
      <c r="C12" s="349">
        <v>0</v>
      </c>
      <c r="D12" s="350">
        <v>284300</v>
      </c>
      <c r="E12" s="348">
        <v>7011538</v>
      </c>
      <c r="F12" s="351">
        <v>9388408</v>
      </c>
      <c r="G12" s="352">
        <f t="shared" si="1"/>
        <v>284300</v>
      </c>
      <c r="H12" s="355">
        <v>1</v>
      </c>
      <c r="I12" s="353">
        <f t="shared" si="3"/>
        <v>9104108</v>
      </c>
      <c r="J12" s="356">
        <f t="shared" si="0"/>
        <v>32.022891311994371</v>
      </c>
    </row>
    <row r="13" spans="1:21" x14ac:dyDescent="0.2">
      <c r="A13" s="39" t="s">
        <v>246</v>
      </c>
      <c r="B13" s="348">
        <v>2536417</v>
      </c>
      <c r="C13" s="349">
        <v>3140328</v>
      </c>
      <c r="D13" s="350">
        <v>3883624</v>
      </c>
      <c r="E13" s="348">
        <v>2764644</v>
      </c>
      <c r="F13" s="351">
        <v>1919848</v>
      </c>
      <c r="G13" s="352">
        <f t="shared" si="1"/>
        <v>1347207</v>
      </c>
      <c r="H13" s="355">
        <f t="shared" si="2"/>
        <v>0.53114570671936046</v>
      </c>
      <c r="I13" s="353">
        <f t="shared" si="3"/>
        <v>-1963776</v>
      </c>
      <c r="J13" s="356">
        <f t="shared" si="0"/>
        <v>-0.50565554234910481</v>
      </c>
    </row>
    <row r="14" spans="1:21" x14ac:dyDescent="0.2">
      <c r="A14" s="39" t="s">
        <v>253</v>
      </c>
      <c r="B14" s="348">
        <v>620673</v>
      </c>
      <c r="C14" s="349">
        <v>418496</v>
      </c>
      <c r="D14" s="350">
        <v>196325</v>
      </c>
      <c r="E14" s="348">
        <v>238522</v>
      </c>
      <c r="F14" s="351">
        <v>122881</v>
      </c>
      <c r="G14" s="352">
        <f t="shared" si="1"/>
        <v>-424348</v>
      </c>
      <c r="H14" s="355">
        <f t="shared" si="2"/>
        <v>-0.68369012346275737</v>
      </c>
      <c r="I14" s="353">
        <f t="shared" si="3"/>
        <v>-73444</v>
      </c>
      <c r="J14" s="356">
        <f t="shared" si="0"/>
        <v>-0.37409397682414364</v>
      </c>
    </row>
    <row r="15" spans="1:21" s="95" customFormat="1" x14ac:dyDescent="0.2">
      <c r="A15" s="39" t="s">
        <v>269</v>
      </c>
      <c r="B15" s="348">
        <v>428056</v>
      </c>
      <c r="C15" s="349">
        <v>409585</v>
      </c>
      <c r="D15" s="350">
        <v>323179</v>
      </c>
      <c r="E15" s="348">
        <v>644440</v>
      </c>
      <c r="F15" s="351">
        <v>390760</v>
      </c>
      <c r="G15" s="352">
        <f t="shared" si="1"/>
        <v>-104877</v>
      </c>
      <c r="H15" s="355">
        <f t="shared" si="2"/>
        <v>-0.24500766254882539</v>
      </c>
      <c r="I15" s="353">
        <f t="shared" si="3"/>
        <v>67581</v>
      </c>
      <c r="J15" s="356">
        <f t="shared" si="0"/>
        <v>0.20911321589583481</v>
      </c>
    </row>
    <row r="16" spans="1:21" x14ac:dyDescent="0.2">
      <c r="A16" s="39" t="s">
        <v>32</v>
      </c>
      <c r="B16" s="348">
        <v>5405245</v>
      </c>
      <c r="C16" s="349">
        <v>15760590</v>
      </c>
      <c r="D16" s="350">
        <v>5655927</v>
      </c>
      <c r="E16" s="348">
        <v>4712310</v>
      </c>
      <c r="F16" s="351">
        <v>3488510</v>
      </c>
      <c r="G16" s="352">
        <f t="shared" si="1"/>
        <v>250682</v>
      </c>
      <c r="H16" s="355">
        <f t="shared" si="2"/>
        <v>4.6377546253685079E-2</v>
      </c>
      <c r="I16" s="353">
        <f t="shared" si="3"/>
        <v>-2167417</v>
      </c>
      <c r="J16" s="356">
        <f t="shared" si="0"/>
        <v>-0.38321162914585</v>
      </c>
    </row>
    <row r="17" spans="1:10" s="81" customFormat="1" x14ac:dyDescent="0.2">
      <c r="A17" s="39" t="s">
        <v>29</v>
      </c>
      <c r="B17" s="348">
        <v>1081266</v>
      </c>
      <c r="C17" s="349">
        <v>706142</v>
      </c>
      <c r="D17" s="350">
        <v>913493</v>
      </c>
      <c r="E17" s="348">
        <v>866128</v>
      </c>
      <c r="F17" s="351">
        <v>550468</v>
      </c>
      <c r="G17" s="352">
        <f t="shared" si="1"/>
        <v>-167773</v>
      </c>
      <c r="H17" s="355">
        <f t="shared" si="2"/>
        <v>-0.15516348428601287</v>
      </c>
      <c r="I17" s="353">
        <f t="shared" si="3"/>
        <v>-363025</v>
      </c>
      <c r="J17" s="356">
        <f t="shared" si="0"/>
        <v>-0.39740315470397691</v>
      </c>
    </row>
    <row r="18" spans="1:10" s="81" customFormat="1" x14ac:dyDescent="0.2">
      <c r="A18" s="39" t="s">
        <v>28</v>
      </c>
      <c r="B18" s="348">
        <v>178335</v>
      </c>
      <c r="C18" s="349">
        <v>130715</v>
      </c>
      <c r="D18" s="350">
        <v>349257</v>
      </c>
      <c r="E18" s="348">
        <v>135569</v>
      </c>
      <c r="F18" s="351">
        <v>124973</v>
      </c>
      <c r="G18" s="352">
        <f t="shared" si="1"/>
        <v>170922</v>
      </c>
      <c r="H18" s="355">
        <f t="shared" si="2"/>
        <v>0.95843216418538146</v>
      </c>
      <c r="I18" s="353">
        <f t="shared" si="3"/>
        <v>-224284</v>
      </c>
      <c r="J18" s="356">
        <f t="shared" si="0"/>
        <v>-0.64217467366437897</v>
      </c>
    </row>
    <row r="19" spans="1:10" s="81" customFormat="1" x14ac:dyDescent="0.2">
      <c r="A19" s="39" t="s">
        <v>247</v>
      </c>
      <c r="B19" s="348">
        <v>179271</v>
      </c>
      <c r="C19" s="349">
        <v>797777</v>
      </c>
      <c r="D19" s="350">
        <v>238061</v>
      </c>
      <c r="E19" s="348">
        <v>400646</v>
      </c>
      <c r="F19" s="351">
        <v>186704</v>
      </c>
      <c r="G19" s="352">
        <f t="shared" si="1"/>
        <v>58790</v>
      </c>
      <c r="H19" s="355">
        <f t="shared" si="2"/>
        <v>0.32793926513490751</v>
      </c>
      <c r="I19" s="353">
        <f t="shared" si="3"/>
        <v>-51357</v>
      </c>
      <c r="J19" s="356">
        <f t="shared" si="0"/>
        <v>-0.21573042203468859</v>
      </c>
    </row>
    <row r="20" spans="1:10" s="81" customFormat="1" x14ac:dyDescent="0.2">
      <c r="A20" s="39" t="s">
        <v>33</v>
      </c>
      <c r="B20" s="348">
        <v>147036</v>
      </c>
      <c r="C20" s="349">
        <v>117520</v>
      </c>
      <c r="D20" s="350">
        <v>67933</v>
      </c>
      <c r="E20" s="348">
        <v>162651</v>
      </c>
      <c r="F20" s="351">
        <v>158829</v>
      </c>
      <c r="G20" s="352">
        <f t="shared" si="1"/>
        <v>-79103</v>
      </c>
      <c r="H20" s="355">
        <f t="shared" si="2"/>
        <v>-0.53798389510051958</v>
      </c>
      <c r="I20" s="353">
        <f t="shared" si="3"/>
        <v>90896</v>
      </c>
      <c r="J20" s="356">
        <f t="shared" si="0"/>
        <v>1.3380242297557887</v>
      </c>
    </row>
    <row r="21" spans="1:10" s="81" customFormat="1" x14ac:dyDescent="0.2">
      <c r="A21" s="39" t="s">
        <v>35</v>
      </c>
      <c r="B21" s="348">
        <v>0</v>
      </c>
      <c r="C21" s="349">
        <v>0</v>
      </c>
      <c r="D21" s="350">
        <v>0</v>
      </c>
      <c r="E21" s="348">
        <v>0</v>
      </c>
      <c r="F21" s="351">
        <v>80000</v>
      </c>
      <c r="G21" s="352">
        <f t="shared" si="1"/>
        <v>0</v>
      </c>
      <c r="H21" s="355">
        <v>0</v>
      </c>
      <c r="I21" s="353">
        <f t="shared" si="3"/>
        <v>80000</v>
      </c>
      <c r="J21" s="356">
        <v>1</v>
      </c>
    </row>
    <row r="22" spans="1:10" s="81" customFormat="1" x14ac:dyDescent="0.2">
      <c r="A22" s="39" t="s">
        <v>244</v>
      </c>
      <c r="B22" s="348">
        <v>7036808</v>
      </c>
      <c r="C22" s="349">
        <v>8883410</v>
      </c>
      <c r="D22" s="350">
        <v>322849</v>
      </c>
      <c r="E22" s="348">
        <v>1092514</v>
      </c>
      <c r="F22" s="351">
        <v>11080624</v>
      </c>
      <c r="G22" s="352">
        <f t="shared" si="1"/>
        <v>-6713959</v>
      </c>
      <c r="H22" s="355">
        <f t="shared" si="2"/>
        <v>-0.95411996462032211</v>
      </c>
      <c r="I22" s="353">
        <f t="shared" si="3"/>
        <v>10757775</v>
      </c>
      <c r="J22" s="356">
        <f t="shared" si="0"/>
        <v>33.321382441946547</v>
      </c>
    </row>
    <row r="23" spans="1:10" s="81" customFormat="1" x14ac:dyDescent="0.2">
      <c r="A23" s="39" t="s">
        <v>248</v>
      </c>
      <c r="B23" s="348">
        <v>10342</v>
      </c>
      <c r="C23" s="349">
        <v>22914</v>
      </c>
      <c r="D23" s="350">
        <v>112735</v>
      </c>
      <c r="E23" s="348">
        <v>70370</v>
      </c>
      <c r="F23" s="351">
        <v>175984</v>
      </c>
      <c r="G23" s="352">
        <f t="shared" si="1"/>
        <v>102393</v>
      </c>
      <c r="H23" s="355">
        <f t="shared" si="2"/>
        <v>9.9006961902920132</v>
      </c>
      <c r="I23" s="353">
        <f t="shared" si="3"/>
        <v>63249</v>
      </c>
      <c r="J23" s="356">
        <f t="shared" si="0"/>
        <v>0.56104138022796823</v>
      </c>
    </row>
    <row r="24" spans="1:10" s="81" customFormat="1" x14ac:dyDescent="0.2">
      <c r="A24" s="39" t="s">
        <v>241</v>
      </c>
      <c r="B24" s="348">
        <v>4626393</v>
      </c>
      <c r="C24" s="349">
        <v>5094436</v>
      </c>
      <c r="D24" s="350">
        <v>4897695</v>
      </c>
      <c r="E24" s="348">
        <v>5080292</v>
      </c>
      <c r="F24" s="351">
        <v>5192575</v>
      </c>
      <c r="G24" s="352">
        <f t="shared" si="1"/>
        <v>271302</v>
      </c>
      <c r="H24" s="355">
        <f t="shared" si="2"/>
        <v>5.8642229486340652E-2</v>
      </c>
      <c r="I24" s="353">
        <f t="shared" si="3"/>
        <v>294880</v>
      </c>
      <c r="J24" s="356">
        <f t="shared" si="0"/>
        <v>6.0207914131035108E-2</v>
      </c>
    </row>
    <row r="25" spans="1:10" s="81" customFormat="1" x14ac:dyDescent="0.2">
      <c r="A25" s="39" t="s">
        <v>243</v>
      </c>
      <c r="B25" s="348">
        <v>214854</v>
      </c>
      <c r="C25" s="349">
        <v>158957</v>
      </c>
      <c r="D25" s="350">
        <v>194954</v>
      </c>
      <c r="E25" s="348">
        <v>227216</v>
      </c>
      <c r="F25" s="351">
        <v>574200</v>
      </c>
      <c r="G25" s="352">
        <f t="shared" si="1"/>
        <v>-19900</v>
      </c>
      <c r="H25" s="355">
        <f t="shared" si="2"/>
        <v>-9.2621035680043193E-2</v>
      </c>
      <c r="I25" s="353">
        <f t="shared" si="3"/>
        <v>379246</v>
      </c>
      <c r="J25" s="356">
        <f t="shared" si="0"/>
        <v>1.9453101757337627</v>
      </c>
    </row>
    <row r="26" spans="1:10" s="81" customFormat="1" x14ac:dyDescent="0.2">
      <c r="A26" s="39" t="s">
        <v>250</v>
      </c>
      <c r="B26" s="348">
        <v>2551442</v>
      </c>
      <c r="C26" s="349">
        <v>4914074</v>
      </c>
      <c r="D26" s="350">
        <v>1619057</v>
      </c>
      <c r="E26" s="348">
        <v>3684553</v>
      </c>
      <c r="F26" s="351">
        <v>2563968</v>
      </c>
      <c r="G26" s="352">
        <f t="shared" si="1"/>
        <v>-932385</v>
      </c>
      <c r="H26" s="355">
        <f t="shared" si="2"/>
        <v>-0.36543452682835825</v>
      </c>
      <c r="I26" s="353">
        <f t="shared" si="3"/>
        <v>944911</v>
      </c>
      <c r="J26" s="356">
        <f t="shared" si="0"/>
        <v>0.58361811844796074</v>
      </c>
    </row>
    <row r="27" spans="1:10" s="81" customFormat="1" x14ac:dyDescent="0.2">
      <c r="A27" s="39" t="s">
        <v>252</v>
      </c>
      <c r="B27" s="348">
        <v>4488270</v>
      </c>
      <c r="C27" s="349">
        <v>14366509</v>
      </c>
      <c r="D27" s="350">
        <v>3917447</v>
      </c>
      <c r="E27" s="348">
        <v>9546897</v>
      </c>
      <c r="F27" s="351">
        <v>4101394</v>
      </c>
      <c r="G27" s="352">
        <f t="shared" si="1"/>
        <v>-570823</v>
      </c>
      <c r="H27" s="355">
        <f t="shared" si="2"/>
        <v>-0.12718107422236186</v>
      </c>
      <c r="I27" s="353">
        <f t="shared" si="3"/>
        <v>183947</v>
      </c>
      <c r="J27" s="356">
        <f t="shared" si="0"/>
        <v>4.6955836288276522E-2</v>
      </c>
    </row>
    <row r="28" spans="1:10" s="81" customFormat="1" x14ac:dyDescent="0.2">
      <c r="A28" s="39" t="s">
        <v>240</v>
      </c>
      <c r="B28" s="348">
        <v>103508</v>
      </c>
      <c r="C28" s="349">
        <v>192132</v>
      </c>
      <c r="D28" s="350">
        <v>81362</v>
      </c>
      <c r="E28" s="348">
        <v>53634</v>
      </c>
      <c r="F28" s="351">
        <v>72506</v>
      </c>
      <c r="G28" s="352">
        <f t="shared" si="1"/>
        <v>-22146</v>
      </c>
      <c r="H28" s="355">
        <f t="shared" si="2"/>
        <v>-0.21395447694864164</v>
      </c>
      <c r="I28" s="353">
        <f t="shared" si="3"/>
        <v>-8856</v>
      </c>
      <c r="J28" s="356">
        <f t="shared" si="0"/>
        <v>-0.10884688183672968</v>
      </c>
    </row>
    <row r="29" spans="1:10" s="81" customFormat="1" x14ac:dyDescent="0.2">
      <c r="A29" s="39" t="s">
        <v>254</v>
      </c>
      <c r="B29" s="348">
        <v>107399</v>
      </c>
      <c r="C29" s="349">
        <v>51789</v>
      </c>
      <c r="D29" s="350">
        <v>114709</v>
      </c>
      <c r="E29" s="348">
        <v>77010</v>
      </c>
      <c r="F29" s="351">
        <v>306087</v>
      </c>
      <c r="G29" s="352">
        <f t="shared" si="1"/>
        <v>7310</v>
      </c>
      <c r="H29" s="355">
        <f t="shared" si="2"/>
        <v>6.8063948453896225E-2</v>
      </c>
      <c r="I29" s="353">
        <f t="shared" si="3"/>
        <v>191378</v>
      </c>
      <c r="J29" s="356">
        <f t="shared" si="0"/>
        <v>1.6683782440784942</v>
      </c>
    </row>
    <row r="30" spans="1:10" s="95" customFormat="1" x14ac:dyDescent="0.2">
      <c r="A30" s="39" t="s">
        <v>495</v>
      </c>
      <c r="B30" s="348">
        <v>514342</v>
      </c>
      <c r="C30" s="349">
        <v>456555</v>
      </c>
      <c r="D30" s="350">
        <v>745517</v>
      </c>
      <c r="E30" s="348">
        <v>598530</v>
      </c>
      <c r="F30" s="351">
        <v>524301</v>
      </c>
      <c r="G30" s="352">
        <f t="shared" si="1"/>
        <v>231175</v>
      </c>
      <c r="H30" s="355">
        <f t="shared" si="2"/>
        <v>0.44945775379027963</v>
      </c>
      <c r="I30" s="353">
        <f t="shared" si="3"/>
        <v>-221216</v>
      </c>
      <c r="J30" s="356">
        <f t="shared" si="0"/>
        <v>-0.29672831068909228</v>
      </c>
    </row>
    <row r="31" spans="1:10" s="81" customFormat="1" x14ac:dyDescent="0.2">
      <c r="A31" s="39" t="s">
        <v>496</v>
      </c>
      <c r="B31" s="348">
        <v>1526611</v>
      </c>
      <c r="C31" s="349">
        <v>625777</v>
      </c>
      <c r="D31" s="350">
        <v>1119684</v>
      </c>
      <c r="E31" s="348">
        <v>772251</v>
      </c>
      <c r="F31" s="351">
        <v>808896</v>
      </c>
      <c r="G31" s="352">
        <f t="shared" si="1"/>
        <v>-406927</v>
      </c>
      <c r="H31" s="355">
        <f t="shared" si="2"/>
        <v>-0.26655578926131152</v>
      </c>
      <c r="I31" s="353">
        <f t="shared" si="3"/>
        <v>-310788</v>
      </c>
      <c r="J31" s="356">
        <f t="shared" si="0"/>
        <v>-0.27756759942983911</v>
      </c>
    </row>
    <row r="32" spans="1:10" s="81" customFormat="1" x14ac:dyDescent="0.2">
      <c r="A32" s="39" t="s">
        <v>497</v>
      </c>
      <c r="B32" s="348">
        <v>10000</v>
      </c>
      <c r="C32" s="349">
        <v>6000</v>
      </c>
      <c r="D32" s="350">
        <v>5000</v>
      </c>
      <c r="E32" s="348">
        <v>5000</v>
      </c>
      <c r="F32" s="351">
        <v>0</v>
      </c>
      <c r="G32" s="352">
        <f t="shared" si="1"/>
        <v>-5000</v>
      </c>
      <c r="H32" s="355">
        <f>(D32-B32)/B32</f>
        <v>-0.5</v>
      </c>
      <c r="I32" s="353">
        <f t="shared" si="3"/>
        <v>-5000</v>
      </c>
      <c r="J32" s="356">
        <f>(F32-D32)/D32</f>
        <v>-1</v>
      </c>
    </row>
    <row r="33" spans="1:10" ht="12.75" thickBot="1" x14ac:dyDescent="0.25">
      <c r="A33" s="39"/>
      <c r="B33" s="336"/>
      <c r="C33" s="337"/>
      <c r="D33" s="338"/>
      <c r="E33" s="336"/>
      <c r="F33" s="339"/>
      <c r="G33" s="340"/>
      <c r="H33" s="234"/>
      <c r="I33" s="346"/>
      <c r="J33" s="30"/>
    </row>
    <row r="34" spans="1:10" ht="12.75" thickBot="1" x14ac:dyDescent="0.25">
      <c r="A34" s="26" t="s">
        <v>48</v>
      </c>
      <c r="B34" s="341">
        <f t="shared" ref="B34:G34" si="4">SUM(B6:B33)</f>
        <v>68016613</v>
      </c>
      <c r="C34" s="342">
        <f t="shared" si="4"/>
        <v>104254975</v>
      </c>
      <c r="D34" s="343">
        <f t="shared" si="4"/>
        <v>53564895</v>
      </c>
      <c r="E34" s="344">
        <f t="shared" si="4"/>
        <v>76048409</v>
      </c>
      <c r="F34" s="345">
        <f t="shared" si="4"/>
        <v>67724743</v>
      </c>
      <c r="G34" s="341">
        <f t="shared" si="4"/>
        <v>-14451718</v>
      </c>
      <c r="H34" s="358">
        <f>(D34-B34)/B34</f>
        <v>-0.21247335559034672</v>
      </c>
      <c r="I34" s="347">
        <f>SUM(I6:I33)</f>
        <v>14159848</v>
      </c>
      <c r="J34" s="357">
        <f>(F34-D34)/D34</f>
        <v>0.26434940271982238</v>
      </c>
    </row>
    <row r="35" spans="1:10" x14ac:dyDescent="0.2">
      <c r="A35" s="1" t="s">
        <v>50</v>
      </c>
      <c r="B35" s="335"/>
      <c r="C35" s="335"/>
      <c r="D35" s="335"/>
      <c r="E35" s="335"/>
      <c r="F35" s="335"/>
      <c r="G35" s="2"/>
      <c r="H35" s="2"/>
      <c r="I35" s="2"/>
    </row>
    <row r="36" spans="1:10" s="95" customFormat="1" x14ac:dyDescent="0.2">
      <c r="A36" s="1"/>
      <c r="B36" s="335"/>
      <c r="C36" s="335"/>
      <c r="D36" s="335"/>
      <c r="E36" s="335"/>
      <c r="F36" s="335"/>
      <c r="G36" s="2"/>
      <c r="H36" s="2"/>
      <c r="I36" s="2"/>
    </row>
    <row r="37" spans="1:10" s="62" customFormat="1" x14ac:dyDescent="0.2">
      <c r="A37" s="1" t="s">
        <v>326</v>
      </c>
      <c r="B37" s="55"/>
      <c r="C37" s="55"/>
      <c r="D37" s="55"/>
      <c r="E37" s="55"/>
      <c r="F37" s="55"/>
      <c r="G37" s="55"/>
      <c r="H37" s="55"/>
      <c r="I37" s="55"/>
    </row>
    <row r="38" spans="1:10" x14ac:dyDescent="0.2">
      <c r="A38" s="1" t="s">
        <v>140</v>
      </c>
      <c r="B38" s="2"/>
      <c r="C38" s="2"/>
      <c r="D38" s="2"/>
      <c r="E38" s="2"/>
      <c r="F38" s="2"/>
      <c r="G38" s="2"/>
      <c r="H38" s="2"/>
      <c r="I38" s="2"/>
    </row>
    <row r="39" spans="1:10" x14ac:dyDescent="0.2">
      <c r="A39" s="1"/>
      <c r="B39" s="2"/>
      <c r="C39" s="2"/>
      <c r="D39" s="2"/>
      <c r="E39" s="2"/>
      <c r="F39" s="2"/>
      <c r="G39" s="2"/>
      <c r="H39" s="2"/>
      <c r="I39" s="2"/>
    </row>
    <row r="40" spans="1:10" x14ac:dyDescent="0.2">
      <c r="B40" s="354"/>
      <c r="C40" s="354"/>
    </row>
  </sheetData>
  <sortState xmlns:xlrd2="http://schemas.microsoft.com/office/spreadsheetml/2017/richdata2" ref="A8:K39">
    <sortCondition ref="A8:A39"/>
  </sortState>
  <mergeCells count="10">
    <mergeCell ref="A4:A5"/>
    <mergeCell ref="G4:G5"/>
    <mergeCell ref="I4:I5"/>
    <mergeCell ref="H4:H5"/>
    <mergeCell ref="J4:J5"/>
    <mergeCell ref="C4:C5"/>
    <mergeCell ref="E4:E5"/>
    <mergeCell ref="F4:F5"/>
    <mergeCell ref="B4:B5"/>
    <mergeCell ref="D4:D5"/>
  </mergeCells>
  <phoneticPr fontId="0" type="noConversion"/>
  <printOptions horizontalCentered="1"/>
  <pageMargins left="0.23622047244094491" right="0.23622047244094491" top="0.74803149606299213" bottom="0.74803149606299213" header="0.31496062992125984" footer="0.31496062992125984"/>
  <pageSetup paperSize="9" scale="83" orientation="landscape" r:id="rId1"/>
  <headerFooter alignWithMargins="0">
    <oddHeader xml:space="preserve">&amp;C&amp;"Arial,Negrita"&amp;18PROYECTO DE PRESUPUESTO 2022
</oddHeader>
    <oddFooter>&amp;L&amp;"Arial,Negrita"&amp;8PROYECTO DE PRESUPUESTO PARA EL AÑO FISCAL 2022
INFORMACIÓN PARA LA COMISIÓN DE PRESUPUESTO Y CUENTA GENERAL DE LA REPÚBLICA DEL CONGRESO DE LA REPÚBLICA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99242-8D51-4E56-9DF4-D04688218479}">
  <sheetPr>
    <tabColor theme="9" tint="-0.249977111117893"/>
  </sheetPr>
  <dimension ref="A1:Y73"/>
  <sheetViews>
    <sheetView zoomScale="98" zoomScaleNormal="98" zoomScaleSheetLayoutView="90" zoomScalePageLayoutView="85" workbookViewId="0">
      <selection activeCell="B5" sqref="B5:E5"/>
    </sheetView>
  </sheetViews>
  <sheetFormatPr baseColWidth="10" defaultRowHeight="12" x14ac:dyDescent="0.2"/>
  <cols>
    <col min="1" max="1" width="61.42578125" style="411" customWidth="1"/>
    <col min="2" max="2" width="12" style="411" bestFit="1" customWidth="1"/>
    <col min="3" max="3" width="15.5703125" style="411" customWidth="1"/>
    <col min="4" max="4" width="12" style="411" bestFit="1" customWidth="1"/>
    <col min="5" max="5" width="11.42578125" style="413" customWidth="1"/>
    <col min="6" max="6" width="15.5703125" style="414" customWidth="1"/>
    <col min="7" max="7" width="10.140625" style="411" customWidth="1"/>
    <col min="8" max="8" width="11.42578125" style="411" customWidth="1"/>
    <col min="9" max="9" width="9.7109375" style="411" customWidth="1"/>
    <col min="10" max="10" width="10.140625" style="411" customWidth="1"/>
    <col min="11" max="11" width="9.28515625" style="411" customWidth="1"/>
    <col min="12" max="12" width="11.140625" style="411" customWidth="1"/>
    <col min="13" max="13" width="8.140625" style="411" customWidth="1"/>
    <col min="14" max="14" width="11.140625" style="411" customWidth="1"/>
    <col min="15" max="256" width="11.42578125" style="238"/>
    <col min="257" max="257" width="61.42578125" style="238" customWidth="1"/>
    <col min="258" max="270" width="15.5703125" style="238" customWidth="1"/>
    <col min="271" max="512" width="11.42578125" style="238"/>
    <col min="513" max="513" width="61.42578125" style="238" customWidth="1"/>
    <col min="514" max="526" width="15.5703125" style="238" customWidth="1"/>
    <col min="527" max="768" width="11.42578125" style="238"/>
    <col min="769" max="769" width="61.42578125" style="238" customWidth="1"/>
    <col min="770" max="782" width="15.5703125" style="238" customWidth="1"/>
    <col min="783" max="1024" width="11.42578125" style="238"/>
    <col min="1025" max="1025" width="61.42578125" style="238" customWidth="1"/>
    <col min="1026" max="1038" width="15.5703125" style="238" customWidth="1"/>
    <col min="1039" max="1280" width="11.42578125" style="238"/>
    <col min="1281" max="1281" width="61.42578125" style="238" customWidth="1"/>
    <col min="1282" max="1294" width="15.5703125" style="238" customWidth="1"/>
    <col min="1295" max="1536" width="11.42578125" style="238"/>
    <col min="1537" max="1537" width="61.42578125" style="238" customWidth="1"/>
    <col min="1538" max="1550" width="15.5703125" style="238" customWidth="1"/>
    <col min="1551" max="1792" width="11.42578125" style="238"/>
    <col min="1793" max="1793" width="61.42578125" style="238" customWidth="1"/>
    <col min="1794" max="1806" width="15.5703125" style="238" customWidth="1"/>
    <col min="1807" max="2048" width="11.42578125" style="238"/>
    <col min="2049" max="2049" width="61.42578125" style="238" customWidth="1"/>
    <col min="2050" max="2062" width="15.5703125" style="238" customWidth="1"/>
    <col min="2063" max="2304" width="11.42578125" style="238"/>
    <col min="2305" max="2305" width="61.42578125" style="238" customWidth="1"/>
    <col min="2306" max="2318" width="15.5703125" style="238" customWidth="1"/>
    <col min="2319" max="2560" width="11.42578125" style="238"/>
    <col min="2561" max="2561" width="61.42578125" style="238" customWidth="1"/>
    <col min="2562" max="2574" width="15.5703125" style="238" customWidth="1"/>
    <col min="2575" max="2816" width="11.42578125" style="238"/>
    <col min="2817" max="2817" width="61.42578125" style="238" customWidth="1"/>
    <col min="2818" max="2830" width="15.5703125" style="238" customWidth="1"/>
    <col min="2831" max="3072" width="11.42578125" style="238"/>
    <col min="3073" max="3073" width="61.42578125" style="238" customWidth="1"/>
    <col min="3074" max="3086" width="15.5703125" style="238" customWidth="1"/>
    <col min="3087" max="3328" width="11.42578125" style="238"/>
    <col min="3329" max="3329" width="61.42578125" style="238" customWidth="1"/>
    <col min="3330" max="3342" width="15.5703125" style="238" customWidth="1"/>
    <col min="3343" max="3584" width="11.42578125" style="238"/>
    <col min="3585" max="3585" width="61.42578125" style="238" customWidth="1"/>
    <col min="3586" max="3598" width="15.5703125" style="238" customWidth="1"/>
    <col min="3599" max="3840" width="11.42578125" style="238"/>
    <col min="3841" max="3841" width="61.42578125" style="238" customWidth="1"/>
    <col min="3842" max="3854" width="15.5703125" style="238" customWidth="1"/>
    <col min="3855" max="4096" width="11.42578125" style="238"/>
    <col min="4097" max="4097" width="61.42578125" style="238" customWidth="1"/>
    <col min="4098" max="4110" width="15.5703125" style="238" customWidth="1"/>
    <col min="4111" max="4352" width="11.42578125" style="238"/>
    <col min="4353" max="4353" width="61.42578125" style="238" customWidth="1"/>
    <col min="4354" max="4366" width="15.5703125" style="238" customWidth="1"/>
    <col min="4367" max="4608" width="11.42578125" style="238"/>
    <col min="4609" max="4609" width="61.42578125" style="238" customWidth="1"/>
    <col min="4610" max="4622" width="15.5703125" style="238" customWidth="1"/>
    <col min="4623" max="4864" width="11.42578125" style="238"/>
    <col min="4865" max="4865" width="61.42578125" style="238" customWidth="1"/>
    <col min="4866" max="4878" width="15.5703125" style="238" customWidth="1"/>
    <col min="4879" max="5120" width="11.42578125" style="238"/>
    <col min="5121" max="5121" width="61.42578125" style="238" customWidth="1"/>
    <col min="5122" max="5134" width="15.5703125" style="238" customWidth="1"/>
    <col min="5135" max="5376" width="11.42578125" style="238"/>
    <col min="5377" max="5377" width="61.42578125" style="238" customWidth="1"/>
    <col min="5378" max="5390" width="15.5703125" style="238" customWidth="1"/>
    <col min="5391" max="5632" width="11.42578125" style="238"/>
    <col min="5633" max="5633" width="61.42578125" style="238" customWidth="1"/>
    <col min="5634" max="5646" width="15.5703125" style="238" customWidth="1"/>
    <col min="5647" max="5888" width="11.42578125" style="238"/>
    <col min="5889" max="5889" width="61.42578125" style="238" customWidth="1"/>
    <col min="5890" max="5902" width="15.5703125" style="238" customWidth="1"/>
    <col min="5903" max="6144" width="11.42578125" style="238"/>
    <col min="6145" max="6145" width="61.42578125" style="238" customWidth="1"/>
    <col min="6146" max="6158" width="15.5703125" style="238" customWidth="1"/>
    <col min="6159" max="6400" width="11.42578125" style="238"/>
    <col min="6401" max="6401" width="61.42578125" style="238" customWidth="1"/>
    <col min="6402" max="6414" width="15.5703125" style="238" customWidth="1"/>
    <col min="6415" max="6656" width="11.42578125" style="238"/>
    <col min="6657" max="6657" width="61.42578125" style="238" customWidth="1"/>
    <col min="6658" max="6670" width="15.5703125" style="238" customWidth="1"/>
    <col min="6671" max="6912" width="11.42578125" style="238"/>
    <col min="6913" max="6913" width="61.42578125" style="238" customWidth="1"/>
    <col min="6914" max="6926" width="15.5703125" style="238" customWidth="1"/>
    <col min="6927" max="7168" width="11.42578125" style="238"/>
    <col min="7169" max="7169" width="61.42578125" style="238" customWidth="1"/>
    <col min="7170" max="7182" width="15.5703125" style="238" customWidth="1"/>
    <col min="7183" max="7424" width="11.42578125" style="238"/>
    <col min="7425" max="7425" width="61.42578125" style="238" customWidth="1"/>
    <col min="7426" max="7438" width="15.5703125" style="238" customWidth="1"/>
    <col min="7439" max="7680" width="11.42578125" style="238"/>
    <col min="7681" max="7681" width="61.42578125" style="238" customWidth="1"/>
    <col min="7682" max="7694" width="15.5703125" style="238" customWidth="1"/>
    <col min="7695" max="7936" width="11.42578125" style="238"/>
    <col min="7937" max="7937" width="61.42578125" style="238" customWidth="1"/>
    <col min="7938" max="7950" width="15.5703125" style="238" customWidth="1"/>
    <col min="7951" max="8192" width="11.42578125" style="238"/>
    <col min="8193" max="8193" width="61.42578125" style="238" customWidth="1"/>
    <col min="8194" max="8206" width="15.5703125" style="238" customWidth="1"/>
    <col min="8207" max="8448" width="11.42578125" style="238"/>
    <col min="8449" max="8449" width="61.42578125" style="238" customWidth="1"/>
    <col min="8450" max="8462" width="15.5703125" style="238" customWidth="1"/>
    <col min="8463" max="8704" width="11.42578125" style="238"/>
    <col min="8705" max="8705" width="61.42578125" style="238" customWidth="1"/>
    <col min="8706" max="8718" width="15.5703125" style="238" customWidth="1"/>
    <col min="8719" max="8960" width="11.42578125" style="238"/>
    <col min="8961" max="8961" width="61.42578125" style="238" customWidth="1"/>
    <col min="8962" max="8974" width="15.5703125" style="238" customWidth="1"/>
    <col min="8975" max="9216" width="11.42578125" style="238"/>
    <col min="9217" max="9217" width="61.42578125" style="238" customWidth="1"/>
    <col min="9218" max="9230" width="15.5703125" style="238" customWidth="1"/>
    <col min="9231" max="9472" width="11.42578125" style="238"/>
    <col min="9473" max="9473" width="61.42578125" style="238" customWidth="1"/>
    <col min="9474" max="9486" width="15.5703125" style="238" customWidth="1"/>
    <col min="9487" max="9728" width="11.42578125" style="238"/>
    <col min="9729" max="9729" width="61.42578125" style="238" customWidth="1"/>
    <col min="9730" max="9742" width="15.5703125" style="238" customWidth="1"/>
    <col min="9743" max="9984" width="11.42578125" style="238"/>
    <col min="9985" max="9985" width="61.42578125" style="238" customWidth="1"/>
    <col min="9986" max="9998" width="15.5703125" style="238" customWidth="1"/>
    <col min="9999" max="10240" width="11.42578125" style="238"/>
    <col min="10241" max="10241" width="61.42578125" style="238" customWidth="1"/>
    <col min="10242" max="10254" width="15.5703125" style="238" customWidth="1"/>
    <col min="10255" max="10496" width="11.42578125" style="238"/>
    <col min="10497" max="10497" width="61.42578125" style="238" customWidth="1"/>
    <col min="10498" max="10510" width="15.5703125" style="238" customWidth="1"/>
    <col min="10511" max="10752" width="11.42578125" style="238"/>
    <col min="10753" max="10753" width="61.42578125" style="238" customWidth="1"/>
    <col min="10754" max="10766" width="15.5703125" style="238" customWidth="1"/>
    <col min="10767" max="11008" width="11.42578125" style="238"/>
    <col min="11009" max="11009" width="61.42578125" style="238" customWidth="1"/>
    <col min="11010" max="11022" width="15.5703125" style="238" customWidth="1"/>
    <col min="11023" max="11264" width="11.42578125" style="238"/>
    <col min="11265" max="11265" width="61.42578125" style="238" customWidth="1"/>
    <col min="11266" max="11278" width="15.5703125" style="238" customWidth="1"/>
    <col min="11279" max="11520" width="11.42578125" style="238"/>
    <col min="11521" max="11521" width="61.42578125" style="238" customWidth="1"/>
    <col min="11522" max="11534" width="15.5703125" style="238" customWidth="1"/>
    <col min="11535" max="11776" width="11.42578125" style="238"/>
    <col min="11777" max="11777" width="61.42578125" style="238" customWidth="1"/>
    <col min="11778" max="11790" width="15.5703125" style="238" customWidth="1"/>
    <col min="11791" max="12032" width="11.42578125" style="238"/>
    <col min="12033" max="12033" width="61.42578125" style="238" customWidth="1"/>
    <col min="12034" max="12046" width="15.5703125" style="238" customWidth="1"/>
    <col min="12047" max="12288" width="11.42578125" style="238"/>
    <col min="12289" max="12289" width="61.42578125" style="238" customWidth="1"/>
    <col min="12290" max="12302" width="15.5703125" style="238" customWidth="1"/>
    <col min="12303" max="12544" width="11.42578125" style="238"/>
    <col min="12545" max="12545" width="61.42578125" style="238" customWidth="1"/>
    <col min="12546" max="12558" width="15.5703125" style="238" customWidth="1"/>
    <col min="12559" max="12800" width="11.42578125" style="238"/>
    <col min="12801" max="12801" width="61.42578125" style="238" customWidth="1"/>
    <col min="12802" max="12814" width="15.5703125" style="238" customWidth="1"/>
    <col min="12815" max="13056" width="11.42578125" style="238"/>
    <col min="13057" max="13057" width="61.42578125" style="238" customWidth="1"/>
    <col min="13058" max="13070" width="15.5703125" style="238" customWidth="1"/>
    <col min="13071" max="13312" width="11.42578125" style="238"/>
    <col min="13313" max="13313" width="61.42578125" style="238" customWidth="1"/>
    <col min="13314" max="13326" width="15.5703125" style="238" customWidth="1"/>
    <col min="13327" max="13568" width="11.42578125" style="238"/>
    <col min="13569" max="13569" width="61.42578125" style="238" customWidth="1"/>
    <col min="13570" max="13582" width="15.5703125" style="238" customWidth="1"/>
    <col min="13583" max="13824" width="11.42578125" style="238"/>
    <col min="13825" max="13825" width="61.42578125" style="238" customWidth="1"/>
    <col min="13826" max="13838" width="15.5703125" style="238" customWidth="1"/>
    <col min="13839" max="14080" width="11.42578125" style="238"/>
    <col min="14081" max="14081" width="61.42578125" style="238" customWidth="1"/>
    <col min="14082" max="14094" width="15.5703125" style="238" customWidth="1"/>
    <col min="14095" max="14336" width="11.42578125" style="238"/>
    <col min="14337" max="14337" width="61.42578125" style="238" customWidth="1"/>
    <col min="14338" max="14350" width="15.5703125" style="238" customWidth="1"/>
    <col min="14351" max="14592" width="11.42578125" style="238"/>
    <col min="14593" max="14593" width="61.42578125" style="238" customWidth="1"/>
    <col min="14594" max="14606" width="15.5703125" style="238" customWidth="1"/>
    <col min="14607" max="14848" width="11.42578125" style="238"/>
    <col min="14849" max="14849" width="61.42578125" style="238" customWidth="1"/>
    <col min="14850" max="14862" width="15.5703125" style="238" customWidth="1"/>
    <col min="14863" max="15104" width="11.42578125" style="238"/>
    <col min="15105" max="15105" width="61.42578125" style="238" customWidth="1"/>
    <col min="15106" max="15118" width="15.5703125" style="238" customWidth="1"/>
    <col min="15119" max="15360" width="11.42578125" style="238"/>
    <col min="15361" max="15361" width="61.42578125" style="238" customWidth="1"/>
    <col min="15362" max="15374" width="15.5703125" style="238" customWidth="1"/>
    <col min="15375" max="15616" width="11.42578125" style="238"/>
    <col min="15617" max="15617" width="61.42578125" style="238" customWidth="1"/>
    <col min="15618" max="15630" width="15.5703125" style="238" customWidth="1"/>
    <col min="15631" max="15872" width="11.42578125" style="238"/>
    <col min="15873" max="15873" width="61.42578125" style="238" customWidth="1"/>
    <col min="15874" max="15886" width="15.5703125" style="238" customWidth="1"/>
    <col min="15887" max="16128" width="11.42578125" style="238"/>
    <col min="16129" max="16129" width="61.42578125" style="238" customWidth="1"/>
    <col min="16130" max="16142" width="15.5703125" style="238" customWidth="1"/>
    <col min="16143" max="16384" width="11.42578125" style="238"/>
  </cols>
  <sheetData>
    <row r="1" spans="1:25" ht="15.75" customHeight="1" x14ac:dyDescent="0.2">
      <c r="A1" s="383" t="s">
        <v>400</v>
      </c>
      <c r="B1" s="408"/>
      <c r="C1" s="408"/>
      <c r="D1" s="408"/>
      <c r="E1" s="409"/>
      <c r="F1" s="410"/>
      <c r="G1" s="408"/>
      <c r="H1" s="408"/>
      <c r="I1" s="408"/>
      <c r="J1" s="408"/>
      <c r="K1" s="408"/>
      <c r="L1" s="408"/>
      <c r="M1" s="408"/>
      <c r="N1" s="408"/>
    </row>
    <row r="2" spans="1:25" x14ac:dyDescent="0.2">
      <c r="A2" s="408" t="s">
        <v>473</v>
      </c>
      <c r="B2" s="408"/>
      <c r="C2" s="408"/>
      <c r="D2" s="408"/>
      <c r="E2" s="409"/>
      <c r="F2" s="410"/>
      <c r="G2" s="408"/>
      <c r="H2" s="408"/>
      <c r="I2" s="408"/>
      <c r="J2" s="408"/>
      <c r="K2" s="408"/>
      <c r="L2" s="408"/>
      <c r="M2" s="408"/>
      <c r="N2" s="408"/>
      <c r="O2" s="383"/>
      <c r="P2" s="383"/>
      <c r="Q2" s="383"/>
      <c r="R2" s="383"/>
      <c r="S2" s="383"/>
      <c r="T2" s="383"/>
      <c r="U2" s="383"/>
      <c r="V2" s="383"/>
      <c r="W2" s="383"/>
      <c r="X2" s="383"/>
      <c r="Y2" s="383"/>
    </row>
    <row r="3" spans="1:25" ht="12.75" thickBot="1" x14ac:dyDescent="0.25">
      <c r="B3" s="412"/>
      <c r="G3" s="412"/>
      <c r="H3" s="412"/>
    </row>
    <row r="4" spans="1:25" ht="13.5" hidden="1" customHeight="1" x14ac:dyDescent="0.2">
      <c r="A4" s="415" t="s">
        <v>63</v>
      </c>
      <c r="B4" s="416"/>
      <c r="C4" s="417"/>
      <c r="D4" s="417"/>
      <c r="E4" s="417"/>
      <c r="F4" s="418"/>
      <c r="G4" s="417"/>
      <c r="H4" s="417"/>
      <c r="I4" s="417"/>
      <c r="J4" s="417"/>
      <c r="K4" s="417"/>
      <c r="L4" s="417"/>
      <c r="M4" s="417"/>
      <c r="N4" s="417"/>
    </row>
    <row r="5" spans="1:25" ht="57" customHeight="1" x14ac:dyDescent="0.2">
      <c r="A5" s="151" t="s">
        <v>67</v>
      </c>
      <c r="B5" s="151" t="s">
        <v>68</v>
      </c>
      <c r="C5" s="152" t="s">
        <v>69</v>
      </c>
      <c r="D5" s="152" t="s">
        <v>171</v>
      </c>
      <c r="E5" s="152" t="s">
        <v>172</v>
      </c>
      <c r="F5" s="528" t="s">
        <v>208</v>
      </c>
      <c r="G5" s="152" t="s">
        <v>142</v>
      </c>
      <c r="H5" s="152" t="s">
        <v>170</v>
      </c>
      <c r="I5" s="152" t="s">
        <v>144</v>
      </c>
      <c r="J5" s="152" t="s">
        <v>143</v>
      </c>
      <c r="K5" s="152" t="s">
        <v>145</v>
      </c>
      <c r="L5" s="152" t="s">
        <v>146</v>
      </c>
      <c r="M5" s="152" t="s">
        <v>147</v>
      </c>
      <c r="N5" s="152" t="s">
        <v>148</v>
      </c>
    </row>
    <row r="6" spans="1:25" ht="76.5" x14ac:dyDescent="0.2">
      <c r="A6" s="419" t="s">
        <v>714</v>
      </c>
      <c r="B6" s="420">
        <v>113553</v>
      </c>
      <c r="C6" s="419" t="s">
        <v>715</v>
      </c>
      <c r="D6" s="421" t="s">
        <v>716</v>
      </c>
      <c r="E6" s="422">
        <v>32</v>
      </c>
      <c r="F6" s="423">
        <v>177473.53</v>
      </c>
      <c r="G6" s="424"/>
      <c r="H6" s="421"/>
      <c r="I6" s="421"/>
      <c r="J6" s="421"/>
      <c r="K6" s="421"/>
      <c r="L6" s="421"/>
      <c r="M6" s="421"/>
      <c r="N6" s="421"/>
    </row>
    <row r="7" spans="1:25" ht="76.5" x14ac:dyDescent="0.2">
      <c r="A7" s="419" t="s">
        <v>717</v>
      </c>
      <c r="B7" s="420">
        <v>113553</v>
      </c>
      <c r="C7" s="419" t="s">
        <v>718</v>
      </c>
      <c r="D7" s="421" t="s">
        <v>716</v>
      </c>
      <c r="E7" s="422">
        <v>36</v>
      </c>
      <c r="F7" s="425">
        <v>55931.55</v>
      </c>
      <c r="G7" s="424"/>
      <c r="H7" s="421"/>
      <c r="I7" s="421"/>
      <c r="J7" s="421"/>
      <c r="K7" s="421"/>
      <c r="L7" s="421"/>
      <c r="M7" s="421"/>
      <c r="N7" s="421"/>
    </row>
    <row r="8" spans="1:25" ht="51" x14ac:dyDescent="0.2">
      <c r="A8" s="419" t="s">
        <v>719</v>
      </c>
      <c r="B8" s="420">
        <v>138846</v>
      </c>
      <c r="C8" s="419" t="s">
        <v>720</v>
      </c>
      <c r="D8" s="421" t="s">
        <v>716</v>
      </c>
      <c r="E8" s="422">
        <v>39</v>
      </c>
      <c r="F8" s="423">
        <v>193365.25</v>
      </c>
      <c r="G8" s="424"/>
      <c r="H8" s="421"/>
      <c r="I8" s="421"/>
      <c r="J8" s="424"/>
      <c r="K8" s="421"/>
      <c r="L8" s="421"/>
      <c r="M8" s="421"/>
      <c r="N8" s="421"/>
    </row>
    <row r="9" spans="1:25" ht="63.75" x14ac:dyDescent="0.2">
      <c r="A9" s="419" t="s">
        <v>721</v>
      </c>
      <c r="B9" s="420">
        <v>270555</v>
      </c>
      <c r="C9" s="419" t="s">
        <v>722</v>
      </c>
      <c r="D9" s="421" t="s">
        <v>716</v>
      </c>
      <c r="E9" s="422">
        <v>11</v>
      </c>
      <c r="F9" s="423">
        <v>351694</v>
      </c>
      <c r="G9" s="424"/>
      <c r="H9" s="421"/>
      <c r="I9" s="421"/>
      <c r="J9" s="421"/>
      <c r="K9" s="421"/>
      <c r="L9" s="421"/>
      <c r="M9" s="421"/>
      <c r="N9" s="421"/>
    </row>
    <row r="10" spans="1:25" ht="63.75" x14ac:dyDescent="0.2">
      <c r="A10" s="419" t="s">
        <v>723</v>
      </c>
      <c r="B10" s="420">
        <v>138846</v>
      </c>
      <c r="C10" s="419" t="s">
        <v>724</v>
      </c>
      <c r="D10" s="421" t="s">
        <v>716</v>
      </c>
      <c r="E10" s="422">
        <v>29</v>
      </c>
      <c r="F10" s="423">
        <v>455600</v>
      </c>
      <c r="G10" s="421"/>
      <c r="H10" s="421"/>
      <c r="I10" s="421"/>
      <c r="J10" s="421"/>
      <c r="K10" s="421"/>
      <c r="L10" s="421"/>
      <c r="M10" s="421"/>
      <c r="N10" s="421"/>
    </row>
    <row r="11" spans="1:25" ht="76.5" x14ac:dyDescent="0.2">
      <c r="A11" s="419" t="s">
        <v>714</v>
      </c>
      <c r="B11" s="420">
        <v>113553</v>
      </c>
      <c r="C11" s="419" t="s">
        <v>715</v>
      </c>
      <c r="D11" s="421" t="s">
        <v>716</v>
      </c>
      <c r="E11" s="422">
        <v>32</v>
      </c>
      <c r="F11" s="423">
        <v>177473.53</v>
      </c>
      <c r="G11" s="421"/>
      <c r="H11" s="421"/>
      <c r="I11" s="421"/>
      <c r="J11" s="421"/>
      <c r="K11" s="421"/>
      <c r="L11" s="421"/>
      <c r="M11" s="421"/>
      <c r="N11" s="421"/>
    </row>
    <row r="12" spans="1:25" ht="63.75" x14ac:dyDescent="0.2">
      <c r="A12" s="419" t="s">
        <v>725</v>
      </c>
      <c r="B12" s="420">
        <v>113553</v>
      </c>
      <c r="C12" s="419" t="s">
        <v>726</v>
      </c>
      <c r="D12" s="421" t="s">
        <v>716</v>
      </c>
      <c r="E12" s="422">
        <v>34</v>
      </c>
      <c r="F12" s="423">
        <v>162393.4</v>
      </c>
      <c r="G12" s="421"/>
      <c r="H12" s="421"/>
      <c r="I12" s="421"/>
      <c r="J12" s="421"/>
      <c r="K12" s="421"/>
      <c r="L12" s="421"/>
      <c r="M12" s="421"/>
      <c r="N12" s="421"/>
    </row>
    <row r="13" spans="1:25" ht="76.5" x14ac:dyDescent="0.2">
      <c r="A13" s="419" t="s">
        <v>727</v>
      </c>
      <c r="B13" s="420">
        <v>113553</v>
      </c>
      <c r="C13" s="419" t="s">
        <v>728</v>
      </c>
      <c r="D13" s="421" t="s">
        <v>716</v>
      </c>
      <c r="E13" s="422">
        <v>33</v>
      </c>
      <c r="F13" s="423">
        <v>62282</v>
      </c>
      <c r="G13" s="421"/>
      <c r="H13" s="421"/>
      <c r="I13" s="421"/>
      <c r="J13" s="421"/>
      <c r="K13" s="421"/>
      <c r="L13" s="421"/>
      <c r="M13" s="421"/>
      <c r="N13" s="421"/>
    </row>
    <row r="14" spans="1:25" ht="89.25" x14ac:dyDescent="0.2">
      <c r="A14" s="419" t="s">
        <v>729</v>
      </c>
      <c r="B14" s="420">
        <v>2485562</v>
      </c>
      <c r="C14" s="419" t="s">
        <v>730</v>
      </c>
      <c r="D14" s="421" t="s">
        <v>716</v>
      </c>
      <c r="E14" s="422">
        <v>26</v>
      </c>
      <c r="F14" s="423">
        <v>46800</v>
      </c>
      <c r="G14" s="421"/>
      <c r="H14" s="421"/>
      <c r="I14" s="421"/>
      <c r="J14" s="421"/>
      <c r="K14" s="421"/>
      <c r="L14" s="421"/>
      <c r="M14" s="421"/>
      <c r="N14" s="421"/>
    </row>
    <row r="15" spans="1:25" ht="76.5" x14ac:dyDescent="0.2">
      <c r="A15" s="419" t="s">
        <v>731</v>
      </c>
      <c r="B15" s="420">
        <v>270555</v>
      </c>
      <c r="C15" s="419" t="s">
        <v>732</v>
      </c>
      <c r="D15" s="421" t="s">
        <v>716</v>
      </c>
      <c r="E15" s="422">
        <v>27</v>
      </c>
      <c r="F15" s="423">
        <v>108075</v>
      </c>
      <c r="G15" s="421"/>
      <c r="H15" s="421"/>
      <c r="I15" s="421"/>
      <c r="J15" s="421"/>
      <c r="K15" s="421"/>
      <c r="L15" s="421"/>
      <c r="M15" s="421"/>
      <c r="N15" s="421"/>
    </row>
    <row r="16" spans="1:25" ht="89.25" x14ac:dyDescent="0.2">
      <c r="A16" s="419" t="s">
        <v>729</v>
      </c>
      <c r="B16" s="420">
        <v>2485562</v>
      </c>
      <c r="C16" s="419" t="s">
        <v>733</v>
      </c>
      <c r="D16" s="421" t="s">
        <v>716</v>
      </c>
      <c r="E16" s="422">
        <v>26</v>
      </c>
      <c r="F16" s="423">
        <v>46800</v>
      </c>
      <c r="G16" s="421"/>
      <c r="H16" s="421"/>
      <c r="I16" s="421"/>
      <c r="J16" s="421"/>
      <c r="K16" s="421"/>
      <c r="L16" s="421"/>
      <c r="M16" s="421"/>
      <c r="N16" s="421"/>
    </row>
    <row r="17" spans="1:14" ht="76.5" x14ac:dyDescent="0.2">
      <c r="A17" s="419" t="s">
        <v>731</v>
      </c>
      <c r="B17" s="420">
        <v>270555</v>
      </c>
      <c r="C17" s="419" t="s">
        <v>734</v>
      </c>
      <c r="D17" s="421" t="s">
        <v>716</v>
      </c>
      <c r="E17" s="422">
        <v>27</v>
      </c>
      <c r="F17" s="423">
        <v>108075</v>
      </c>
      <c r="G17" s="421"/>
      <c r="H17" s="421"/>
      <c r="I17" s="421"/>
      <c r="J17" s="421"/>
      <c r="K17" s="421"/>
      <c r="L17" s="421"/>
      <c r="M17" s="421"/>
      <c r="N17" s="421"/>
    </row>
    <row r="18" spans="1:14" ht="63.75" x14ac:dyDescent="0.2">
      <c r="A18" s="419" t="s">
        <v>735</v>
      </c>
      <c r="B18" s="420">
        <v>382859</v>
      </c>
      <c r="C18" s="419" t="s">
        <v>736</v>
      </c>
      <c r="D18" s="421" t="s">
        <v>716</v>
      </c>
      <c r="E18" s="422">
        <v>6</v>
      </c>
      <c r="F18" s="423">
        <v>99269</v>
      </c>
      <c r="G18" s="421"/>
      <c r="H18" s="421"/>
      <c r="I18" s="421"/>
      <c r="J18" s="421"/>
      <c r="K18" s="421"/>
      <c r="L18" s="421"/>
      <c r="M18" s="421"/>
      <c r="N18" s="421"/>
    </row>
    <row r="19" spans="1:14" ht="63.75" x14ac:dyDescent="0.2">
      <c r="A19" s="419" t="s">
        <v>737</v>
      </c>
      <c r="B19" s="420">
        <v>169343</v>
      </c>
      <c r="C19" s="419" t="s">
        <v>738</v>
      </c>
      <c r="D19" s="421" t="s">
        <v>716</v>
      </c>
      <c r="E19" s="422">
        <v>29</v>
      </c>
      <c r="F19" s="423">
        <v>43968</v>
      </c>
      <c r="G19" s="421"/>
      <c r="H19" s="421"/>
      <c r="I19" s="421"/>
      <c r="J19" s="421"/>
      <c r="K19" s="421"/>
      <c r="L19" s="421"/>
      <c r="M19" s="421"/>
      <c r="N19" s="421"/>
    </row>
    <row r="20" spans="1:14" ht="76.5" x14ac:dyDescent="0.2">
      <c r="A20" s="419" t="s">
        <v>739</v>
      </c>
      <c r="B20" s="420">
        <v>113553</v>
      </c>
      <c r="C20" s="419" t="s">
        <v>740</v>
      </c>
      <c r="D20" s="421" t="s">
        <v>716</v>
      </c>
      <c r="E20" s="422">
        <v>28</v>
      </c>
      <c r="F20" s="423">
        <v>110945.25</v>
      </c>
      <c r="G20" s="421"/>
      <c r="H20" s="421"/>
      <c r="I20" s="421"/>
      <c r="J20" s="421"/>
      <c r="K20" s="421"/>
      <c r="L20" s="421"/>
      <c r="M20" s="421"/>
      <c r="N20" s="421"/>
    </row>
    <row r="21" spans="1:14" ht="76.5" x14ac:dyDescent="0.2">
      <c r="A21" s="419" t="s">
        <v>731</v>
      </c>
      <c r="B21" s="420">
        <v>270555</v>
      </c>
      <c r="C21" s="419" t="s">
        <v>741</v>
      </c>
      <c r="D21" s="421" t="s">
        <v>716</v>
      </c>
      <c r="E21" s="422">
        <v>27</v>
      </c>
      <c r="F21" s="423">
        <v>108075</v>
      </c>
      <c r="G21" s="421"/>
      <c r="H21" s="421"/>
      <c r="I21" s="421"/>
      <c r="J21" s="421"/>
      <c r="K21" s="421"/>
      <c r="L21" s="421"/>
      <c r="M21" s="421"/>
      <c r="N21" s="421"/>
    </row>
    <row r="22" spans="1:14" ht="76.5" x14ac:dyDescent="0.2">
      <c r="A22" s="419" t="s">
        <v>742</v>
      </c>
      <c r="B22" s="420">
        <v>2488982</v>
      </c>
      <c r="C22" s="419" t="s">
        <v>743</v>
      </c>
      <c r="D22" s="421" t="s">
        <v>716</v>
      </c>
      <c r="E22" s="422">
        <v>25</v>
      </c>
      <c r="F22" s="423">
        <v>43686</v>
      </c>
      <c r="G22" s="421"/>
      <c r="H22" s="421"/>
      <c r="I22" s="421"/>
      <c r="J22" s="421"/>
      <c r="K22" s="421"/>
      <c r="L22" s="421"/>
      <c r="M22" s="421"/>
      <c r="N22" s="421"/>
    </row>
    <row r="23" spans="1:14" ht="63.75" x14ac:dyDescent="0.2">
      <c r="A23" s="419" t="s">
        <v>735</v>
      </c>
      <c r="B23" s="420">
        <v>382859</v>
      </c>
      <c r="C23" s="419" t="s">
        <v>744</v>
      </c>
      <c r="D23" s="421" t="s">
        <v>716</v>
      </c>
      <c r="E23" s="422">
        <v>6</v>
      </c>
      <c r="F23" s="423">
        <v>78475</v>
      </c>
      <c r="G23" s="421"/>
      <c r="H23" s="421"/>
      <c r="I23" s="421"/>
      <c r="J23" s="421"/>
      <c r="K23" s="421"/>
      <c r="L23" s="421"/>
      <c r="M23" s="421"/>
      <c r="N23" s="421"/>
    </row>
    <row r="24" spans="1:14" ht="63.75" x14ac:dyDescent="0.2">
      <c r="A24" s="419" t="s">
        <v>745</v>
      </c>
      <c r="B24" s="420">
        <v>270555</v>
      </c>
      <c r="C24" s="419" t="s">
        <v>746</v>
      </c>
      <c r="D24" s="421" t="s">
        <v>716</v>
      </c>
      <c r="E24" s="422">
        <v>24</v>
      </c>
      <c r="F24" s="423">
        <v>384241.5</v>
      </c>
      <c r="G24" s="421"/>
      <c r="H24" s="421"/>
      <c r="I24" s="421"/>
      <c r="J24" s="421"/>
      <c r="K24" s="421"/>
      <c r="L24" s="421"/>
      <c r="M24" s="421"/>
      <c r="N24" s="421"/>
    </row>
    <row r="25" spans="1:14" ht="76.5" x14ac:dyDescent="0.2">
      <c r="A25" s="419" t="s">
        <v>747</v>
      </c>
      <c r="B25" s="420">
        <v>113553</v>
      </c>
      <c r="C25" s="419" t="s">
        <v>748</v>
      </c>
      <c r="D25" s="421" t="s">
        <v>716</v>
      </c>
      <c r="E25" s="422">
        <v>19</v>
      </c>
      <c r="F25" s="423">
        <v>55335</v>
      </c>
      <c r="G25" s="421"/>
      <c r="H25" s="421"/>
      <c r="I25" s="421"/>
      <c r="J25" s="421"/>
      <c r="K25" s="421"/>
      <c r="L25" s="421"/>
      <c r="M25" s="421"/>
      <c r="N25" s="421"/>
    </row>
    <row r="26" spans="1:14" ht="63.75" x14ac:dyDescent="0.2">
      <c r="A26" s="419" t="s">
        <v>749</v>
      </c>
      <c r="B26" s="420">
        <v>270555</v>
      </c>
      <c r="C26" s="419" t="s">
        <v>750</v>
      </c>
      <c r="D26" s="421" t="s">
        <v>716</v>
      </c>
      <c r="E26" s="422">
        <v>22</v>
      </c>
      <c r="F26" s="423">
        <v>824665.5</v>
      </c>
      <c r="G26" s="421"/>
      <c r="H26" s="421"/>
      <c r="I26" s="421"/>
      <c r="J26" s="421"/>
      <c r="K26" s="421"/>
      <c r="L26" s="421"/>
      <c r="M26" s="421"/>
      <c r="N26" s="421"/>
    </row>
    <row r="27" spans="1:14" ht="51" x14ac:dyDescent="0.2">
      <c r="A27" s="419" t="s">
        <v>751</v>
      </c>
      <c r="B27" s="420">
        <v>138846</v>
      </c>
      <c r="C27" s="419" t="s">
        <v>752</v>
      </c>
      <c r="D27" s="421" t="s">
        <v>716</v>
      </c>
      <c r="E27" s="422">
        <v>21</v>
      </c>
      <c r="F27" s="423">
        <v>897000</v>
      </c>
      <c r="G27" s="421"/>
      <c r="H27" s="421"/>
      <c r="I27" s="421"/>
      <c r="J27" s="421"/>
      <c r="K27" s="421"/>
      <c r="L27" s="421"/>
      <c r="M27" s="421"/>
      <c r="N27" s="421"/>
    </row>
    <row r="28" spans="1:14" ht="76.5" x14ac:dyDescent="0.2">
      <c r="A28" s="419" t="s">
        <v>753</v>
      </c>
      <c r="B28" s="420">
        <v>113553</v>
      </c>
      <c r="C28" s="419" t="s">
        <v>754</v>
      </c>
      <c r="D28" s="421" t="s">
        <v>716</v>
      </c>
      <c r="E28" s="422">
        <v>19</v>
      </c>
      <c r="F28" s="423">
        <v>240085.18</v>
      </c>
      <c r="G28" s="421"/>
      <c r="H28" s="421"/>
      <c r="I28" s="421"/>
      <c r="J28" s="421"/>
      <c r="K28" s="421"/>
      <c r="L28" s="421"/>
      <c r="M28" s="421"/>
      <c r="N28" s="421"/>
    </row>
    <row r="29" spans="1:14" ht="63.75" x14ac:dyDescent="0.2">
      <c r="A29" s="419" t="s">
        <v>755</v>
      </c>
      <c r="B29" s="420">
        <v>113553</v>
      </c>
      <c r="C29" s="419" t="s">
        <v>756</v>
      </c>
      <c r="D29" s="421" t="s">
        <v>716</v>
      </c>
      <c r="E29" s="422">
        <v>2</v>
      </c>
      <c r="F29" s="423">
        <v>51865</v>
      </c>
      <c r="G29" s="421"/>
      <c r="H29" s="421"/>
      <c r="I29" s="421"/>
      <c r="J29" s="421"/>
      <c r="K29" s="421"/>
      <c r="L29" s="421"/>
      <c r="M29" s="421"/>
      <c r="N29" s="421"/>
    </row>
    <row r="30" spans="1:14" ht="63.75" x14ac:dyDescent="0.2">
      <c r="A30" s="419" t="s">
        <v>757</v>
      </c>
      <c r="B30" s="420">
        <v>138846</v>
      </c>
      <c r="C30" s="419" t="s">
        <v>758</v>
      </c>
      <c r="D30" s="421" t="s">
        <v>716</v>
      </c>
      <c r="E30" s="422">
        <v>18</v>
      </c>
      <c r="F30" s="423">
        <v>82960</v>
      </c>
      <c r="G30" s="421"/>
      <c r="H30" s="421"/>
      <c r="I30" s="421"/>
      <c r="J30" s="421"/>
      <c r="K30" s="421"/>
      <c r="L30" s="421"/>
      <c r="M30" s="421"/>
      <c r="N30" s="421"/>
    </row>
    <row r="31" spans="1:14" ht="51" x14ac:dyDescent="0.2">
      <c r="A31" s="419" t="s">
        <v>759</v>
      </c>
      <c r="B31" s="420">
        <v>138846</v>
      </c>
      <c r="C31" s="419" t="s">
        <v>760</v>
      </c>
      <c r="D31" s="421" t="s">
        <v>716</v>
      </c>
      <c r="E31" s="422">
        <v>15</v>
      </c>
      <c r="F31" s="423">
        <v>44930</v>
      </c>
      <c r="G31" s="421"/>
      <c r="H31" s="421"/>
      <c r="I31" s="421"/>
      <c r="J31" s="421"/>
      <c r="K31" s="421"/>
      <c r="L31" s="421"/>
      <c r="M31" s="421"/>
      <c r="N31" s="421"/>
    </row>
    <row r="32" spans="1:14" ht="76.5" x14ac:dyDescent="0.2">
      <c r="A32" s="419" t="s">
        <v>761</v>
      </c>
      <c r="B32" s="420">
        <v>113553</v>
      </c>
      <c r="C32" s="419" t="s">
        <v>762</v>
      </c>
      <c r="D32" s="421" t="s">
        <v>716</v>
      </c>
      <c r="E32" s="422">
        <v>15</v>
      </c>
      <c r="F32" s="423">
        <v>265000</v>
      </c>
      <c r="G32" s="421"/>
      <c r="H32" s="421"/>
      <c r="I32" s="421"/>
      <c r="J32" s="421"/>
      <c r="K32" s="421"/>
      <c r="L32" s="421"/>
      <c r="M32" s="421"/>
      <c r="N32" s="421"/>
    </row>
    <row r="33" spans="1:14" ht="63.75" x14ac:dyDescent="0.2">
      <c r="A33" s="419" t="s">
        <v>763</v>
      </c>
      <c r="B33" s="420">
        <v>270426</v>
      </c>
      <c r="C33" s="419" t="s">
        <v>764</v>
      </c>
      <c r="D33" s="421" t="s">
        <v>716</v>
      </c>
      <c r="E33" s="422">
        <v>23</v>
      </c>
      <c r="F33" s="423">
        <v>49200</v>
      </c>
      <c r="G33" s="421"/>
      <c r="H33" s="421"/>
      <c r="I33" s="421"/>
      <c r="J33" s="421"/>
      <c r="K33" s="421"/>
      <c r="L33" s="421"/>
      <c r="M33" s="421"/>
      <c r="N33" s="421"/>
    </row>
    <row r="34" spans="1:14" ht="63.75" x14ac:dyDescent="0.2">
      <c r="A34" s="419" t="s">
        <v>735</v>
      </c>
      <c r="B34" s="420">
        <v>382859</v>
      </c>
      <c r="C34" s="419" t="s">
        <v>765</v>
      </c>
      <c r="D34" s="421" t="s">
        <v>716</v>
      </c>
      <c r="E34" s="422">
        <v>6</v>
      </c>
      <c r="F34" s="423">
        <v>78475</v>
      </c>
      <c r="G34" s="421"/>
      <c r="H34" s="421"/>
      <c r="I34" s="421"/>
      <c r="J34" s="421"/>
      <c r="K34" s="421"/>
      <c r="L34" s="421"/>
      <c r="M34" s="421"/>
      <c r="N34" s="421"/>
    </row>
    <row r="35" spans="1:14" ht="63.75" x14ac:dyDescent="0.2">
      <c r="A35" s="419" t="s">
        <v>749</v>
      </c>
      <c r="B35" s="420">
        <v>270555</v>
      </c>
      <c r="C35" s="419" t="s">
        <v>766</v>
      </c>
      <c r="D35" s="421" t="s">
        <v>716</v>
      </c>
      <c r="E35" s="422">
        <v>22</v>
      </c>
      <c r="F35" s="423">
        <v>824665.5</v>
      </c>
      <c r="G35" s="421"/>
      <c r="H35" s="421"/>
      <c r="I35" s="421"/>
      <c r="J35" s="421"/>
      <c r="K35" s="421"/>
      <c r="L35" s="421"/>
      <c r="M35" s="421"/>
      <c r="N35" s="421"/>
    </row>
    <row r="36" spans="1:14" ht="51" x14ac:dyDescent="0.2">
      <c r="A36" s="419" t="s">
        <v>751</v>
      </c>
      <c r="B36" s="420">
        <v>138846</v>
      </c>
      <c r="C36" s="419" t="s">
        <v>767</v>
      </c>
      <c r="D36" s="421" t="s">
        <v>716</v>
      </c>
      <c r="E36" s="422">
        <v>21</v>
      </c>
      <c r="F36" s="423">
        <v>1196000</v>
      </c>
      <c r="G36" s="421"/>
      <c r="H36" s="421"/>
      <c r="I36" s="421"/>
      <c r="J36" s="421"/>
      <c r="K36" s="421"/>
      <c r="L36" s="421"/>
      <c r="M36" s="421"/>
      <c r="N36" s="421"/>
    </row>
    <row r="37" spans="1:14" ht="53.25" customHeight="1" x14ac:dyDescent="0.2">
      <c r="A37" s="419" t="s">
        <v>768</v>
      </c>
      <c r="B37" s="420">
        <v>332037</v>
      </c>
      <c r="C37" s="419" t="s">
        <v>769</v>
      </c>
      <c r="D37" s="421" t="s">
        <v>716</v>
      </c>
      <c r="E37" s="422">
        <v>5</v>
      </c>
      <c r="F37" s="425">
        <v>121230</v>
      </c>
      <c r="G37" s="421"/>
      <c r="H37" s="421"/>
      <c r="I37" s="421"/>
      <c r="J37" s="421"/>
      <c r="K37" s="421"/>
      <c r="L37" s="421"/>
      <c r="M37" s="421"/>
      <c r="N37" s="421"/>
    </row>
    <row r="38" spans="1:14" ht="63.75" x14ac:dyDescent="0.2">
      <c r="A38" s="419" t="s">
        <v>755</v>
      </c>
      <c r="B38" s="420">
        <v>113553</v>
      </c>
      <c r="C38" s="419" t="s">
        <v>756</v>
      </c>
      <c r="D38" s="421" t="s">
        <v>716</v>
      </c>
      <c r="E38" s="422">
        <v>2</v>
      </c>
      <c r="F38" s="425"/>
      <c r="G38" s="421"/>
      <c r="H38" s="421"/>
      <c r="I38" s="421"/>
      <c r="J38" s="421"/>
      <c r="K38" s="421"/>
      <c r="L38" s="421"/>
      <c r="M38" s="421"/>
      <c r="N38" s="421"/>
    </row>
    <row r="39" spans="1:14" ht="63.75" x14ac:dyDescent="0.2">
      <c r="A39" s="419" t="s">
        <v>770</v>
      </c>
      <c r="B39" s="420">
        <v>270555</v>
      </c>
      <c r="C39" s="419" t="s">
        <v>771</v>
      </c>
      <c r="D39" s="421" t="s">
        <v>716</v>
      </c>
      <c r="E39" s="422">
        <v>20</v>
      </c>
      <c r="F39" s="423">
        <v>43830</v>
      </c>
      <c r="G39" s="421"/>
      <c r="H39" s="421"/>
      <c r="I39" s="421"/>
      <c r="J39" s="421"/>
      <c r="K39" s="421"/>
      <c r="L39" s="421"/>
      <c r="M39" s="421"/>
      <c r="N39" s="421"/>
    </row>
    <row r="40" spans="1:14" ht="63.75" x14ac:dyDescent="0.2">
      <c r="A40" s="419" t="s">
        <v>772</v>
      </c>
      <c r="B40" s="420">
        <v>332037</v>
      </c>
      <c r="C40" s="419" t="s">
        <v>773</v>
      </c>
      <c r="D40" s="421" t="s">
        <v>716</v>
      </c>
      <c r="E40" s="422">
        <v>18</v>
      </c>
      <c r="F40" s="423">
        <v>182102</v>
      </c>
      <c r="G40" s="421"/>
      <c r="H40" s="421"/>
      <c r="I40" s="421"/>
      <c r="J40" s="421"/>
      <c r="K40" s="421"/>
      <c r="L40" s="421"/>
      <c r="M40" s="421"/>
      <c r="N40" s="421"/>
    </row>
    <row r="41" spans="1:14" ht="76.5" x14ac:dyDescent="0.2">
      <c r="A41" s="419" t="s">
        <v>747</v>
      </c>
      <c r="B41" s="420">
        <v>113553</v>
      </c>
      <c r="C41" s="419" t="s">
        <v>774</v>
      </c>
      <c r="D41" s="421" t="s">
        <v>716</v>
      </c>
      <c r="E41" s="422">
        <v>19</v>
      </c>
      <c r="F41" s="423">
        <v>55335</v>
      </c>
      <c r="G41" s="421"/>
      <c r="H41" s="421"/>
      <c r="I41" s="421"/>
      <c r="J41" s="421"/>
      <c r="K41" s="421"/>
      <c r="L41" s="421"/>
      <c r="M41" s="421"/>
      <c r="N41" s="421"/>
    </row>
    <row r="42" spans="1:14" ht="76.5" x14ac:dyDescent="0.2">
      <c r="A42" s="419" t="s">
        <v>775</v>
      </c>
      <c r="B42" s="420">
        <v>113553</v>
      </c>
      <c r="C42" s="419" t="s">
        <v>776</v>
      </c>
      <c r="D42" s="421" t="s">
        <v>716</v>
      </c>
      <c r="E42" s="422">
        <v>15</v>
      </c>
      <c r="F42" s="423">
        <v>265000</v>
      </c>
      <c r="G42" s="421"/>
      <c r="H42" s="421"/>
      <c r="I42" s="421"/>
      <c r="J42" s="421"/>
      <c r="K42" s="421"/>
      <c r="L42" s="421"/>
      <c r="M42" s="421"/>
      <c r="N42" s="421"/>
    </row>
    <row r="43" spans="1:14" ht="63.75" x14ac:dyDescent="0.2">
      <c r="A43" s="419" t="s">
        <v>777</v>
      </c>
      <c r="B43" s="420">
        <v>113553</v>
      </c>
      <c r="C43" s="419" t="s">
        <v>778</v>
      </c>
      <c r="D43" s="421" t="s">
        <v>716</v>
      </c>
      <c r="E43" s="422">
        <v>14</v>
      </c>
      <c r="F43" s="423">
        <v>52041.5</v>
      </c>
      <c r="G43" s="421"/>
      <c r="H43" s="421"/>
      <c r="I43" s="421"/>
      <c r="J43" s="421"/>
      <c r="K43" s="421"/>
      <c r="L43" s="421"/>
      <c r="M43" s="421"/>
      <c r="N43" s="421"/>
    </row>
    <row r="44" spans="1:14" ht="63.75" x14ac:dyDescent="0.2">
      <c r="A44" s="419" t="s">
        <v>779</v>
      </c>
      <c r="B44" s="420">
        <v>270555</v>
      </c>
      <c r="C44" s="419" t="s">
        <v>780</v>
      </c>
      <c r="D44" s="421" t="s">
        <v>716</v>
      </c>
      <c r="E44" s="422">
        <v>17</v>
      </c>
      <c r="F44" s="423">
        <v>638888.5</v>
      </c>
      <c r="G44" s="421"/>
      <c r="H44" s="421"/>
      <c r="I44" s="421"/>
      <c r="J44" s="421"/>
      <c r="K44" s="421"/>
      <c r="L44" s="421"/>
      <c r="M44" s="421"/>
      <c r="N44" s="421"/>
    </row>
    <row r="45" spans="1:14" ht="51" x14ac:dyDescent="0.2">
      <c r="A45" s="419" t="s">
        <v>781</v>
      </c>
      <c r="B45" s="420">
        <v>138846</v>
      </c>
      <c r="C45" s="419" t="s">
        <v>782</v>
      </c>
      <c r="D45" s="421" t="s">
        <v>716</v>
      </c>
      <c r="E45" s="422">
        <v>11</v>
      </c>
      <c r="F45" s="423">
        <v>455845</v>
      </c>
      <c r="G45" s="421"/>
      <c r="H45" s="421"/>
      <c r="I45" s="421"/>
      <c r="J45" s="421"/>
      <c r="K45" s="421"/>
      <c r="L45" s="421"/>
      <c r="M45" s="421"/>
      <c r="N45" s="421"/>
    </row>
    <row r="46" spans="1:14" ht="76.5" x14ac:dyDescent="0.2">
      <c r="A46" s="419" t="s">
        <v>783</v>
      </c>
      <c r="B46" s="420">
        <v>332037</v>
      </c>
      <c r="C46" s="419" t="s">
        <v>784</v>
      </c>
      <c r="D46" s="421" t="s">
        <v>716</v>
      </c>
      <c r="E46" s="422">
        <v>16</v>
      </c>
      <c r="F46" s="423">
        <v>237500</v>
      </c>
      <c r="G46" s="421"/>
      <c r="H46" s="421"/>
      <c r="I46" s="421"/>
      <c r="J46" s="421"/>
      <c r="K46" s="421"/>
      <c r="L46" s="421"/>
      <c r="M46" s="421"/>
      <c r="N46" s="421"/>
    </row>
    <row r="47" spans="1:14" ht="51" x14ac:dyDescent="0.2">
      <c r="A47" s="419" t="s">
        <v>785</v>
      </c>
      <c r="B47" s="420">
        <v>138846</v>
      </c>
      <c r="C47" s="419" t="s">
        <v>786</v>
      </c>
      <c r="D47" s="421" t="s">
        <v>716</v>
      </c>
      <c r="E47" s="422">
        <v>10</v>
      </c>
      <c r="F47" s="423">
        <v>366000</v>
      </c>
      <c r="G47" s="421"/>
      <c r="H47" s="421"/>
      <c r="I47" s="421"/>
      <c r="J47" s="421"/>
      <c r="K47" s="421"/>
      <c r="L47" s="421"/>
      <c r="M47" s="421"/>
      <c r="N47" s="421"/>
    </row>
    <row r="48" spans="1:14" ht="63.75" x14ac:dyDescent="0.2">
      <c r="A48" s="419" t="s">
        <v>787</v>
      </c>
      <c r="B48" s="420">
        <v>382859</v>
      </c>
      <c r="C48" s="419" t="s">
        <v>788</v>
      </c>
      <c r="D48" s="421" t="s">
        <v>716</v>
      </c>
      <c r="E48" s="422">
        <v>13</v>
      </c>
      <c r="F48" s="423">
        <v>662500</v>
      </c>
      <c r="G48" s="421"/>
      <c r="H48" s="421"/>
      <c r="I48" s="421"/>
      <c r="J48" s="421"/>
      <c r="K48" s="421"/>
      <c r="L48" s="421"/>
      <c r="M48" s="421"/>
      <c r="N48" s="421"/>
    </row>
    <row r="49" spans="1:14" ht="63.75" x14ac:dyDescent="0.2">
      <c r="A49" s="419" t="s">
        <v>789</v>
      </c>
      <c r="B49" s="420">
        <v>382859</v>
      </c>
      <c r="C49" s="419" t="s">
        <v>790</v>
      </c>
      <c r="D49" s="421" t="s">
        <v>716</v>
      </c>
      <c r="E49" s="422">
        <v>12</v>
      </c>
      <c r="F49" s="423">
        <v>490630</v>
      </c>
      <c r="G49" s="421"/>
      <c r="H49" s="421"/>
      <c r="I49" s="421"/>
      <c r="J49" s="421"/>
      <c r="K49" s="421"/>
      <c r="L49" s="421"/>
      <c r="M49" s="421"/>
      <c r="N49" s="421"/>
    </row>
    <row r="50" spans="1:14" ht="63.75" x14ac:dyDescent="0.2">
      <c r="A50" s="419" t="s">
        <v>791</v>
      </c>
      <c r="B50" s="420">
        <v>2110568</v>
      </c>
      <c r="C50" s="419" t="s">
        <v>792</v>
      </c>
      <c r="D50" s="421" t="s">
        <v>716</v>
      </c>
      <c r="E50" s="422">
        <v>9</v>
      </c>
      <c r="F50" s="423">
        <v>50525</v>
      </c>
      <c r="G50" s="421"/>
      <c r="H50" s="421"/>
      <c r="I50" s="421"/>
      <c r="J50" s="421"/>
      <c r="K50" s="421"/>
      <c r="L50" s="421"/>
      <c r="M50" s="421"/>
      <c r="N50" s="421"/>
    </row>
    <row r="51" spans="1:14" ht="63.75" x14ac:dyDescent="0.2">
      <c r="A51" s="419" t="s">
        <v>793</v>
      </c>
      <c r="B51" s="420">
        <v>2110580</v>
      </c>
      <c r="C51" s="419" t="s">
        <v>794</v>
      </c>
      <c r="D51" s="421" t="s">
        <v>716</v>
      </c>
      <c r="E51" s="422">
        <v>8</v>
      </c>
      <c r="F51" s="423">
        <v>50595.5</v>
      </c>
      <c r="G51" s="421"/>
      <c r="H51" s="421"/>
      <c r="I51" s="421"/>
      <c r="J51" s="421"/>
      <c r="K51" s="421"/>
      <c r="L51" s="421"/>
      <c r="M51" s="421"/>
      <c r="N51" s="421"/>
    </row>
    <row r="52" spans="1:14" ht="51" x14ac:dyDescent="0.2">
      <c r="A52" s="419" t="s">
        <v>795</v>
      </c>
      <c r="B52" s="420">
        <v>138846</v>
      </c>
      <c r="C52" s="419" t="s">
        <v>796</v>
      </c>
      <c r="D52" s="421" t="s">
        <v>716</v>
      </c>
      <c r="E52" s="422">
        <v>7</v>
      </c>
      <c r="F52" s="423">
        <v>467500</v>
      </c>
      <c r="G52" s="421"/>
      <c r="H52" s="421"/>
      <c r="I52" s="421"/>
      <c r="J52" s="421"/>
      <c r="K52" s="421"/>
      <c r="L52" s="421"/>
      <c r="M52" s="421"/>
      <c r="N52" s="421"/>
    </row>
    <row r="53" spans="1:14" ht="63.75" x14ac:dyDescent="0.2">
      <c r="A53" s="419" t="s">
        <v>797</v>
      </c>
      <c r="B53" s="420">
        <v>138846</v>
      </c>
      <c r="C53" s="419" t="s">
        <v>798</v>
      </c>
      <c r="D53" s="421" t="s">
        <v>716</v>
      </c>
      <c r="E53" s="422">
        <v>6</v>
      </c>
      <c r="F53" s="423">
        <v>684000</v>
      </c>
      <c r="G53" s="421"/>
      <c r="H53" s="421"/>
      <c r="I53" s="421"/>
      <c r="J53" s="421"/>
      <c r="K53" s="421"/>
      <c r="L53" s="421"/>
      <c r="M53" s="421"/>
      <c r="N53" s="421"/>
    </row>
    <row r="54" spans="1:14" ht="76.5" x14ac:dyDescent="0.2">
      <c r="A54" s="419" t="s">
        <v>799</v>
      </c>
      <c r="B54" s="420">
        <v>332037</v>
      </c>
      <c r="C54" s="419" t="s">
        <v>800</v>
      </c>
      <c r="D54" s="421" t="s">
        <v>716</v>
      </c>
      <c r="E54" s="422">
        <v>4</v>
      </c>
      <c r="F54" s="423">
        <v>433604.6</v>
      </c>
      <c r="G54" s="421"/>
      <c r="H54" s="421"/>
      <c r="I54" s="421"/>
      <c r="J54" s="421"/>
      <c r="K54" s="421"/>
      <c r="L54" s="421"/>
      <c r="M54" s="421"/>
      <c r="N54" s="421"/>
    </row>
    <row r="55" spans="1:14" ht="63.75" x14ac:dyDescent="0.2">
      <c r="A55" s="419" t="s">
        <v>801</v>
      </c>
      <c r="B55" s="420">
        <v>2110580</v>
      </c>
      <c r="C55" s="419" t="s">
        <v>802</v>
      </c>
      <c r="D55" s="421" t="s">
        <v>716</v>
      </c>
      <c r="E55" s="422">
        <v>5</v>
      </c>
      <c r="F55" s="423">
        <v>52896</v>
      </c>
      <c r="G55" s="421"/>
      <c r="H55" s="421"/>
      <c r="I55" s="421"/>
      <c r="J55" s="421"/>
      <c r="K55" s="421"/>
      <c r="L55" s="421"/>
      <c r="M55" s="421"/>
      <c r="N55" s="421"/>
    </row>
    <row r="56" spans="1:14" ht="76.5" x14ac:dyDescent="0.2">
      <c r="A56" s="419" t="s">
        <v>803</v>
      </c>
      <c r="B56" s="420">
        <v>2456035</v>
      </c>
      <c r="C56" s="419" t="s">
        <v>804</v>
      </c>
      <c r="D56" s="421" t="s">
        <v>716</v>
      </c>
      <c r="E56" s="422">
        <v>3</v>
      </c>
      <c r="F56" s="423">
        <v>140225</v>
      </c>
      <c r="G56" s="421"/>
      <c r="H56" s="421"/>
      <c r="I56" s="421"/>
      <c r="J56" s="421"/>
      <c r="K56" s="421"/>
      <c r="L56" s="421"/>
      <c r="M56" s="421"/>
      <c r="N56" s="421"/>
    </row>
    <row r="57" spans="1:14" ht="63.75" x14ac:dyDescent="0.2">
      <c r="A57" s="419" t="s">
        <v>805</v>
      </c>
      <c r="B57" s="420">
        <v>290594</v>
      </c>
      <c r="C57" s="419" t="s">
        <v>806</v>
      </c>
      <c r="D57" s="421" t="s">
        <v>716</v>
      </c>
      <c r="E57" s="422">
        <v>2</v>
      </c>
      <c r="F57" s="423">
        <v>114950</v>
      </c>
      <c r="G57" s="421"/>
      <c r="H57" s="421"/>
      <c r="I57" s="421"/>
      <c r="J57" s="421"/>
      <c r="K57" s="421"/>
      <c r="L57" s="421"/>
      <c r="M57" s="421"/>
      <c r="N57" s="421"/>
    </row>
    <row r="58" spans="1:14" ht="63.75" x14ac:dyDescent="0.2">
      <c r="A58" s="419" t="s">
        <v>807</v>
      </c>
      <c r="B58" s="420">
        <v>290594</v>
      </c>
      <c r="C58" s="419" t="s">
        <v>808</v>
      </c>
      <c r="D58" s="421" t="s">
        <v>716</v>
      </c>
      <c r="E58" s="422">
        <v>1</v>
      </c>
      <c r="F58" s="423">
        <v>44850</v>
      </c>
      <c r="G58" s="421"/>
      <c r="H58" s="421"/>
      <c r="I58" s="421"/>
      <c r="J58" s="421"/>
      <c r="K58" s="421"/>
      <c r="L58" s="421"/>
      <c r="M58" s="421"/>
      <c r="N58" s="421"/>
    </row>
    <row r="59" spans="1:14" ht="51" x14ac:dyDescent="0.2">
      <c r="A59" s="419" t="s">
        <v>809</v>
      </c>
      <c r="B59" s="420">
        <v>290594</v>
      </c>
      <c r="C59" s="419" t="s">
        <v>810</v>
      </c>
      <c r="D59" s="421" t="s">
        <v>716</v>
      </c>
      <c r="E59" s="422">
        <v>1</v>
      </c>
      <c r="F59" s="423">
        <v>95155</v>
      </c>
      <c r="G59" s="421"/>
      <c r="H59" s="421"/>
      <c r="I59" s="421"/>
      <c r="J59" s="421"/>
      <c r="K59" s="421"/>
      <c r="L59" s="421"/>
      <c r="M59" s="421"/>
      <c r="N59" s="421"/>
    </row>
    <row r="60" spans="1:14" ht="76.5" x14ac:dyDescent="0.2">
      <c r="A60" s="419" t="s">
        <v>811</v>
      </c>
      <c r="B60" s="420">
        <v>113553</v>
      </c>
      <c r="C60" s="419" t="s">
        <v>812</v>
      </c>
      <c r="D60" s="421" t="s">
        <v>716</v>
      </c>
      <c r="E60" s="422">
        <v>4</v>
      </c>
      <c r="F60" s="426">
        <v>265000</v>
      </c>
      <c r="G60" s="421"/>
      <c r="H60" s="421"/>
      <c r="I60" s="421"/>
      <c r="J60" s="421"/>
      <c r="K60" s="421"/>
      <c r="L60" s="421"/>
      <c r="M60" s="421"/>
      <c r="N60" s="421"/>
    </row>
    <row r="61" spans="1:14" ht="63.75" x14ac:dyDescent="0.2">
      <c r="A61" s="419" t="s">
        <v>813</v>
      </c>
      <c r="B61" s="420"/>
      <c r="C61" s="419" t="s">
        <v>814</v>
      </c>
      <c r="D61" s="421" t="s">
        <v>716</v>
      </c>
      <c r="E61" s="422">
        <v>35</v>
      </c>
      <c r="F61" s="426">
        <v>46000</v>
      </c>
      <c r="G61" s="421"/>
      <c r="H61" s="421"/>
      <c r="I61" s="421"/>
      <c r="J61" s="421"/>
      <c r="K61" s="421"/>
      <c r="L61" s="421"/>
      <c r="M61" s="421"/>
      <c r="N61" s="421"/>
    </row>
    <row r="62" spans="1:14" ht="76.5" x14ac:dyDescent="0.2">
      <c r="A62" s="419" t="s">
        <v>815</v>
      </c>
      <c r="B62" s="420">
        <v>169343</v>
      </c>
      <c r="C62" s="419" t="s">
        <v>816</v>
      </c>
      <c r="D62" s="421" t="s">
        <v>716</v>
      </c>
      <c r="E62" s="422">
        <v>3</v>
      </c>
      <c r="F62" s="426">
        <v>85000</v>
      </c>
      <c r="G62" s="421"/>
      <c r="H62" s="421"/>
      <c r="I62" s="421"/>
      <c r="J62" s="421"/>
      <c r="K62" s="421"/>
      <c r="L62" s="421"/>
      <c r="M62" s="421"/>
      <c r="N62" s="421"/>
    </row>
    <row r="63" spans="1:14" ht="76.5" x14ac:dyDescent="0.2">
      <c r="A63" s="419" t="s">
        <v>815</v>
      </c>
      <c r="B63" s="420">
        <v>169343</v>
      </c>
      <c r="C63" s="419" t="s">
        <v>817</v>
      </c>
      <c r="D63" s="421" t="s">
        <v>716</v>
      </c>
      <c r="E63" s="422">
        <v>3</v>
      </c>
      <c r="F63" s="426">
        <v>85000</v>
      </c>
      <c r="G63" s="421"/>
      <c r="H63" s="421"/>
      <c r="I63" s="421"/>
      <c r="J63" s="421"/>
      <c r="K63" s="421"/>
      <c r="L63" s="421"/>
      <c r="M63" s="421"/>
      <c r="N63" s="421"/>
    </row>
    <row r="64" spans="1:14" ht="89.25" x14ac:dyDescent="0.2">
      <c r="A64" s="419" t="s">
        <v>818</v>
      </c>
      <c r="B64" s="420">
        <v>113553</v>
      </c>
      <c r="C64" s="419" t="s">
        <v>819</v>
      </c>
      <c r="D64" s="421" t="s">
        <v>716</v>
      </c>
      <c r="E64" s="422">
        <v>22</v>
      </c>
      <c r="F64" s="427">
        <v>100000</v>
      </c>
      <c r="G64" s="421"/>
      <c r="H64" s="421"/>
      <c r="I64" s="421"/>
      <c r="J64" s="421"/>
      <c r="K64" s="421"/>
      <c r="L64" s="421"/>
      <c r="M64" s="421"/>
      <c r="N64" s="421"/>
    </row>
    <row r="65" spans="1:14" ht="63.75" x14ac:dyDescent="0.2">
      <c r="A65" s="419" t="s">
        <v>820</v>
      </c>
      <c r="B65" s="420">
        <v>138846</v>
      </c>
      <c r="C65" s="419" t="s">
        <v>821</v>
      </c>
      <c r="D65" s="421" t="s">
        <v>716</v>
      </c>
      <c r="E65" s="422">
        <v>12</v>
      </c>
      <c r="F65" s="427">
        <v>41250</v>
      </c>
      <c r="G65" s="421"/>
      <c r="H65" s="421"/>
      <c r="I65" s="421"/>
      <c r="J65" s="421"/>
      <c r="K65" s="421"/>
      <c r="L65" s="421"/>
      <c r="M65" s="421"/>
      <c r="N65" s="421"/>
    </row>
    <row r="66" spans="1:14" ht="76.5" x14ac:dyDescent="0.2">
      <c r="A66" s="419" t="s">
        <v>811</v>
      </c>
      <c r="B66" s="420">
        <v>113553</v>
      </c>
      <c r="C66" s="419" t="s">
        <v>822</v>
      </c>
      <c r="D66" s="421" t="s">
        <v>716</v>
      </c>
      <c r="E66" s="422">
        <v>4</v>
      </c>
      <c r="F66" s="427">
        <v>289000</v>
      </c>
      <c r="G66" s="421"/>
      <c r="H66" s="421"/>
      <c r="I66" s="421"/>
      <c r="J66" s="421"/>
      <c r="K66" s="421"/>
      <c r="L66" s="421"/>
      <c r="M66" s="421"/>
      <c r="N66" s="421"/>
    </row>
    <row r="67" spans="1:14" ht="77.25" thickBot="1" x14ac:dyDescent="0.25">
      <c r="A67" s="419" t="s">
        <v>815</v>
      </c>
      <c r="B67" s="420">
        <v>169343</v>
      </c>
      <c r="C67" s="419" t="s">
        <v>823</v>
      </c>
      <c r="D67" s="421" t="s">
        <v>716</v>
      </c>
      <c r="E67" s="422">
        <v>3</v>
      </c>
      <c r="F67" s="427">
        <v>85000</v>
      </c>
      <c r="G67" s="421"/>
      <c r="H67" s="421"/>
      <c r="I67" s="421"/>
      <c r="J67" s="421"/>
      <c r="K67" s="421"/>
      <c r="L67" s="421"/>
      <c r="M67" s="421"/>
      <c r="N67" s="421"/>
    </row>
    <row r="68" spans="1:14" ht="12.75" thickBot="1" x14ac:dyDescent="0.25">
      <c r="A68" s="428" t="s">
        <v>0</v>
      </c>
      <c r="B68" s="429"/>
      <c r="C68" s="430"/>
      <c r="D68" s="431"/>
      <c r="E68" s="432"/>
      <c r="F68" s="433">
        <f>SUM(F6:F67)</f>
        <v>14126257.289999999</v>
      </c>
      <c r="G68" s="430"/>
      <c r="H68" s="430"/>
      <c r="I68" s="430"/>
      <c r="J68" s="430"/>
      <c r="K68" s="430"/>
      <c r="L68" s="430"/>
      <c r="M68" s="430"/>
      <c r="N68" s="430"/>
    </row>
    <row r="69" spans="1:14" ht="24" x14ac:dyDescent="0.2">
      <c r="A69" s="434" t="s">
        <v>328</v>
      </c>
      <c r="B69" s="408"/>
      <c r="C69" s="408"/>
      <c r="D69" s="408"/>
      <c r="E69" s="409"/>
      <c r="F69" s="410"/>
      <c r="G69" s="408"/>
      <c r="H69" s="408"/>
      <c r="I69" s="408"/>
      <c r="J69" s="408"/>
      <c r="K69" s="408"/>
      <c r="L69" s="408"/>
    </row>
    <row r="70" spans="1:14" x14ac:dyDescent="0.2">
      <c r="A70" s="435"/>
      <c r="B70" s="435"/>
    </row>
    <row r="71" spans="1:14" x14ac:dyDescent="0.2">
      <c r="A71" s="435" t="s">
        <v>824</v>
      </c>
    </row>
    <row r="72" spans="1:14" x14ac:dyDescent="0.2">
      <c r="A72" s="435" t="s">
        <v>825</v>
      </c>
    </row>
    <row r="73" spans="1:14" x14ac:dyDescent="0.2">
      <c r="A73" s="435"/>
    </row>
  </sheetData>
  <printOptions horizontalCentered="1"/>
  <pageMargins left="0.19685039370078741" right="0.19685039370078741" top="0.74803149606299213" bottom="0.74803149606299213" header="0.31496062992125984" footer="0.31496062992125984"/>
  <pageSetup paperSize="9" scale="70" orientation="landscape" r:id="rId1"/>
  <headerFooter alignWithMargins="0">
    <oddHeader xml:space="preserve">&amp;C&amp;"Arial,Negrita"&amp;18PROYECTO DE PRESUPUESTO 2022
</oddHeader>
    <oddFooter>&amp;L&amp;"Arial,Negrita"&amp;8PROYECTO DE PRESUPUESTO PARA EL AÑO FISCAL 2022
INFORMACIÓN PARA LA COMISIÓN DE PRESUPUESTO Y CUENTA GENERAL DE LA REPÚBLICA DEL CONGRESO DE LA REPÚBLICA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F1445-558A-4677-AA6D-F69484ADFC41}">
  <sheetPr>
    <tabColor theme="9" tint="-0.249977111117893"/>
  </sheetPr>
  <dimension ref="A1:Y18"/>
  <sheetViews>
    <sheetView zoomScaleNormal="100" zoomScaleSheetLayoutView="100" zoomScalePageLayoutView="85" workbookViewId="0">
      <selection activeCell="B5" sqref="B5:E5"/>
    </sheetView>
  </sheetViews>
  <sheetFormatPr baseColWidth="10" defaultRowHeight="12" x14ac:dyDescent="0.2"/>
  <cols>
    <col min="1" max="1" width="45.7109375" style="238" customWidth="1"/>
    <col min="2" max="3" width="20.28515625" style="238" customWidth="1"/>
    <col min="4" max="5" width="17.7109375" style="238" customWidth="1"/>
    <col min="6" max="6" width="17.140625" style="238" bestFit="1" customWidth="1"/>
    <col min="7" max="7" width="13.85546875" style="238" bestFit="1" customWidth="1"/>
    <col min="8" max="8" width="17.5703125" style="238" bestFit="1" customWidth="1"/>
    <col min="9" max="9" width="17" style="238" bestFit="1" customWidth="1"/>
    <col min="10" max="10" width="15.140625" style="238" bestFit="1" customWidth="1"/>
    <col min="11" max="256" width="11.42578125" style="238"/>
    <col min="257" max="257" width="45.7109375" style="238" customWidth="1"/>
    <col min="258" max="259" width="20.28515625" style="238" customWidth="1"/>
    <col min="260" max="265" width="17.7109375" style="238" customWidth="1"/>
    <col min="266" max="266" width="36.42578125" style="238" customWidth="1"/>
    <col min="267" max="512" width="11.42578125" style="238"/>
    <col min="513" max="513" width="45.7109375" style="238" customWidth="1"/>
    <col min="514" max="515" width="20.28515625" style="238" customWidth="1"/>
    <col min="516" max="521" width="17.7109375" style="238" customWidth="1"/>
    <col min="522" max="522" width="36.42578125" style="238" customWidth="1"/>
    <col min="523" max="768" width="11.42578125" style="238"/>
    <col min="769" max="769" width="45.7109375" style="238" customWidth="1"/>
    <col min="770" max="771" width="20.28515625" style="238" customWidth="1"/>
    <col min="772" max="777" width="17.7109375" style="238" customWidth="1"/>
    <col min="778" max="778" width="36.42578125" style="238" customWidth="1"/>
    <col min="779" max="1024" width="11.42578125" style="238"/>
    <col min="1025" max="1025" width="45.7109375" style="238" customWidth="1"/>
    <col min="1026" max="1027" width="20.28515625" style="238" customWidth="1"/>
    <col min="1028" max="1033" width="17.7109375" style="238" customWidth="1"/>
    <col min="1034" max="1034" width="36.42578125" style="238" customWidth="1"/>
    <col min="1035" max="1280" width="11.42578125" style="238"/>
    <col min="1281" max="1281" width="45.7109375" style="238" customWidth="1"/>
    <col min="1282" max="1283" width="20.28515625" style="238" customWidth="1"/>
    <col min="1284" max="1289" width="17.7109375" style="238" customWidth="1"/>
    <col min="1290" max="1290" width="36.42578125" style="238" customWidth="1"/>
    <col min="1291" max="1536" width="11.42578125" style="238"/>
    <col min="1537" max="1537" width="45.7109375" style="238" customWidth="1"/>
    <col min="1538" max="1539" width="20.28515625" style="238" customWidth="1"/>
    <col min="1540" max="1545" width="17.7109375" style="238" customWidth="1"/>
    <col min="1546" max="1546" width="36.42578125" style="238" customWidth="1"/>
    <col min="1547" max="1792" width="11.42578125" style="238"/>
    <col min="1793" max="1793" width="45.7109375" style="238" customWidth="1"/>
    <col min="1794" max="1795" width="20.28515625" style="238" customWidth="1"/>
    <col min="1796" max="1801" width="17.7109375" style="238" customWidth="1"/>
    <col min="1802" max="1802" width="36.42578125" style="238" customWidth="1"/>
    <col min="1803" max="2048" width="11.42578125" style="238"/>
    <col min="2049" max="2049" width="45.7109375" style="238" customWidth="1"/>
    <col min="2050" max="2051" width="20.28515625" style="238" customWidth="1"/>
    <col min="2052" max="2057" width="17.7109375" style="238" customWidth="1"/>
    <col min="2058" max="2058" width="36.42578125" style="238" customWidth="1"/>
    <col min="2059" max="2304" width="11.42578125" style="238"/>
    <col min="2305" max="2305" width="45.7109375" style="238" customWidth="1"/>
    <col min="2306" max="2307" width="20.28515625" style="238" customWidth="1"/>
    <col min="2308" max="2313" width="17.7109375" style="238" customWidth="1"/>
    <col min="2314" max="2314" width="36.42578125" style="238" customWidth="1"/>
    <col min="2315" max="2560" width="11.42578125" style="238"/>
    <col min="2561" max="2561" width="45.7109375" style="238" customWidth="1"/>
    <col min="2562" max="2563" width="20.28515625" style="238" customWidth="1"/>
    <col min="2564" max="2569" width="17.7109375" style="238" customWidth="1"/>
    <col min="2570" max="2570" width="36.42578125" style="238" customWidth="1"/>
    <col min="2571" max="2816" width="11.42578125" style="238"/>
    <col min="2817" max="2817" width="45.7109375" style="238" customWidth="1"/>
    <col min="2818" max="2819" width="20.28515625" style="238" customWidth="1"/>
    <col min="2820" max="2825" width="17.7109375" style="238" customWidth="1"/>
    <col min="2826" max="2826" width="36.42578125" style="238" customWidth="1"/>
    <col min="2827" max="3072" width="11.42578125" style="238"/>
    <col min="3073" max="3073" width="45.7109375" style="238" customWidth="1"/>
    <col min="3074" max="3075" width="20.28515625" style="238" customWidth="1"/>
    <col min="3076" max="3081" width="17.7109375" style="238" customWidth="1"/>
    <col min="3082" max="3082" width="36.42578125" style="238" customWidth="1"/>
    <col min="3083" max="3328" width="11.42578125" style="238"/>
    <col min="3329" max="3329" width="45.7109375" style="238" customWidth="1"/>
    <col min="3330" max="3331" width="20.28515625" style="238" customWidth="1"/>
    <col min="3332" max="3337" width="17.7109375" style="238" customWidth="1"/>
    <col min="3338" max="3338" width="36.42578125" style="238" customWidth="1"/>
    <col min="3339" max="3584" width="11.42578125" style="238"/>
    <col min="3585" max="3585" width="45.7109375" style="238" customWidth="1"/>
    <col min="3586" max="3587" width="20.28515625" style="238" customWidth="1"/>
    <col min="3588" max="3593" width="17.7109375" style="238" customWidth="1"/>
    <col min="3594" max="3594" width="36.42578125" style="238" customWidth="1"/>
    <col min="3595" max="3840" width="11.42578125" style="238"/>
    <col min="3841" max="3841" width="45.7109375" style="238" customWidth="1"/>
    <col min="3842" max="3843" width="20.28515625" style="238" customWidth="1"/>
    <col min="3844" max="3849" width="17.7109375" style="238" customWidth="1"/>
    <col min="3850" max="3850" width="36.42578125" style="238" customWidth="1"/>
    <col min="3851" max="4096" width="11.42578125" style="238"/>
    <col min="4097" max="4097" width="45.7109375" style="238" customWidth="1"/>
    <col min="4098" max="4099" width="20.28515625" style="238" customWidth="1"/>
    <col min="4100" max="4105" width="17.7109375" style="238" customWidth="1"/>
    <col min="4106" max="4106" width="36.42578125" style="238" customWidth="1"/>
    <col min="4107" max="4352" width="11.42578125" style="238"/>
    <col min="4353" max="4353" width="45.7109375" style="238" customWidth="1"/>
    <col min="4354" max="4355" width="20.28515625" style="238" customWidth="1"/>
    <col min="4356" max="4361" width="17.7109375" style="238" customWidth="1"/>
    <col min="4362" max="4362" width="36.42578125" style="238" customWidth="1"/>
    <col min="4363" max="4608" width="11.42578125" style="238"/>
    <col min="4609" max="4609" width="45.7109375" style="238" customWidth="1"/>
    <col min="4610" max="4611" width="20.28515625" style="238" customWidth="1"/>
    <col min="4612" max="4617" width="17.7109375" style="238" customWidth="1"/>
    <col min="4618" max="4618" width="36.42578125" style="238" customWidth="1"/>
    <col min="4619" max="4864" width="11.42578125" style="238"/>
    <col min="4865" max="4865" width="45.7109375" style="238" customWidth="1"/>
    <col min="4866" max="4867" width="20.28515625" style="238" customWidth="1"/>
    <col min="4868" max="4873" width="17.7109375" style="238" customWidth="1"/>
    <col min="4874" max="4874" width="36.42578125" style="238" customWidth="1"/>
    <col min="4875" max="5120" width="11.42578125" style="238"/>
    <col min="5121" max="5121" width="45.7109375" style="238" customWidth="1"/>
    <col min="5122" max="5123" width="20.28515625" style="238" customWidth="1"/>
    <col min="5124" max="5129" width="17.7109375" style="238" customWidth="1"/>
    <col min="5130" max="5130" width="36.42578125" style="238" customWidth="1"/>
    <col min="5131" max="5376" width="11.42578125" style="238"/>
    <col min="5377" max="5377" width="45.7109375" style="238" customWidth="1"/>
    <col min="5378" max="5379" width="20.28515625" style="238" customWidth="1"/>
    <col min="5380" max="5385" width="17.7109375" style="238" customWidth="1"/>
    <col min="5386" max="5386" width="36.42578125" style="238" customWidth="1"/>
    <col min="5387" max="5632" width="11.42578125" style="238"/>
    <col min="5633" max="5633" width="45.7109375" style="238" customWidth="1"/>
    <col min="5634" max="5635" width="20.28515625" style="238" customWidth="1"/>
    <col min="5636" max="5641" width="17.7109375" style="238" customWidth="1"/>
    <col min="5642" max="5642" width="36.42578125" style="238" customWidth="1"/>
    <col min="5643" max="5888" width="11.42578125" style="238"/>
    <col min="5889" max="5889" width="45.7109375" style="238" customWidth="1"/>
    <col min="5890" max="5891" width="20.28515625" style="238" customWidth="1"/>
    <col min="5892" max="5897" width="17.7109375" style="238" customWidth="1"/>
    <col min="5898" max="5898" width="36.42578125" style="238" customWidth="1"/>
    <col min="5899" max="6144" width="11.42578125" style="238"/>
    <col min="6145" max="6145" width="45.7109375" style="238" customWidth="1"/>
    <col min="6146" max="6147" width="20.28515625" style="238" customWidth="1"/>
    <col min="6148" max="6153" width="17.7109375" style="238" customWidth="1"/>
    <col min="6154" max="6154" width="36.42578125" style="238" customWidth="1"/>
    <col min="6155" max="6400" width="11.42578125" style="238"/>
    <col min="6401" max="6401" width="45.7109375" style="238" customWidth="1"/>
    <col min="6402" max="6403" width="20.28515625" style="238" customWidth="1"/>
    <col min="6404" max="6409" width="17.7109375" style="238" customWidth="1"/>
    <col min="6410" max="6410" width="36.42578125" style="238" customWidth="1"/>
    <col min="6411" max="6656" width="11.42578125" style="238"/>
    <col min="6657" max="6657" width="45.7109375" style="238" customWidth="1"/>
    <col min="6658" max="6659" width="20.28515625" style="238" customWidth="1"/>
    <col min="6660" max="6665" width="17.7109375" style="238" customWidth="1"/>
    <col min="6666" max="6666" width="36.42578125" style="238" customWidth="1"/>
    <col min="6667" max="6912" width="11.42578125" style="238"/>
    <col min="6913" max="6913" width="45.7109375" style="238" customWidth="1"/>
    <col min="6914" max="6915" width="20.28515625" style="238" customWidth="1"/>
    <col min="6916" max="6921" width="17.7109375" style="238" customWidth="1"/>
    <col min="6922" max="6922" width="36.42578125" style="238" customWidth="1"/>
    <col min="6923" max="7168" width="11.42578125" style="238"/>
    <col min="7169" max="7169" width="45.7109375" style="238" customWidth="1"/>
    <col min="7170" max="7171" width="20.28515625" style="238" customWidth="1"/>
    <col min="7172" max="7177" width="17.7109375" style="238" customWidth="1"/>
    <col min="7178" max="7178" width="36.42578125" style="238" customWidth="1"/>
    <col min="7179" max="7424" width="11.42578125" style="238"/>
    <col min="7425" max="7425" width="45.7109375" style="238" customWidth="1"/>
    <col min="7426" max="7427" width="20.28515625" style="238" customWidth="1"/>
    <col min="7428" max="7433" width="17.7109375" style="238" customWidth="1"/>
    <col min="7434" max="7434" width="36.42578125" style="238" customWidth="1"/>
    <col min="7435" max="7680" width="11.42578125" style="238"/>
    <col min="7681" max="7681" width="45.7109375" style="238" customWidth="1"/>
    <col min="7682" max="7683" width="20.28515625" style="238" customWidth="1"/>
    <col min="7684" max="7689" width="17.7109375" style="238" customWidth="1"/>
    <col min="7690" max="7690" width="36.42578125" style="238" customWidth="1"/>
    <col min="7691" max="7936" width="11.42578125" style="238"/>
    <col min="7937" max="7937" width="45.7109375" style="238" customWidth="1"/>
    <col min="7938" max="7939" width="20.28515625" style="238" customWidth="1"/>
    <col min="7940" max="7945" width="17.7109375" style="238" customWidth="1"/>
    <col min="7946" max="7946" width="36.42578125" style="238" customWidth="1"/>
    <col min="7947" max="8192" width="11.42578125" style="238"/>
    <col min="8193" max="8193" width="45.7109375" style="238" customWidth="1"/>
    <col min="8194" max="8195" width="20.28515625" style="238" customWidth="1"/>
    <col min="8196" max="8201" width="17.7109375" style="238" customWidth="1"/>
    <col min="8202" max="8202" width="36.42578125" style="238" customWidth="1"/>
    <col min="8203" max="8448" width="11.42578125" style="238"/>
    <col min="8449" max="8449" width="45.7109375" style="238" customWidth="1"/>
    <col min="8450" max="8451" width="20.28515625" style="238" customWidth="1"/>
    <col min="8452" max="8457" width="17.7109375" style="238" customWidth="1"/>
    <col min="8458" max="8458" width="36.42578125" style="238" customWidth="1"/>
    <col min="8459" max="8704" width="11.42578125" style="238"/>
    <col min="8705" max="8705" width="45.7109375" style="238" customWidth="1"/>
    <col min="8706" max="8707" width="20.28515625" style="238" customWidth="1"/>
    <col min="8708" max="8713" width="17.7109375" style="238" customWidth="1"/>
    <col min="8714" max="8714" width="36.42578125" style="238" customWidth="1"/>
    <col min="8715" max="8960" width="11.42578125" style="238"/>
    <col min="8961" max="8961" width="45.7109375" style="238" customWidth="1"/>
    <col min="8962" max="8963" width="20.28515625" style="238" customWidth="1"/>
    <col min="8964" max="8969" width="17.7109375" style="238" customWidth="1"/>
    <col min="8970" max="8970" width="36.42578125" style="238" customWidth="1"/>
    <col min="8971" max="9216" width="11.42578125" style="238"/>
    <col min="9217" max="9217" width="45.7109375" style="238" customWidth="1"/>
    <col min="9218" max="9219" width="20.28515625" style="238" customWidth="1"/>
    <col min="9220" max="9225" width="17.7109375" style="238" customWidth="1"/>
    <col min="9226" max="9226" width="36.42578125" style="238" customWidth="1"/>
    <col min="9227" max="9472" width="11.42578125" style="238"/>
    <col min="9473" max="9473" width="45.7109375" style="238" customWidth="1"/>
    <col min="9474" max="9475" width="20.28515625" style="238" customWidth="1"/>
    <col min="9476" max="9481" width="17.7109375" style="238" customWidth="1"/>
    <col min="9482" max="9482" width="36.42578125" style="238" customWidth="1"/>
    <col min="9483" max="9728" width="11.42578125" style="238"/>
    <col min="9729" max="9729" width="45.7109375" style="238" customWidth="1"/>
    <col min="9730" max="9731" width="20.28515625" style="238" customWidth="1"/>
    <col min="9732" max="9737" width="17.7109375" style="238" customWidth="1"/>
    <col min="9738" max="9738" width="36.42578125" style="238" customWidth="1"/>
    <col min="9739" max="9984" width="11.42578125" style="238"/>
    <col min="9985" max="9985" width="45.7109375" style="238" customWidth="1"/>
    <col min="9986" max="9987" width="20.28515625" style="238" customWidth="1"/>
    <col min="9988" max="9993" width="17.7109375" style="238" customWidth="1"/>
    <col min="9994" max="9994" width="36.42578125" style="238" customWidth="1"/>
    <col min="9995" max="10240" width="11.42578125" style="238"/>
    <col min="10241" max="10241" width="45.7109375" style="238" customWidth="1"/>
    <col min="10242" max="10243" width="20.28515625" style="238" customWidth="1"/>
    <col min="10244" max="10249" width="17.7109375" style="238" customWidth="1"/>
    <col min="10250" max="10250" width="36.42578125" style="238" customWidth="1"/>
    <col min="10251" max="10496" width="11.42578125" style="238"/>
    <col min="10497" max="10497" width="45.7109375" style="238" customWidth="1"/>
    <col min="10498" max="10499" width="20.28515625" style="238" customWidth="1"/>
    <col min="10500" max="10505" width="17.7109375" style="238" customWidth="1"/>
    <col min="10506" max="10506" width="36.42578125" style="238" customWidth="1"/>
    <col min="10507" max="10752" width="11.42578125" style="238"/>
    <col min="10753" max="10753" width="45.7109375" style="238" customWidth="1"/>
    <col min="10754" max="10755" width="20.28515625" style="238" customWidth="1"/>
    <col min="10756" max="10761" width="17.7109375" style="238" customWidth="1"/>
    <col min="10762" max="10762" width="36.42578125" style="238" customWidth="1"/>
    <col min="10763" max="11008" width="11.42578125" style="238"/>
    <col min="11009" max="11009" width="45.7109375" style="238" customWidth="1"/>
    <col min="11010" max="11011" width="20.28515625" style="238" customWidth="1"/>
    <col min="11012" max="11017" width="17.7109375" style="238" customWidth="1"/>
    <col min="11018" max="11018" width="36.42578125" style="238" customWidth="1"/>
    <col min="11019" max="11264" width="11.42578125" style="238"/>
    <col min="11265" max="11265" width="45.7109375" style="238" customWidth="1"/>
    <col min="11266" max="11267" width="20.28515625" style="238" customWidth="1"/>
    <col min="11268" max="11273" width="17.7109375" style="238" customWidth="1"/>
    <col min="11274" max="11274" width="36.42578125" style="238" customWidth="1"/>
    <col min="11275" max="11520" width="11.42578125" style="238"/>
    <col min="11521" max="11521" width="45.7109375" style="238" customWidth="1"/>
    <col min="11522" max="11523" width="20.28515625" style="238" customWidth="1"/>
    <col min="11524" max="11529" width="17.7109375" style="238" customWidth="1"/>
    <col min="11530" max="11530" width="36.42578125" style="238" customWidth="1"/>
    <col min="11531" max="11776" width="11.42578125" style="238"/>
    <col min="11777" max="11777" width="45.7109375" style="238" customWidth="1"/>
    <col min="11778" max="11779" width="20.28515625" style="238" customWidth="1"/>
    <col min="11780" max="11785" width="17.7109375" style="238" customWidth="1"/>
    <col min="11786" max="11786" width="36.42578125" style="238" customWidth="1"/>
    <col min="11787" max="12032" width="11.42578125" style="238"/>
    <col min="12033" max="12033" width="45.7109375" style="238" customWidth="1"/>
    <col min="12034" max="12035" width="20.28515625" style="238" customWidth="1"/>
    <col min="12036" max="12041" width="17.7109375" style="238" customWidth="1"/>
    <col min="12042" max="12042" width="36.42578125" style="238" customWidth="1"/>
    <col min="12043" max="12288" width="11.42578125" style="238"/>
    <col min="12289" max="12289" width="45.7109375" style="238" customWidth="1"/>
    <col min="12290" max="12291" width="20.28515625" style="238" customWidth="1"/>
    <col min="12292" max="12297" width="17.7109375" style="238" customWidth="1"/>
    <col min="12298" max="12298" width="36.42578125" style="238" customWidth="1"/>
    <col min="12299" max="12544" width="11.42578125" style="238"/>
    <col min="12545" max="12545" width="45.7109375" style="238" customWidth="1"/>
    <col min="12546" max="12547" width="20.28515625" style="238" customWidth="1"/>
    <col min="12548" max="12553" width="17.7109375" style="238" customWidth="1"/>
    <col min="12554" max="12554" width="36.42578125" style="238" customWidth="1"/>
    <col min="12555" max="12800" width="11.42578125" style="238"/>
    <col min="12801" max="12801" width="45.7109375" style="238" customWidth="1"/>
    <col min="12802" max="12803" width="20.28515625" style="238" customWidth="1"/>
    <col min="12804" max="12809" width="17.7109375" style="238" customWidth="1"/>
    <col min="12810" max="12810" width="36.42578125" style="238" customWidth="1"/>
    <col min="12811" max="13056" width="11.42578125" style="238"/>
    <col min="13057" max="13057" width="45.7109375" style="238" customWidth="1"/>
    <col min="13058" max="13059" width="20.28515625" style="238" customWidth="1"/>
    <col min="13060" max="13065" width="17.7109375" style="238" customWidth="1"/>
    <col min="13066" max="13066" width="36.42578125" style="238" customWidth="1"/>
    <col min="13067" max="13312" width="11.42578125" style="238"/>
    <col min="13313" max="13313" width="45.7109375" style="238" customWidth="1"/>
    <col min="13314" max="13315" width="20.28515625" style="238" customWidth="1"/>
    <col min="13316" max="13321" width="17.7109375" style="238" customWidth="1"/>
    <col min="13322" max="13322" width="36.42578125" style="238" customWidth="1"/>
    <col min="13323" max="13568" width="11.42578125" style="238"/>
    <col min="13569" max="13569" width="45.7109375" style="238" customWidth="1"/>
    <col min="13570" max="13571" width="20.28515625" style="238" customWidth="1"/>
    <col min="13572" max="13577" width="17.7109375" style="238" customWidth="1"/>
    <col min="13578" max="13578" width="36.42578125" style="238" customWidth="1"/>
    <col min="13579" max="13824" width="11.42578125" style="238"/>
    <col min="13825" max="13825" width="45.7109375" style="238" customWidth="1"/>
    <col min="13826" max="13827" width="20.28515625" style="238" customWidth="1"/>
    <col min="13828" max="13833" width="17.7109375" style="238" customWidth="1"/>
    <col min="13834" max="13834" width="36.42578125" style="238" customWidth="1"/>
    <col min="13835" max="14080" width="11.42578125" style="238"/>
    <col min="14081" max="14081" width="45.7109375" style="238" customWidth="1"/>
    <col min="14082" max="14083" width="20.28515625" style="238" customWidth="1"/>
    <col min="14084" max="14089" width="17.7109375" style="238" customWidth="1"/>
    <col min="14090" max="14090" width="36.42578125" style="238" customWidth="1"/>
    <col min="14091" max="14336" width="11.42578125" style="238"/>
    <col min="14337" max="14337" width="45.7109375" style="238" customWidth="1"/>
    <col min="14338" max="14339" width="20.28515625" style="238" customWidth="1"/>
    <col min="14340" max="14345" width="17.7109375" style="238" customWidth="1"/>
    <col min="14346" max="14346" width="36.42578125" style="238" customWidth="1"/>
    <col min="14347" max="14592" width="11.42578125" style="238"/>
    <col min="14593" max="14593" width="45.7109375" style="238" customWidth="1"/>
    <col min="14594" max="14595" width="20.28515625" style="238" customWidth="1"/>
    <col min="14596" max="14601" width="17.7109375" style="238" customWidth="1"/>
    <col min="14602" max="14602" width="36.42578125" style="238" customWidth="1"/>
    <col min="14603" max="14848" width="11.42578125" style="238"/>
    <col min="14849" max="14849" width="45.7109375" style="238" customWidth="1"/>
    <col min="14850" max="14851" width="20.28515625" style="238" customWidth="1"/>
    <col min="14852" max="14857" width="17.7109375" style="238" customWidth="1"/>
    <col min="14858" max="14858" width="36.42578125" style="238" customWidth="1"/>
    <col min="14859" max="15104" width="11.42578125" style="238"/>
    <col min="15105" max="15105" width="45.7109375" style="238" customWidth="1"/>
    <col min="15106" max="15107" width="20.28515625" style="238" customWidth="1"/>
    <col min="15108" max="15113" width="17.7109375" style="238" customWidth="1"/>
    <col min="15114" max="15114" width="36.42578125" style="238" customWidth="1"/>
    <col min="15115" max="15360" width="11.42578125" style="238"/>
    <col min="15361" max="15361" width="45.7109375" style="238" customWidth="1"/>
    <col min="15362" max="15363" width="20.28515625" style="238" customWidth="1"/>
    <col min="15364" max="15369" width="17.7109375" style="238" customWidth="1"/>
    <col min="15370" max="15370" width="36.42578125" style="238" customWidth="1"/>
    <col min="15371" max="15616" width="11.42578125" style="238"/>
    <col min="15617" max="15617" width="45.7109375" style="238" customWidth="1"/>
    <col min="15618" max="15619" width="20.28515625" style="238" customWidth="1"/>
    <col min="15620" max="15625" width="17.7109375" style="238" customWidth="1"/>
    <col min="15626" max="15626" width="36.42578125" style="238" customWidth="1"/>
    <col min="15627" max="15872" width="11.42578125" style="238"/>
    <col min="15873" max="15873" width="45.7109375" style="238" customWidth="1"/>
    <col min="15874" max="15875" width="20.28515625" style="238" customWidth="1"/>
    <col min="15876" max="15881" width="17.7109375" style="238" customWidth="1"/>
    <col min="15882" max="15882" width="36.42578125" style="238" customWidth="1"/>
    <col min="15883" max="16128" width="11.42578125" style="238"/>
    <col min="16129" max="16129" width="45.7109375" style="238" customWidth="1"/>
    <col min="16130" max="16131" width="20.28515625" style="238" customWidth="1"/>
    <col min="16132" max="16137" width="17.7109375" style="238" customWidth="1"/>
    <col min="16138" max="16138" width="36.42578125" style="238" customWidth="1"/>
    <col min="16139" max="16384" width="11.42578125" style="238"/>
  </cols>
  <sheetData>
    <row r="1" spans="1:25" ht="15.75" customHeight="1" x14ac:dyDescent="0.2">
      <c r="A1" s="383" t="s">
        <v>401</v>
      </c>
      <c r="B1" s="383"/>
      <c r="C1" s="383"/>
      <c r="D1" s="383"/>
      <c r="E1" s="383"/>
      <c r="F1" s="383"/>
      <c r="G1" s="383"/>
      <c r="H1" s="383"/>
      <c r="I1" s="383"/>
      <c r="J1" s="383"/>
    </row>
    <row r="2" spans="1:25" x14ac:dyDescent="0.2">
      <c r="A2" s="383" t="s">
        <v>473</v>
      </c>
      <c r="B2" s="383"/>
      <c r="C2" s="383"/>
      <c r="D2" s="383"/>
      <c r="E2" s="383"/>
      <c r="F2" s="383"/>
      <c r="G2" s="383"/>
      <c r="H2" s="383"/>
      <c r="I2" s="383"/>
      <c r="J2" s="383"/>
      <c r="K2" s="383"/>
      <c r="L2" s="383"/>
      <c r="M2" s="383"/>
      <c r="N2" s="383"/>
      <c r="O2" s="383"/>
      <c r="P2" s="383"/>
      <c r="Q2" s="383"/>
      <c r="R2" s="383"/>
      <c r="S2" s="383"/>
      <c r="T2" s="383"/>
      <c r="U2" s="383"/>
      <c r="V2" s="383"/>
      <c r="W2" s="383"/>
      <c r="X2" s="383"/>
      <c r="Y2" s="383"/>
    </row>
    <row r="3" spans="1:25" ht="14.25" customHeight="1" thickBot="1" x14ac:dyDescent="0.25">
      <c r="A3" s="396"/>
      <c r="B3" s="396"/>
      <c r="C3" s="396"/>
      <c r="D3" s="396"/>
      <c r="E3" s="396"/>
      <c r="F3" s="396"/>
      <c r="G3" s="436"/>
    </row>
    <row r="4" spans="1:25" ht="13.5" hidden="1" customHeight="1" x14ac:dyDescent="0.2">
      <c r="A4" s="50" t="s">
        <v>63</v>
      </c>
      <c r="B4" s="52"/>
      <c r="C4" s="52"/>
      <c r="D4" s="71"/>
      <c r="E4" s="71"/>
      <c r="F4" s="71"/>
      <c r="G4" s="71" t="s">
        <v>34</v>
      </c>
      <c r="H4" s="71" t="s">
        <v>64</v>
      </c>
      <c r="I4" s="69"/>
      <c r="J4" s="69"/>
    </row>
    <row r="5" spans="1:25" ht="36.75" thickBot="1" x14ac:dyDescent="0.25">
      <c r="A5" s="380" t="s">
        <v>70</v>
      </c>
      <c r="B5" s="170" t="s">
        <v>69</v>
      </c>
      <c r="C5" s="170" t="s">
        <v>171</v>
      </c>
      <c r="D5" s="169" t="s">
        <v>172</v>
      </c>
      <c r="E5" s="169" t="s">
        <v>2</v>
      </c>
      <c r="F5" s="169" t="s">
        <v>170</v>
      </c>
      <c r="G5" s="170" t="s">
        <v>72</v>
      </c>
      <c r="H5" s="169" t="s">
        <v>142</v>
      </c>
      <c r="I5" s="169" t="s">
        <v>147</v>
      </c>
      <c r="J5" s="169" t="s">
        <v>71</v>
      </c>
    </row>
    <row r="6" spans="1:25" ht="89.25" x14ac:dyDescent="0.2">
      <c r="A6" s="419" t="s">
        <v>749</v>
      </c>
      <c r="B6" s="419" t="s">
        <v>750</v>
      </c>
      <c r="C6" s="421" t="s">
        <v>716</v>
      </c>
      <c r="D6" s="422">
        <v>22</v>
      </c>
      <c r="E6" s="423">
        <v>824665.5</v>
      </c>
      <c r="F6" s="437"/>
      <c r="G6" s="438"/>
      <c r="H6" s="439"/>
      <c r="I6" s="439"/>
      <c r="J6" s="438"/>
    </row>
    <row r="7" spans="1:25" ht="76.5" x14ac:dyDescent="0.2">
      <c r="A7" s="419" t="s">
        <v>751</v>
      </c>
      <c r="B7" s="419" t="s">
        <v>752</v>
      </c>
      <c r="C7" s="421" t="s">
        <v>716</v>
      </c>
      <c r="D7" s="422">
        <v>21</v>
      </c>
      <c r="E7" s="423">
        <v>897000</v>
      </c>
      <c r="F7" s="437"/>
      <c r="G7" s="438"/>
      <c r="H7" s="439"/>
      <c r="I7" s="439"/>
      <c r="J7" s="438"/>
    </row>
    <row r="8" spans="1:25" ht="89.25" x14ac:dyDescent="0.2">
      <c r="A8" s="419" t="s">
        <v>749</v>
      </c>
      <c r="B8" s="419" t="s">
        <v>766</v>
      </c>
      <c r="C8" s="421" t="s">
        <v>716</v>
      </c>
      <c r="D8" s="422">
        <v>22</v>
      </c>
      <c r="E8" s="423">
        <v>824665.5</v>
      </c>
      <c r="F8" s="437"/>
      <c r="G8" s="438"/>
      <c r="H8" s="439"/>
      <c r="I8" s="439"/>
      <c r="J8" s="438"/>
    </row>
    <row r="9" spans="1:25" ht="76.5" x14ac:dyDescent="0.2">
      <c r="A9" s="419" t="s">
        <v>751</v>
      </c>
      <c r="B9" s="419" t="s">
        <v>767</v>
      </c>
      <c r="C9" s="421" t="s">
        <v>716</v>
      </c>
      <c r="D9" s="422">
        <v>21</v>
      </c>
      <c r="E9" s="423">
        <v>1196000</v>
      </c>
      <c r="F9" s="437"/>
      <c r="G9" s="438"/>
      <c r="H9" s="439"/>
      <c r="I9" s="439"/>
      <c r="J9" s="438"/>
    </row>
    <row r="10" spans="1:25" ht="89.25" x14ac:dyDescent="0.2">
      <c r="A10" s="419" t="s">
        <v>779</v>
      </c>
      <c r="B10" s="419" t="s">
        <v>780</v>
      </c>
      <c r="C10" s="421" t="s">
        <v>716</v>
      </c>
      <c r="D10" s="422">
        <v>17</v>
      </c>
      <c r="E10" s="423">
        <v>638888.5</v>
      </c>
      <c r="F10" s="437"/>
      <c r="G10" s="438"/>
      <c r="H10" s="439"/>
      <c r="I10" s="439"/>
      <c r="J10" s="438"/>
    </row>
    <row r="11" spans="1:25" ht="89.25" x14ac:dyDescent="0.2">
      <c r="A11" s="419" t="s">
        <v>787</v>
      </c>
      <c r="B11" s="419" t="s">
        <v>788</v>
      </c>
      <c r="C11" s="421" t="s">
        <v>716</v>
      </c>
      <c r="D11" s="422">
        <v>13</v>
      </c>
      <c r="E11" s="423">
        <v>662500</v>
      </c>
      <c r="F11" s="437"/>
      <c r="G11" s="438"/>
      <c r="H11" s="439"/>
      <c r="I11" s="439"/>
      <c r="J11" s="438"/>
    </row>
    <row r="12" spans="1:25" ht="90" thickBot="1" x14ac:dyDescent="0.25">
      <c r="A12" s="419" t="s">
        <v>797</v>
      </c>
      <c r="B12" s="419" t="s">
        <v>798</v>
      </c>
      <c r="C12" s="421" t="s">
        <v>716</v>
      </c>
      <c r="D12" s="422">
        <v>6</v>
      </c>
      <c r="E12" s="423">
        <v>684000</v>
      </c>
      <c r="F12" s="440"/>
      <c r="G12" s="438"/>
      <c r="H12" s="439"/>
      <c r="I12" s="439"/>
      <c r="J12" s="438"/>
    </row>
    <row r="13" spans="1:25" ht="12.75" thickBot="1" x14ac:dyDescent="0.25">
      <c r="A13" s="72" t="s">
        <v>0</v>
      </c>
      <c r="B13" s="42"/>
      <c r="C13" s="32"/>
      <c r="D13" s="70"/>
      <c r="E13" s="441">
        <f>SUM(E6:E12)</f>
        <v>5727719.5</v>
      </c>
      <c r="F13" s="68"/>
      <c r="G13" s="38"/>
      <c r="H13" s="35"/>
      <c r="I13" s="35"/>
      <c r="J13" s="38"/>
    </row>
    <row r="14" spans="1:25" x14ac:dyDescent="0.2">
      <c r="A14" s="384"/>
      <c r="B14" s="384"/>
      <c r="C14" s="384"/>
      <c r="D14" s="384"/>
      <c r="E14" s="384"/>
      <c r="F14" s="384"/>
      <c r="G14" s="383"/>
    </row>
    <row r="15" spans="1:25" x14ac:dyDescent="0.2">
      <c r="A15" s="442"/>
      <c r="B15" s="442"/>
      <c r="C15" s="442"/>
      <c r="D15" s="442"/>
      <c r="E15" s="442"/>
      <c r="F15" s="442"/>
      <c r="G15" s="383"/>
    </row>
    <row r="16" spans="1:25" x14ac:dyDescent="0.2">
      <c r="A16" s="442"/>
    </row>
    <row r="17" spans="1:1" x14ac:dyDescent="0.2">
      <c r="A17" s="442"/>
    </row>
    <row r="18" spans="1:1" x14ac:dyDescent="0.2">
      <c r="A18" s="442"/>
    </row>
  </sheetData>
  <printOptions horizontalCentered="1"/>
  <pageMargins left="0.23622047244094491" right="0.23622047244094491" top="0.74803149606299213" bottom="0.74803149606299213" header="0.31496062992125984" footer="0.31496062992125984"/>
  <pageSetup paperSize="9" scale="70" orientation="landscape" r:id="rId1"/>
  <headerFooter alignWithMargins="0">
    <oddHeader>&amp;C&amp;"Arial,Negrita"&amp;18PROYECTO DE PRESUPUESTO 2022</oddHeader>
    <oddFooter>&amp;L&amp;"Arial,Negrita"&amp;8PROYECTO DE PRESUPUESTO PARA EL AÑO FISCAL 2022
INFORMACIÓN PARA LA COMISIÓN DE PRESUPUESTO Y CUENTA GENERAL DE LA REPÚBLICA DEL CONGRESO DE LA REPÚBLICA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31">
    <tabColor theme="9" tint="-0.249977111117893"/>
    <pageSetUpPr fitToPage="1"/>
  </sheetPr>
  <dimension ref="A1:W20"/>
  <sheetViews>
    <sheetView zoomScaleNormal="100" zoomScaleSheetLayoutView="100" zoomScalePageLayoutView="85" workbookViewId="0">
      <selection activeCell="B5" sqref="B5:E5"/>
    </sheetView>
  </sheetViews>
  <sheetFormatPr baseColWidth="10" defaultColWidth="11.42578125" defaultRowHeight="12" x14ac:dyDescent="0.2"/>
  <cols>
    <col min="1" max="1" width="35.7109375" style="3" customWidth="1"/>
    <col min="2" max="2" width="30.7109375" style="3" customWidth="1"/>
    <col min="3" max="3" width="31.140625" style="95" customWidth="1"/>
    <col min="4" max="4" width="23.28515625" style="3" customWidth="1"/>
    <col min="5" max="5" width="22.28515625" style="81" customWidth="1"/>
    <col min="6" max="6" width="32.85546875" style="3" customWidth="1"/>
    <col min="7" max="7" width="39.5703125" style="3" customWidth="1"/>
    <col min="8" max="8" width="23.5703125" style="3" customWidth="1"/>
    <col min="9" max="16384" width="11.42578125" style="3"/>
  </cols>
  <sheetData>
    <row r="1" spans="1:23" s="5" customFormat="1" x14ac:dyDescent="0.2">
      <c r="A1" s="96" t="s">
        <v>402</v>
      </c>
      <c r="B1" s="96"/>
      <c r="C1" s="96"/>
      <c r="D1" s="96"/>
      <c r="E1" s="96"/>
      <c r="F1" s="96"/>
      <c r="G1" s="96"/>
    </row>
    <row r="2" spans="1:23" s="5" customFormat="1" x14ac:dyDescent="0.2">
      <c r="A2" s="96" t="s">
        <v>473</v>
      </c>
      <c r="B2" s="96"/>
      <c r="C2" s="96"/>
      <c r="D2" s="96"/>
      <c r="E2" s="96"/>
      <c r="F2" s="96"/>
      <c r="G2" s="96"/>
      <c r="H2" s="96"/>
      <c r="I2" s="96"/>
      <c r="J2" s="96"/>
      <c r="K2" s="96"/>
      <c r="L2" s="96"/>
      <c r="M2" s="96"/>
      <c r="N2" s="96"/>
      <c r="O2" s="96"/>
      <c r="P2" s="96"/>
      <c r="Q2" s="96"/>
      <c r="R2" s="96"/>
      <c r="S2" s="96"/>
      <c r="T2" s="96"/>
      <c r="U2" s="96"/>
      <c r="V2" s="96"/>
      <c r="W2" s="96"/>
    </row>
    <row r="3" spans="1:23" ht="12.75" thickBot="1" x14ac:dyDescent="0.25">
      <c r="A3" s="13"/>
      <c r="B3" s="13"/>
      <c r="C3" s="13"/>
      <c r="D3" s="17"/>
      <c r="E3" s="17"/>
      <c r="F3" s="17"/>
    </row>
    <row r="4" spans="1:23" ht="12.75" thickBot="1" x14ac:dyDescent="0.25">
      <c r="A4" s="639" t="s">
        <v>36</v>
      </c>
      <c r="B4" s="639" t="s">
        <v>329</v>
      </c>
      <c r="C4" s="639" t="s">
        <v>330</v>
      </c>
      <c r="D4" s="171" t="s">
        <v>427</v>
      </c>
      <c r="E4" s="171" t="s">
        <v>428</v>
      </c>
      <c r="F4" s="258" t="s">
        <v>429</v>
      </c>
      <c r="G4" s="639" t="s">
        <v>51</v>
      </c>
      <c r="H4" s="639" t="s">
        <v>102</v>
      </c>
    </row>
    <row r="5" spans="1:23" ht="12.75" customHeight="1" thickBot="1" x14ac:dyDescent="0.25">
      <c r="A5" s="640"/>
      <c r="B5" s="640"/>
      <c r="C5" s="640"/>
      <c r="D5" s="172" t="s">
        <v>327</v>
      </c>
      <c r="E5" s="172" t="s">
        <v>327</v>
      </c>
      <c r="F5" s="172" t="s">
        <v>327</v>
      </c>
      <c r="G5" s="641"/>
      <c r="H5" s="641"/>
    </row>
    <row r="6" spans="1:23" ht="12" customHeight="1" x14ac:dyDescent="0.2">
      <c r="A6" s="44">
        <v>1</v>
      </c>
      <c r="B6" s="44" t="s">
        <v>80</v>
      </c>
      <c r="C6" s="44" t="s">
        <v>80</v>
      </c>
      <c r="D6" s="43"/>
      <c r="E6" s="2"/>
      <c r="F6" s="235"/>
      <c r="G6" s="37"/>
      <c r="H6" s="37"/>
    </row>
    <row r="7" spans="1:23" x14ac:dyDescent="0.2">
      <c r="A7" s="44">
        <v>2</v>
      </c>
      <c r="B7" s="44" t="s">
        <v>80</v>
      </c>
      <c r="C7" s="44" t="s">
        <v>80</v>
      </c>
      <c r="D7" s="43"/>
      <c r="E7" s="2"/>
      <c r="F7" s="235"/>
      <c r="G7" s="37"/>
      <c r="H7" s="37"/>
    </row>
    <row r="8" spans="1:23" x14ac:dyDescent="0.2">
      <c r="A8" s="44">
        <v>3</v>
      </c>
      <c r="B8" s="44" t="s">
        <v>80</v>
      </c>
      <c r="C8" s="44" t="s">
        <v>80</v>
      </c>
      <c r="D8" s="43"/>
      <c r="E8" s="2"/>
      <c r="F8" s="235"/>
      <c r="G8" s="37"/>
      <c r="H8" s="37"/>
    </row>
    <row r="9" spans="1:23" x14ac:dyDescent="0.2">
      <c r="A9" s="44">
        <v>4</v>
      </c>
      <c r="B9" s="44" t="s">
        <v>80</v>
      </c>
      <c r="C9" s="44" t="s">
        <v>80</v>
      </c>
      <c r="D9" s="43"/>
      <c r="E9" s="2"/>
      <c r="F9" s="235"/>
      <c r="G9" s="37"/>
      <c r="H9" s="37"/>
    </row>
    <row r="10" spans="1:23" x14ac:dyDescent="0.2">
      <c r="A10" s="44">
        <v>5</v>
      </c>
      <c r="B10" s="44" t="s">
        <v>80</v>
      </c>
      <c r="C10" s="44" t="s">
        <v>80</v>
      </c>
      <c r="D10" s="43"/>
      <c r="E10" s="2"/>
      <c r="F10" s="235"/>
      <c r="G10" s="37"/>
      <c r="H10" s="37"/>
    </row>
    <row r="11" spans="1:23" x14ac:dyDescent="0.2">
      <c r="A11" s="44">
        <v>6</v>
      </c>
      <c r="B11" s="44"/>
      <c r="C11" s="44"/>
      <c r="D11" s="43"/>
      <c r="E11" s="2"/>
      <c r="F11" s="235"/>
      <c r="G11" s="37"/>
      <c r="H11" s="37"/>
    </row>
    <row r="12" spans="1:23" x14ac:dyDescent="0.2">
      <c r="A12" s="44">
        <v>7</v>
      </c>
      <c r="B12" s="44"/>
      <c r="C12" s="44"/>
      <c r="D12" s="43"/>
      <c r="E12" s="2"/>
      <c r="F12" s="235"/>
      <c r="G12" s="37"/>
      <c r="H12" s="37"/>
    </row>
    <row r="13" spans="1:23" x14ac:dyDescent="0.2">
      <c r="A13" s="44">
        <v>8</v>
      </c>
      <c r="B13" s="44"/>
      <c r="C13" s="44"/>
      <c r="D13" s="43"/>
      <c r="E13" s="2"/>
      <c r="F13" s="235"/>
      <c r="G13" s="37"/>
      <c r="H13" s="37"/>
    </row>
    <row r="14" spans="1:23" x14ac:dyDescent="0.2">
      <c r="A14" s="44">
        <v>9</v>
      </c>
      <c r="B14" s="44"/>
      <c r="C14" s="44"/>
      <c r="D14" s="43"/>
      <c r="E14" s="2"/>
      <c r="F14" s="235"/>
      <c r="G14" s="37"/>
      <c r="H14" s="37"/>
    </row>
    <row r="15" spans="1:23" x14ac:dyDescent="0.2">
      <c r="A15" s="44"/>
      <c r="B15" s="44"/>
      <c r="C15" s="44"/>
      <c r="D15" s="43"/>
      <c r="E15" s="2"/>
      <c r="F15" s="235"/>
      <c r="G15" s="37"/>
      <c r="H15" s="37"/>
    </row>
    <row r="16" spans="1:23" ht="12.75" thickBot="1" x14ac:dyDescent="0.25">
      <c r="A16" s="51"/>
      <c r="B16" s="51"/>
      <c r="C16" s="51"/>
      <c r="D16" s="29"/>
      <c r="E16" s="25"/>
      <c r="F16" s="236"/>
      <c r="G16" s="31"/>
      <c r="H16" s="31"/>
    </row>
    <row r="17" spans="1:8" ht="12.75" thickBot="1" x14ac:dyDescent="0.25">
      <c r="A17" s="72" t="s">
        <v>37</v>
      </c>
      <c r="B17" s="42"/>
      <c r="C17" s="42"/>
      <c r="D17" s="33"/>
      <c r="E17" s="34"/>
      <c r="F17" s="237"/>
      <c r="G17" s="36"/>
      <c r="H17" s="36"/>
    </row>
    <row r="18" spans="1:8" x14ac:dyDescent="0.2">
      <c r="A18" s="24"/>
      <c r="B18" s="24"/>
      <c r="C18" s="24"/>
      <c r="D18" s="2"/>
      <c r="E18" s="2"/>
      <c r="F18" s="2"/>
    </row>
    <row r="19" spans="1:8" x14ac:dyDescent="0.2">
      <c r="A19" s="18" t="s">
        <v>52</v>
      </c>
      <c r="B19" s="18"/>
      <c r="C19" s="18"/>
      <c r="D19" s="2"/>
      <c r="E19" s="2"/>
      <c r="F19" s="2"/>
    </row>
    <row r="20" spans="1:8" x14ac:dyDescent="0.2">
      <c r="A20" s="1" t="s">
        <v>103</v>
      </c>
      <c r="B20" s="1"/>
      <c r="C20" s="1"/>
      <c r="D20" s="2"/>
      <c r="E20" s="2"/>
      <c r="F20" s="2"/>
    </row>
  </sheetData>
  <mergeCells count="5">
    <mergeCell ref="B4:B5"/>
    <mergeCell ref="H4:H5"/>
    <mergeCell ref="A4:A5"/>
    <mergeCell ref="G4:G5"/>
    <mergeCell ref="C4:C5"/>
  </mergeCells>
  <phoneticPr fontId="0" type="noConversion"/>
  <printOptions horizontalCentered="1"/>
  <pageMargins left="0.23622047244094491" right="0.31496062992125984" top="0.74803149606299213" bottom="0.74803149606299213" header="0.31496062992125984" footer="0.31496062992125984"/>
  <pageSetup paperSize="9" scale="60" orientation="landscape" r:id="rId1"/>
  <headerFooter alignWithMargins="0">
    <oddHeader>&amp;C&amp;"Arial,Negrita"&amp;18PROYECTO DE PRESUPUESTO 2022</oddHeader>
    <oddFooter>&amp;L&amp;"Arial,Negrita"&amp;8PROYECTO DE PRESUPUESTO PARA EL AÑO FISCAL 2022
INFORMACIÓN PARA LA COMISIÓN DE PRESUPUESTO Y CUENTA GENERAL DE LA REPÚBLICA DEL CONGRESO DE LA REPÚBLICA</oddFooter>
  </headerFooter>
  <colBreaks count="1" manualBreakCount="1">
    <brk id="8"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C3F31-C96B-4F34-83C9-A2768409B2AB}">
  <sheetPr>
    <tabColor theme="9" tint="-0.249977111117893"/>
    <pageSetUpPr fitToPage="1"/>
  </sheetPr>
  <dimension ref="A1:V30"/>
  <sheetViews>
    <sheetView zoomScaleNormal="100" zoomScaleSheetLayoutView="100" zoomScalePageLayoutView="85" workbookViewId="0">
      <selection activeCell="B5" sqref="B5:E5"/>
    </sheetView>
  </sheetViews>
  <sheetFormatPr baseColWidth="10" defaultRowHeight="12" x14ac:dyDescent="0.2"/>
  <cols>
    <col min="1" max="1" width="43" style="238" customWidth="1"/>
    <col min="2" max="2" width="19.5703125" style="238" customWidth="1"/>
    <col min="3" max="3" width="29.28515625" style="238" customWidth="1"/>
    <col min="4" max="4" width="19.42578125" style="238" customWidth="1"/>
    <col min="5" max="5" width="15.5703125" style="238" customWidth="1"/>
    <col min="6" max="6" width="11.140625" style="238" customWidth="1"/>
    <col min="7" max="8" width="15.5703125" style="238" customWidth="1"/>
    <col min="9" max="256" width="11.42578125" style="238"/>
    <col min="257" max="257" width="43" style="238" customWidth="1"/>
    <col min="258" max="258" width="19.5703125" style="238" customWidth="1"/>
    <col min="259" max="259" width="29.28515625" style="238" customWidth="1"/>
    <col min="260" max="260" width="19.42578125" style="238" customWidth="1"/>
    <col min="261" max="261" width="15.5703125" style="238" customWidth="1"/>
    <col min="262" max="262" width="11.140625" style="238" customWidth="1"/>
    <col min="263" max="264" width="15.5703125" style="238" customWidth="1"/>
    <col min="265" max="512" width="11.42578125" style="238"/>
    <col min="513" max="513" width="43" style="238" customWidth="1"/>
    <col min="514" max="514" width="19.5703125" style="238" customWidth="1"/>
    <col min="515" max="515" width="29.28515625" style="238" customWidth="1"/>
    <col min="516" max="516" width="19.42578125" style="238" customWidth="1"/>
    <col min="517" max="517" width="15.5703125" style="238" customWidth="1"/>
    <col min="518" max="518" width="11.140625" style="238" customWidth="1"/>
    <col min="519" max="520" width="15.5703125" style="238" customWidth="1"/>
    <col min="521" max="768" width="11.42578125" style="238"/>
    <col min="769" max="769" width="43" style="238" customWidth="1"/>
    <col min="770" max="770" width="19.5703125" style="238" customWidth="1"/>
    <col min="771" max="771" width="29.28515625" style="238" customWidth="1"/>
    <col min="772" max="772" width="19.42578125" style="238" customWidth="1"/>
    <col min="773" max="773" width="15.5703125" style="238" customWidth="1"/>
    <col min="774" max="774" width="11.140625" style="238" customWidth="1"/>
    <col min="775" max="776" width="15.5703125" style="238" customWidth="1"/>
    <col min="777" max="1024" width="11.42578125" style="238"/>
    <col min="1025" max="1025" width="43" style="238" customWidth="1"/>
    <col min="1026" max="1026" width="19.5703125" style="238" customWidth="1"/>
    <col min="1027" max="1027" width="29.28515625" style="238" customWidth="1"/>
    <col min="1028" max="1028" width="19.42578125" style="238" customWidth="1"/>
    <col min="1029" max="1029" width="15.5703125" style="238" customWidth="1"/>
    <col min="1030" max="1030" width="11.140625" style="238" customWidth="1"/>
    <col min="1031" max="1032" width="15.5703125" style="238" customWidth="1"/>
    <col min="1033" max="1280" width="11.42578125" style="238"/>
    <col min="1281" max="1281" width="43" style="238" customWidth="1"/>
    <col min="1282" max="1282" width="19.5703125" style="238" customWidth="1"/>
    <col min="1283" max="1283" width="29.28515625" style="238" customWidth="1"/>
    <col min="1284" max="1284" width="19.42578125" style="238" customWidth="1"/>
    <col min="1285" max="1285" width="15.5703125" style="238" customWidth="1"/>
    <col min="1286" max="1286" width="11.140625" style="238" customWidth="1"/>
    <col min="1287" max="1288" width="15.5703125" style="238" customWidth="1"/>
    <col min="1289" max="1536" width="11.42578125" style="238"/>
    <col min="1537" max="1537" width="43" style="238" customWidth="1"/>
    <col min="1538" max="1538" width="19.5703125" style="238" customWidth="1"/>
    <col min="1539" max="1539" width="29.28515625" style="238" customWidth="1"/>
    <col min="1540" max="1540" width="19.42578125" style="238" customWidth="1"/>
    <col min="1541" max="1541" width="15.5703125" style="238" customWidth="1"/>
    <col min="1542" max="1542" width="11.140625" style="238" customWidth="1"/>
    <col min="1543" max="1544" width="15.5703125" style="238" customWidth="1"/>
    <col min="1545" max="1792" width="11.42578125" style="238"/>
    <col min="1793" max="1793" width="43" style="238" customWidth="1"/>
    <col min="1794" max="1794" width="19.5703125" style="238" customWidth="1"/>
    <col min="1795" max="1795" width="29.28515625" style="238" customWidth="1"/>
    <col min="1796" max="1796" width="19.42578125" style="238" customWidth="1"/>
    <col min="1797" max="1797" width="15.5703125" style="238" customWidth="1"/>
    <col min="1798" max="1798" width="11.140625" style="238" customWidth="1"/>
    <col min="1799" max="1800" width="15.5703125" style="238" customWidth="1"/>
    <col min="1801" max="2048" width="11.42578125" style="238"/>
    <col min="2049" max="2049" width="43" style="238" customWidth="1"/>
    <col min="2050" max="2050" width="19.5703125" style="238" customWidth="1"/>
    <col min="2051" max="2051" width="29.28515625" style="238" customWidth="1"/>
    <col min="2052" max="2052" width="19.42578125" style="238" customWidth="1"/>
    <col min="2053" max="2053" width="15.5703125" style="238" customWidth="1"/>
    <col min="2054" max="2054" width="11.140625" style="238" customWidth="1"/>
    <col min="2055" max="2056" width="15.5703125" style="238" customWidth="1"/>
    <col min="2057" max="2304" width="11.42578125" style="238"/>
    <col min="2305" max="2305" width="43" style="238" customWidth="1"/>
    <col min="2306" max="2306" width="19.5703125" style="238" customWidth="1"/>
    <col min="2307" max="2307" width="29.28515625" style="238" customWidth="1"/>
    <col min="2308" max="2308" width="19.42578125" style="238" customWidth="1"/>
    <col min="2309" max="2309" width="15.5703125" style="238" customWidth="1"/>
    <col min="2310" max="2310" width="11.140625" style="238" customWidth="1"/>
    <col min="2311" max="2312" width="15.5703125" style="238" customWidth="1"/>
    <col min="2313" max="2560" width="11.42578125" style="238"/>
    <col min="2561" max="2561" width="43" style="238" customWidth="1"/>
    <col min="2562" max="2562" width="19.5703125" style="238" customWidth="1"/>
    <col min="2563" max="2563" width="29.28515625" style="238" customWidth="1"/>
    <col min="2564" max="2564" width="19.42578125" style="238" customWidth="1"/>
    <col min="2565" max="2565" width="15.5703125" style="238" customWidth="1"/>
    <col min="2566" max="2566" width="11.140625" style="238" customWidth="1"/>
    <col min="2567" max="2568" width="15.5703125" style="238" customWidth="1"/>
    <col min="2569" max="2816" width="11.42578125" style="238"/>
    <col min="2817" max="2817" width="43" style="238" customWidth="1"/>
    <col min="2818" max="2818" width="19.5703125" style="238" customWidth="1"/>
    <col min="2819" max="2819" width="29.28515625" style="238" customWidth="1"/>
    <col min="2820" max="2820" width="19.42578125" style="238" customWidth="1"/>
    <col min="2821" max="2821" width="15.5703125" style="238" customWidth="1"/>
    <col min="2822" max="2822" width="11.140625" style="238" customWidth="1"/>
    <col min="2823" max="2824" width="15.5703125" style="238" customWidth="1"/>
    <col min="2825" max="3072" width="11.42578125" style="238"/>
    <col min="3073" max="3073" width="43" style="238" customWidth="1"/>
    <col min="3074" max="3074" width="19.5703125" style="238" customWidth="1"/>
    <col min="3075" max="3075" width="29.28515625" style="238" customWidth="1"/>
    <col min="3076" max="3076" width="19.42578125" style="238" customWidth="1"/>
    <col min="3077" max="3077" width="15.5703125" style="238" customWidth="1"/>
    <col min="3078" max="3078" width="11.140625" style="238" customWidth="1"/>
    <col min="3079" max="3080" width="15.5703125" style="238" customWidth="1"/>
    <col min="3081" max="3328" width="11.42578125" style="238"/>
    <col min="3329" max="3329" width="43" style="238" customWidth="1"/>
    <col min="3330" max="3330" width="19.5703125" style="238" customWidth="1"/>
    <col min="3331" max="3331" width="29.28515625" style="238" customWidth="1"/>
    <col min="3332" max="3332" width="19.42578125" style="238" customWidth="1"/>
    <col min="3333" max="3333" width="15.5703125" style="238" customWidth="1"/>
    <col min="3334" max="3334" width="11.140625" style="238" customWidth="1"/>
    <col min="3335" max="3336" width="15.5703125" style="238" customWidth="1"/>
    <col min="3337" max="3584" width="11.42578125" style="238"/>
    <col min="3585" max="3585" width="43" style="238" customWidth="1"/>
    <col min="3586" max="3586" width="19.5703125" style="238" customWidth="1"/>
    <col min="3587" max="3587" width="29.28515625" style="238" customWidth="1"/>
    <col min="3588" max="3588" width="19.42578125" style="238" customWidth="1"/>
    <col min="3589" max="3589" width="15.5703125" style="238" customWidth="1"/>
    <col min="3590" max="3590" width="11.140625" style="238" customWidth="1"/>
    <col min="3591" max="3592" width="15.5703125" style="238" customWidth="1"/>
    <col min="3593" max="3840" width="11.42578125" style="238"/>
    <col min="3841" max="3841" width="43" style="238" customWidth="1"/>
    <col min="3842" max="3842" width="19.5703125" style="238" customWidth="1"/>
    <col min="3843" max="3843" width="29.28515625" style="238" customWidth="1"/>
    <col min="3844" max="3844" width="19.42578125" style="238" customWidth="1"/>
    <col min="3845" max="3845" width="15.5703125" style="238" customWidth="1"/>
    <col min="3846" max="3846" width="11.140625" style="238" customWidth="1"/>
    <col min="3847" max="3848" width="15.5703125" style="238" customWidth="1"/>
    <col min="3849" max="4096" width="11.42578125" style="238"/>
    <col min="4097" max="4097" width="43" style="238" customWidth="1"/>
    <col min="4098" max="4098" width="19.5703125" style="238" customWidth="1"/>
    <col min="4099" max="4099" width="29.28515625" style="238" customWidth="1"/>
    <col min="4100" max="4100" width="19.42578125" style="238" customWidth="1"/>
    <col min="4101" max="4101" width="15.5703125" style="238" customWidth="1"/>
    <col min="4102" max="4102" width="11.140625" style="238" customWidth="1"/>
    <col min="4103" max="4104" width="15.5703125" style="238" customWidth="1"/>
    <col min="4105" max="4352" width="11.42578125" style="238"/>
    <col min="4353" max="4353" width="43" style="238" customWidth="1"/>
    <col min="4354" max="4354" width="19.5703125" style="238" customWidth="1"/>
    <col min="4355" max="4355" width="29.28515625" style="238" customWidth="1"/>
    <col min="4356" max="4356" width="19.42578125" style="238" customWidth="1"/>
    <col min="4357" max="4357" width="15.5703125" style="238" customWidth="1"/>
    <col min="4358" max="4358" width="11.140625" style="238" customWidth="1"/>
    <col min="4359" max="4360" width="15.5703125" style="238" customWidth="1"/>
    <col min="4361" max="4608" width="11.42578125" style="238"/>
    <col min="4609" max="4609" width="43" style="238" customWidth="1"/>
    <col min="4610" max="4610" width="19.5703125" style="238" customWidth="1"/>
    <col min="4611" max="4611" width="29.28515625" style="238" customWidth="1"/>
    <col min="4612" max="4612" width="19.42578125" style="238" customWidth="1"/>
    <col min="4613" max="4613" width="15.5703125" style="238" customWidth="1"/>
    <col min="4614" max="4614" width="11.140625" style="238" customWidth="1"/>
    <col min="4615" max="4616" width="15.5703125" style="238" customWidth="1"/>
    <col min="4617" max="4864" width="11.42578125" style="238"/>
    <col min="4865" max="4865" width="43" style="238" customWidth="1"/>
    <col min="4866" max="4866" width="19.5703125" style="238" customWidth="1"/>
    <col min="4867" max="4867" width="29.28515625" style="238" customWidth="1"/>
    <col min="4868" max="4868" width="19.42578125" style="238" customWidth="1"/>
    <col min="4869" max="4869" width="15.5703125" style="238" customWidth="1"/>
    <col min="4870" max="4870" width="11.140625" style="238" customWidth="1"/>
    <col min="4871" max="4872" width="15.5703125" style="238" customWidth="1"/>
    <col min="4873" max="5120" width="11.42578125" style="238"/>
    <col min="5121" max="5121" width="43" style="238" customWidth="1"/>
    <col min="5122" max="5122" width="19.5703125" style="238" customWidth="1"/>
    <col min="5123" max="5123" width="29.28515625" style="238" customWidth="1"/>
    <col min="5124" max="5124" width="19.42578125" style="238" customWidth="1"/>
    <col min="5125" max="5125" width="15.5703125" style="238" customWidth="1"/>
    <col min="5126" max="5126" width="11.140625" style="238" customWidth="1"/>
    <col min="5127" max="5128" width="15.5703125" style="238" customWidth="1"/>
    <col min="5129" max="5376" width="11.42578125" style="238"/>
    <col min="5377" max="5377" width="43" style="238" customWidth="1"/>
    <col min="5378" max="5378" width="19.5703125" style="238" customWidth="1"/>
    <col min="5379" max="5379" width="29.28515625" style="238" customWidth="1"/>
    <col min="5380" max="5380" width="19.42578125" style="238" customWidth="1"/>
    <col min="5381" max="5381" width="15.5703125" style="238" customWidth="1"/>
    <col min="5382" max="5382" width="11.140625" style="238" customWidth="1"/>
    <col min="5383" max="5384" width="15.5703125" style="238" customWidth="1"/>
    <col min="5385" max="5632" width="11.42578125" style="238"/>
    <col min="5633" max="5633" width="43" style="238" customWidth="1"/>
    <col min="5634" max="5634" width="19.5703125" style="238" customWidth="1"/>
    <col min="5635" max="5635" width="29.28515625" style="238" customWidth="1"/>
    <col min="5636" max="5636" width="19.42578125" style="238" customWidth="1"/>
    <col min="5637" max="5637" width="15.5703125" style="238" customWidth="1"/>
    <col min="5638" max="5638" width="11.140625" style="238" customWidth="1"/>
    <col min="5639" max="5640" width="15.5703125" style="238" customWidth="1"/>
    <col min="5641" max="5888" width="11.42578125" style="238"/>
    <col min="5889" max="5889" width="43" style="238" customWidth="1"/>
    <col min="5890" max="5890" width="19.5703125" style="238" customWidth="1"/>
    <col min="5891" max="5891" width="29.28515625" style="238" customWidth="1"/>
    <col min="5892" max="5892" width="19.42578125" style="238" customWidth="1"/>
    <col min="5893" max="5893" width="15.5703125" style="238" customWidth="1"/>
    <col min="5894" max="5894" width="11.140625" style="238" customWidth="1"/>
    <col min="5895" max="5896" width="15.5703125" style="238" customWidth="1"/>
    <col min="5897" max="6144" width="11.42578125" style="238"/>
    <col min="6145" max="6145" width="43" style="238" customWidth="1"/>
    <col min="6146" max="6146" width="19.5703125" style="238" customWidth="1"/>
    <col min="6147" max="6147" width="29.28515625" style="238" customWidth="1"/>
    <col min="6148" max="6148" width="19.42578125" style="238" customWidth="1"/>
    <col min="6149" max="6149" width="15.5703125" style="238" customWidth="1"/>
    <col min="6150" max="6150" width="11.140625" style="238" customWidth="1"/>
    <col min="6151" max="6152" width="15.5703125" style="238" customWidth="1"/>
    <col min="6153" max="6400" width="11.42578125" style="238"/>
    <col min="6401" max="6401" width="43" style="238" customWidth="1"/>
    <col min="6402" max="6402" width="19.5703125" style="238" customWidth="1"/>
    <col min="6403" max="6403" width="29.28515625" style="238" customWidth="1"/>
    <col min="6404" max="6404" width="19.42578125" style="238" customWidth="1"/>
    <col min="6405" max="6405" width="15.5703125" style="238" customWidth="1"/>
    <col min="6406" max="6406" width="11.140625" style="238" customWidth="1"/>
    <col min="6407" max="6408" width="15.5703125" style="238" customWidth="1"/>
    <col min="6409" max="6656" width="11.42578125" style="238"/>
    <col min="6657" max="6657" width="43" style="238" customWidth="1"/>
    <col min="6658" max="6658" width="19.5703125" style="238" customWidth="1"/>
    <col min="6659" max="6659" width="29.28515625" style="238" customWidth="1"/>
    <col min="6660" max="6660" width="19.42578125" style="238" customWidth="1"/>
    <col min="6661" max="6661" width="15.5703125" style="238" customWidth="1"/>
    <col min="6662" max="6662" width="11.140625" style="238" customWidth="1"/>
    <col min="6663" max="6664" width="15.5703125" style="238" customWidth="1"/>
    <col min="6665" max="6912" width="11.42578125" style="238"/>
    <col min="6913" max="6913" width="43" style="238" customWidth="1"/>
    <col min="6914" max="6914" width="19.5703125" style="238" customWidth="1"/>
    <col min="6915" max="6915" width="29.28515625" style="238" customWidth="1"/>
    <col min="6916" max="6916" width="19.42578125" style="238" customWidth="1"/>
    <col min="6917" max="6917" width="15.5703125" style="238" customWidth="1"/>
    <col min="6918" max="6918" width="11.140625" style="238" customWidth="1"/>
    <col min="6919" max="6920" width="15.5703125" style="238" customWidth="1"/>
    <col min="6921" max="7168" width="11.42578125" style="238"/>
    <col min="7169" max="7169" width="43" style="238" customWidth="1"/>
    <col min="7170" max="7170" width="19.5703125" style="238" customWidth="1"/>
    <col min="7171" max="7171" width="29.28515625" style="238" customWidth="1"/>
    <col min="7172" max="7172" width="19.42578125" style="238" customWidth="1"/>
    <col min="7173" max="7173" width="15.5703125" style="238" customWidth="1"/>
    <col min="7174" max="7174" width="11.140625" style="238" customWidth="1"/>
    <col min="7175" max="7176" width="15.5703125" style="238" customWidth="1"/>
    <col min="7177" max="7424" width="11.42578125" style="238"/>
    <col min="7425" max="7425" width="43" style="238" customWidth="1"/>
    <col min="7426" max="7426" width="19.5703125" style="238" customWidth="1"/>
    <col min="7427" max="7427" width="29.28515625" style="238" customWidth="1"/>
    <col min="7428" max="7428" width="19.42578125" style="238" customWidth="1"/>
    <col min="7429" max="7429" width="15.5703125" style="238" customWidth="1"/>
    <col min="7430" max="7430" width="11.140625" style="238" customWidth="1"/>
    <col min="7431" max="7432" width="15.5703125" style="238" customWidth="1"/>
    <col min="7433" max="7680" width="11.42578125" style="238"/>
    <col min="7681" max="7681" width="43" style="238" customWidth="1"/>
    <col min="7682" max="7682" width="19.5703125" style="238" customWidth="1"/>
    <col min="7683" max="7683" width="29.28515625" style="238" customWidth="1"/>
    <col min="7684" max="7684" width="19.42578125" style="238" customWidth="1"/>
    <col min="7685" max="7685" width="15.5703125" style="238" customWidth="1"/>
    <col min="7686" max="7686" width="11.140625" style="238" customWidth="1"/>
    <col min="7687" max="7688" width="15.5703125" style="238" customWidth="1"/>
    <col min="7689" max="7936" width="11.42578125" style="238"/>
    <col min="7937" max="7937" width="43" style="238" customWidth="1"/>
    <col min="7938" max="7938" width="19.5703125" style="238" customWidth="1"/>
    <col min="7939" max="7939" width="29.28515625" style="238" customWidth="1"/>
    <col min="7940" max="7940" width="19.42578125" style="238" customWidth="1"/>
    <col min="7941" max="7941" width="15.5703125" style="238" customWidth="1"/>
    <col min="7942" max="7942" width="11.140625" style="238" customWidth="1"/>
    <col min="7943" max="7944" width="15.5703125" style="238" customWidth="1"/>
    <col min="7945" max="8192" width="11.42578125" style="238"/>
    <col min="8193" max="8193" width="43" style="238" customWidth="1"/>
    <col min="8194" max="8194" width="19.5703125" style="238" customWidth="1"/>
    <col min="8195" max="8195" width="29.28515625" style="238" customWidth="1"/>
    <col min="8196" max="8196" width="19.42578125" style="238" customWidth="1"/>
    <col min="8197" max="8197" width="15.5703125" style="238" customWidth="1"/>
    <col min="8198" max="8198" width="11.140625" style="238" customWidth="1"/>
    <col min="8199" max="8200" width="15.5703125" style="238" customWidth="1"/>
    <col min="8201" max="8448" width="11.42578125" style="238"/>
    <col min="8449" max="8449" width="43" style="238" customWidth="1"/>
    <col min="8450" max="8450" width="19.5703125" style="238" customWidth="1"/>
    <col min="8451" max="8451" width="29.28515625" style="238" customWidth="1"/>
    <col min="8452" max="8452" width="19.42578125" style="238" customWidth="1"/>
    <col min="8453" max="8453" width="15.5703125" style="238" customWidth="1"/>
    <col min="8454" max="8454" width="11.140625" style="238" customWidth="1"/>
    <col min="8455" max="8456" width="15.5703125" style="238" customWidth="1"/>
    <col min="8457" max="8704" width="11.42578125" style="238"/>
    <col min="8705" max="8705" width="43" style="238" customWidth="1"/>
    <col min="8706" max="8706" width="19.5703125" style="238" customWidth="1"/>
    <col min="8707" max="8707" width="29.28515625" style="238" customWidth="1"/>
    <col min="8708" max="8708" width="19.42578125" style="238" customWidth="1"/>
    <col min="8709" max="8709" width="15.5703125" style="238" customWidth="1"/>
    <col min="8710" max="8710" width="11.140625" style="238" customWidth="1"/>
    <col min="8711" max="8712" width="15.5703125" style="238" customWidth="1"/>
    <col min="8713" max="8960" width="11.42578125" style="238"/>
    <col min="8961" max="8961" width="43" style="238" customWidth="1"/>
    <col min="8962" max="8962" width="19.5703125" style="238" customWidth="1"/>
    <col min="8963" max="8963" width="29.28515625" style="238" customWidth="1"/>
    <col min="8964" max="8964" width="19.42578125" style="238" customWidth="1"/>
    <col min="8965" max="8965" width="15.5703125" style="238" customWidth="1"/>
    <col min="8966" max="8966" width="11.140625" style="238" customWidth="1"/>
    <col min="8967" max="8968" width="15.5703125" style="238" customWidth="1"/>
    <col min="8969" max="9216" width="11.42578125" style="238"/>
    <col min="9217" max="9217" width="43" style="238" customWidth="1"/>
    <col min="9218" max="9218" width="19.5703125" style="238" customWidth="1"/>
    <col min="9219" max="9219" width="29.28515625" style="238" customWidth="1"/>
    <col min="9220" max="9220" width="19.42578125" style="238" customWidth="1"/>
    <col min="9221" max="9221" width="15.5703125" style="238" customWidth="1"/>
    <col min="9222" max="9222" width="11.140625" style="238" customWidth="1"/>
    <col min="9223" max="9224" width="15.5703125" style="238" customWidth="1"/>
    <col min="9225" max="9472" width="11.42578125" style="238"/>
    <col min="9473" max="9473" width="43" style="238" customWidth="1"/>
    <col min="9474" max="9474" width="19.5703125" style="238" customWidth="1"/>
    <col min="9475" max="9475" width="29.28515625" style="238" customWidth="1"/>
    <col min="9476" max="9476" width="19.42578125" style="238" customWidth="1"/>
    <col min="9477" max="9477" width="15.5703125" style="238" customWidth="1"/>
    <col min="9478" max="9478" width="11.140625" style="238" customWidth="1"/>
    <col min="9479" max="9480" width="15.5703125" style="238" customWidth="1"/>
    <col min="9481" max="9728" width="11.42578125" style="238"/>
    <col min="9729" max="9729" width="43" style="238" customWidth="1"/>
    <col min="9730" max="9730" width="19.5703125" style="238" customWidth="1"/>
    <col min="9731" max="9731" width="29.28515625" style="238" customWidth="1"/>
    <col min="9732" max="9732" width="19.42578125" style="238" customWidth="1"/>
    <col min="9733" max="9733" width="15.5703125" style="238" customWidth="1"/>
    <col min="9734" max="9734" width="11.140625" style="238" customWidth="1"/>
    <col min="9735" max="9736" width="15.5703125" style="238" customWidth="1"/>
    <col min="9737" max="9984" width="11.42578125" style="238"/>
    <col min="9985" max="9985" width="43" style="238" customWidth="1"/>
    <col min="9986" max="9986" width="19.5703125" style="238" customWidth="1"/>
    <col min="9987" max="9987" width="29.28515625" style="238" customWidth="1"/>
    <col min="9988" max="9988" width="19.42578125" style="238" customWidth="1"/>
    <col min="9989" max="9989" width="15.5703125" style="238" customWidth="1"/>
    <col min="9990" max="9990" width="11.140625" style="238" customWidth="1"/>
    <col min="9991" max="9992" width="15.5703125" style="238" customWidth="1"/>
    <col min="9993" max="10240" width="11.42578125" style="238"/>
    <col min="10241" max="10241" width="43" style="238" customWidth="1"/>
    <col min="10242" max="10242" width="19.5703125" style="238" customWidth="1"/>
    <col min="10243" max="10243" width="29.28515625" style="238" customWidth="1"/>
    <col min="10244" max="10244" width="19.42578125" style="238" customWidth="1"/>
    <col min="10245" max="10245" width="15.5703125" style="238" customWidth="1"/>
    <col min="10246" max="10246" width="11.140625" style="238" customWidth="1"/>
    <col min="10247" max="10248" width="15.5703125" style="238" customWidth="1"/>
    <col min="10249" max="10496" width="11.42578125" style="238"/>
    <col min="10497" max="10497" width="43" style="238" customWidth="1"/>
    <col min="10498" max="10498" width="19.5703125" style="238" customWidth="1"/>
    <col min="10499" max="10499" width="29.28515625" style="238" customWidth="1"/>
    <col min="10500" max="10500" width="19.42578125" style="238" customWidth="1"/>
    <col min="10501" max="10501" width="15.5703125" style="238" customWidth="1"/>
    <col min="10502" max="10502" width="11.140625" style="238" customWidth="1"/>
    <col min="10503" max="10504" width="15.5703125" style="238" customWidth="1"/>
    <col min="10505" max="10752" width="11.42578125" style="238"/>
    <col min="10753" max="10753" width="43" style="238" customWidth="1"/>
    <col min="10754" max="10754" width="19.5703125" style="238" customWidth="1"/>
    <col min="10755" max="10755" width="29.28515625" style="238" customWidth="1"/>
    <col min="10756" max="10756" width="19.42578125" style="238" customWidth="1"/>
    <col min="10757" max="10757" width="15.5703125" style="238" customWidth="1"/>
    <col min="10758" max="10758" width="11.140625" style="238" customWidth="1"/>
    <col min="10759" max="10760" width="15.5703125" style="238" customWidth="1"/>
    <col min="10761" max="11008" width="11.42578125" style="238"/>
    <col min="11009" max="11009" width="43" style="238" customWidth="1"/>
    <col min="11010" max="11010" width="19.5703125" style="238" customWidth="1"/>
    <col min="11011" max="11011" width="29.28515625" style="238" customWidth="1"/>
    <col min="11012" max="11012" width="19.42578125" style="238" customWidth="1"/>
    <col min="11013" max="11013" width="15.5703125" style="238" customWidth="1"/>
    <col min="11014" max="11014" width="11.140625" style="238" customWidth="1"/>
    <col min="11015" max="11016" width="15.5703125" style="238" customWidth="1"/>
    <col min="11017" max="11264" width="11.42578125" style="238"/>
    <col min="11265" max="11265" width="43" style="238" customWidth="1"/>
    <col min="11266" max="11266" width="19.5703125" style="238" customWidth="1"/>
    <col min="11267" max="11267" width="29.28515625" style="238" customWidth="1"/>
    <col min="11268" max="11268" width="19.42578125" style="238" customWidth="1"/>
    <col min="11269" max="11269" width="15.5703125" style="238" customWidth="1"/>
    <col min="11270" max="11270" width="11.140625" style="238" customWidth="1"/>
    <col min="11271" max="11272" width="15.5703125" style="238" customWidth="1"/>
    <col min="11273" max="11520" width="11.42578125" style="238"/>
    <col min="11521" max="11521" width="43" style="238" customWidth="1"/>
    <col min="11522" max="11522" width="19.5703125" style="238" customWidth="1"/>
    <col min="11523" max="11523" width="29.28515625" style="238" customWidth="1"/>
    <col min="11524" max="11524" width="19.42578125" style="238" customWidth="1"/>
    <col min="11525" max="11525" width="15.5703125" style="238" customWidth="1"/>
    <col min="11526" max="11526" width="11.140625" style="238" customWidth="1"/>
    <col min="11527" max="11528" width="15.5703125" style="238" customWidth="1"/>
    <col min="11529" max="11776" width="11.42578125" style="238"/>
    <col min="11777" max="11777" width="43" style="238" customWidth="1"/>
    <col min="11778" max="11778" width="19.5703125" style="238" customWidth="1"/>
    <col min="11779" max="11779" width="29.28515625" style="238" customWidth="1"/>
    <col min="11780" max="11780" width="19.42578125" style="238" customWidth="1"/>
    <col min="11781" max="11781" width="15.5703125" style="238" customWidth="1"/>
    <col min="11782" max="11782" width="11.140625" style="238" customWidth="1"/>
    <col min="11783" max="11784" width="15.5703125" style="238" customWidth="1"/>
    <col min="11785" max="12032" width="11.42578125" style="238"/>
    <col min="12033" max="12033" width="43" style="238" customWidth="1"/>
    <col min="12034" max="12034" width="19.5703125" style="238" customWidth="1"/>
    <col min="12035" max="12035" width="29.28515625" style="238" customWidth="1"/>
    <col min="12036" max="12036" width="19.42578125" style="238" customWidth="1"/>
    <col min="12037" max="12037" width="15.5703125" style="238" customWidth="1"/>
    <col min="12038" max="12038" width="11.140625" style="238" customWidth="1"/>
    <col min="12039" max="12040" width="15.5703125" style="238" customWidth="1"/>
    <col min="12041" max="12288" width="11.42578125" style="238"/>
    <col min="12289" max="12289" width="43" style="238" customWidth="1"/>
    <col min="12290" max="12290" width="19.5703125" style="238" customWidth="1"/>
    <col min="12291" max="12291" width="29.28515625" style="238" customWidth="1"/>
    <col min="12292" max="12292" width="19.42578125" style="238" customWidth="1"/>
    <col min="12293" max="12293" width="15.5703125" style="238" customWidth="1"/>
    <col min="12294" max="12294" width="11.140625" style="238" customWidth="1"/>
    <col min="12295" max="12296" width="15.5703125" style="238" customWidth="1"/>
    <col min="12297" max="12544" width="11.42578125" style="238"/>
    <col min="12545" max="12545" width="43" style="238" customWidth="1"/>
    <col min="12546" max="12546" width="19.5703125" style="238" customWidth="1"/>
    <col min="12547" max="12547" width="29.28515625" style="238" customWidth="1"/>
    <col min="12548" max="12548" width="19.42578125" style="238" customWidth="1"/>
    <col min="12549" max="12549" width="15.5703125" style="238" customWidth="1"/>
    <col min="12550" max="12550" width="11.140625" style="238" customWidth="1"/>
    <col min="12551" max="12552" width="15.5703125" style="238" customWidth="1"/>
    <col min="12553" max="12800" width="11.42578125" style="238"/>
    <col min="12801" max="12801" width="43" style="238" customWidth="1"/>
    <col min="12802" max="12802" width="19.5703125" style="238" customWidth="1"/>
    <col min="12803" max="12803" width="29.28515625" style="238" customWidth="1"/>
    <col min="12804" max="12804" width="19.42578125" style="238" customWidth="1"/>
    <col min="12805" max="12805" width="15.5703125" style="238" customWidth="1"/>
    <col min="12806" max="12806" width="11.140625" style="238" customWidth="1"/>
    <col min="12807" max="12808" width="15.5703125" style="238" customWidth="1"/>
    <col min="12809" max="13056" width="11.42578125" style="238"/>
    <col min="13057" max="13057" width="43" style="238" customWidth="1"/>
    <col min="13058" max="13058" width="19.5703125" style="238" customWidth="1"/>
    <col min="13059" max="13059" width="29.28515625" style="238" customWidth="1"/>
    <col min="13060" max="13060" width="19.42578125" style="238" customWidth="1"/>
    <col min="13061" max="13061" width="15.5703125" style="238" customWidth="1"/>
    <col min="13062" max="13062" width="11.140625" style="238" customWidth="1"/>
    <col min="13063" max="13064" width="15.5703125" style="238" customWidth="1"/>
    <col min="13065" max="13312" width="11.42578125" style="238"/>
    <col min="13313" max="13313" width="43" style="238" customWidth="1"/>
    <col min="13314" max="13314" width="19.5703125" style="238" customWidth="1"/>
    <col min="13315" max="13315" width="29.28515625" style="238" customWidth="1"/>
    <col min="13316" max="13316" width="19.42578125" style="238" customWidth="1"/>
    <col min="13317" max="13317" width="15.5703125" style="238" customWidth="1"/>
    <col min="13318" max="13318" width="11.140625" style="238" customWidth="1"/>
    <col min="13319" max="13320" width="15.5703125" style="238" customWidth="1"/>
    <col min="13321" max="13568" width="11.42578125" style="238"/>
    <col min="13569" max="13569" width="43" style="238" customWidth="1"/>
    <col min="13570" max="13570" width="19.5703125" style="238" customWidth="1"/>
    <col min="13571" max="13571" width="29.28515625" style="238" customWidth="1"/>
    <col min="13572" max="13572" width="19.42578125" style="238" customWidth="1"/>
    <col min="13573" max="13573" width="15.5703125" style="238" customWidth="1"/>
    <col min="13574" max="13574" width="11.140625" style="238" customWidth="1"/>
    <col min="13575" max="13576" width="15.5703125" style="238" customWidth="1"/>
    <col min="13577" max="13824" width="11.42578125" style="238"/>
    <col min="13825" max="13825" width="43" style="238" customWidth="1"/>
    <col min="13826" max="13826" width="19.5703125" style="238" customWidth="1"/>
    <col min="13827" max="13827" width="29.28515625" style="238" customWidth="1"/>
    <col min="13828" max="13828" width="19.42578125" style="238" customWidth="1"/>
    <col min="13829" max="13829" width="15.5703125" style="238" customWidth="1"/>
    <col min="13830" max="13830" width="11.140625" style="238" customWidth="1"/>
    <col min="13831" max="13832" width="15.5703125" style="238" customWidth="1"/>
    <col min="13833" max="14080" width="11.42578125" style="238"/>
    <col min="14081" max="14081" width="43" style="238" customWidth="1"/>
    <col min="14082" max="14082" width="19.5703125" style="238" customWidth="1"/>
    <col min="14083" max="14083" width="29.28515625" style="238" customWidth="1"/>
    <col min="14084" max="14084" width="19.42578125" style="238" customWidth="1"/>
    <col min="14085" max="14085" width="15.5703125" style="238" customWidth="1"/>
    <col min="14086" max="14086" width="11.140625" style="238" customWidth="1"/>
    <col min="14087" max="14088" width="15.5703125" style="238" customWidth="1"/>
    <col min="14089" max="14336" width="11.42578125" style="238"/>
    <col min="14337" max="14337" width="43" style="238" customWidth="1"/>
    <col min="14338" max="14338" width="19.5703125" style="238" customWidth="1"/>
    <col min="14339" max="14339" width="29.28515625" style="238" customWidth="1"/>
    <col min="14340" max="14340" width="19.42578125" style="238" customWidth="1"/>
    <col min="14341" max="14341" width="15.5703125" style="238" customWidth="1"/>
    <col min="14342" max="14342" width="11.140625" style="238" customWidth="1"/>
    <col min="14343" max="14344" width="15.5703125" style="238" customWidth="1"/>
    <col min="14345" max="14592" width="11.42578125" style="238"/>
    <col min="14593" max="14593" width="43" style="238" customWidth="1"/>
    <col min="14594" max="14594" width="19.5703125" style="238" customWidth="1"/>
    <col min="14595" max="14595" width="29.28515625" style="238" customWidth="1"/>
    <col min="14596" max="14596" width="19.42578125" style="238" customWidth="1"/>
    <col min="14597" max="14597" width="15.5703125" style="238" customWidth="1"/>
    <col min="14598" max="14598" width="11.140625" style="238" customWidth="1"/>
    <col min="14599" max="14600" width="15.5703125" style="238" customWidth="1"/>
    <col min="14601" max="14848" width="11.42578125" style="238"/>
    <col min="14849" max="14849" width="43" style="238" customWidth="1"/>
    <col min="14850" max="14850" width="19.5703125" style="238" customWidth="1"/>
    <col min="14851" max="14851" width="29.28515625" style="238" customWidth="1"/>
    <col min="14852" max="14852" width="19.42578125" style="238" customWidth="1"/>
    <col min="14853" max="14853" width="15.5703125" style="238" customWidth="1"/>
    <col min="14854" max="14854" width="11.140625" style="238" customWidth="1"/>
    <col min="14855" max="14856" width="15.5703125" style="238" customWidth="1"/>
    <col min="14857" max="15104" width="11.42578125" style="238"/>
    <col min="15105" max="15105" width="43" style="238" customWidth="1"/>
    <col min="15106" max="15106" width="19.5703125" style="238" customWidth="1"/>
    <col min="15107" max="15107" width="29.28515625" style="238" customWidth="1"/>
    <col min="15108" max="15108" width="19.42578125" style="238" customWidth="1"/>
    <col min="15109" max="15109" width="15.5703125" style="238" customWidth="1"/>
    <col min="15110" max="15110" width="11.140625" style="238" customWidth="1"/>
    <col min="15111" max="15112" width="15.5703125" style="238" customWidth="1"/>
    <col min="15113" max="15360" width="11.42578125" style="238"/>
    <col min="15361" max="15361" width="43" style="238" customWidth="1"/>
    <col min="15362" max="15362" width="19.5703125" style="238" customWidth="1"/>
    <col min="15363" max="15363" width="29.28515625" style="238" customWidth="1"/>
    <col min="15364" max="15364" width="19.42578125" style="238" customWidth="1"/>
    <col min="15365" max="15365" width="15.5703125" style="238" customWidth="1"/>
    <col min="15366" max="15366" width="11.140625" style="238" customWidth="1"/>
    <col min="15367" max="15368" width="15.5703125" style="238" customWidth="1"/>
    <col min="15369" max="15616" width="11.42578125" style="238"/>
    <col min="15617" max="15617" width="43" style="238" customWidth="1"/>
    <col min="15618" max="15618" width="19.5703125" style="238" customWidth="1"/>
    <col min="15619" max="15619" width="29.28515625" style="238" customWidth="1"/>
    <col min="15620" max="15620" width="19.42578125" style="238" customWidth="1"/>
    <col min="15621" max="15621" width="15.5703125" style="238" customWidth="1"/>
    <col min="15622" max="15622" width="11.140625" style="238" customWidth="1"/>
    <col min="15623" max="15624" width="15.5703125" style="238" customWidth="1"/>
    <col min="15625" max="15872" width="11.42578125" style="238"/>
    <col min="15873" max="15873" width="43" style="238" customWidth="1"/>
    <col min="15874" max="15874" width="19.5703125" style="238" customWidth="1"/>
    <col min="15875" max="15875" width="29.28515625" style="238" customWidth="1"/>
    <col min="15876" max="15876" width="19.42578125" style="238" customWidth="1"/>
    <col min="15877" max="15877" width="15.5703125" style="238" customWidth="1"/>
    <col min="15878" max="15878" width="11.140625" style="238" customWidth="1"/>
    <col min="15879" max="15880" width="15.5703125" style="238" customWidth="1"/>
    <col min="15881" max="16128" width="11.42578125" style="238"/>
    <col min="16129" max="16129" width="43" style="238" customWidth="1"/>
    <col min="16130" max="16130" width="19.5703125" style="238" customWidth="1"/>
    <col min="16131" max="16131" width="29.28515625" style="238" customWidth="1"/>
    <col min="16132" max="16132" width="19.42578125" style="238" customWidth="1"/>
    <col min="16133" max="16133" width="15.5703125" style="238" customWidth="1"/>
    <col min="16134" max="16134" width="11.140625" style="238" customWidth="1"/>
    <col min="16135" max="16136" width="15.5703125" style="238" customWidth="1"/>
    <col min="16137" max="16384" width="11.42578125" style="238"/>
  </cols>
  <sheetData>
    <row r="1" spans="1:22" s="397" customFormat="1" ht="15.75" x14ac:dyDescent="0.25">
      <c r="A1" s="396" t="s">
        <v>403</v>
      </c>
    </row>
    <row r="2" spans="1:22" s="399" customFormat="1" ht="15.75" x14ac:dyDescent="0.2">
      <c r="A2" s="383" t="s">
        <v>473</v>
      </c>
      <c r="B2" s="398"/>
      <c r="C2" s="398"/>
      <c r="D2" s="398"/>
      <c r="E2" s="398"/>
      <c r="F2" s="398"/>
      <c r="G2" s="398"/>
      <c r="H2" s="398"/>
      <c r="I2" s="398"/>
      <c r="J2" s="398"/>
      <c r="K2" s="398"/>
      <c r="L2" s="398"/>
      <c r="M2" s="398"/>
      <c r="N2" s="398"/>
      <c r="O2" s="398"/>
      <c r="P2" s="398"/>
      <c r="Q2" s="398"/>
      <c r="R2" s="398"/>
      <c r="S2" s="398"/>
      <c r="T2" s="398"/>
      <c r="U2" s="398"/>
      <c r="V2" s="398"/>
    </row>
    <row r="3" spans="1:22" ht="12.75" thickBot="1" x14ac:dyDescent="0.25"/>
    <row r="4" spans="1:22" ht="12.75" thickBot="1" x14ac:dyDescent="0.25">
      <c r="A4" s="642" t="s">
        <v>338</v>
      </c>
      <c r="B4" s="642" t="s">
        <v>82</v>
      </c>
      <c r="C4" s="644" t="s">
        <v>337</v>
      </c>
      <c r="D4" s="645"/>
      <c r="E4" s="645"/>
      <c r="F4" s="645"/>
      <c r="G4" s="645"/>
      <c r="H4" s="645"/>
    </row>
    <row r="5" spans="1:22" s="400" customFormat="1" ht="13.5" customHeight="1" thickBot="1" x14ac:dyDescent="0.25">
      <c r="A5" s="643"/>
      <c r="B5" s="643"/>
      <c r="C5" s="252" t="s">
        <v>336</v>
      </c>
      <c r="D5" s="301" t="s">
        <v>335</v>
      </c>
      <c r="E5" s="251" t="s">
        <v>334</v>
      </c>
      <c r="F5" s="250" t="s">
        <v>333</v>
      </c>
      <c r="G5" s="250" t="s">
        <v>697</v>
      </c>
      <c r="H5" s="250" t="s">
        <v>432</v>
      </c>
    </row>
    <row r="6" spans="1:22" x14ac:dyDescent="0.2">
      <c r="A6" s="249"/>
      <c r="B6" s="248"/>
      <c r="C6" s="246"/>
      <c r="D6" s="401"/>
      <c r="E6" s="247"/>
      <c r="F6" s="246"/>
      <c r="G6" s="246"/>
      <c r="H6" s="246"/>
    </row>
    <row r="7" spans="1:22" x14ac:dyDescent="0.2">
      <c r="A7" s="244" t="s">
        <v>38</v>
      </c>
      <c r="B7" s="402" t="s">
        <v>698</v>
      </c>
      <c r="C7" s="403" t="s">
        <v>699</v>
      </c>
      <c r="D7" s="404" t="s">
        <v>700</v>
      </c>
      <c r="E7" s="405">
        <v>2005</v>
      </c>
      <c r="F7" s="403" t="s">
        <v>701</v>
      </c>
      <c r="G7" s="406">
        <f>1757347.27+4555530+59845</f>
        <v>6372722.2699999996</v>
      </c>
      <c r="H7" s="406">
        <f>1757347.27+4555530+4317730</f>
        <v>10630607.27</v>
      </c>
    </row>
    <row r="8" spans="1:22" x14ac:dyDescent="0.2">
      <c r="A8" s="244"/>
      <c r="B8" s="243"/>
      <c r="C8" s="246"/>
      <c r="D8" s="401"/>
      <c r="E8" s="247"/>
      <c r="F8" s="246"/>
      <c r="G8" s="246"/>
      <c r="H8" s="246"/>
    </row>
    <row r="9" spans="1:22" x14ac:dyDescent="0.2">
      <c r="A9" s="244" t="s">
        <v>39</v>
      </c>
      <c r="B9" s="402" t="s">
        <v>698</v>
      </c>
      <c r="C9" s="403" t="s">
        <v>699</v>
      </c>
      <c r="D9" s="404" t="s">
        <v>702</v>
      </c>
      <c r="E9" s="405" t="s">
        <v>703</v>
      </c>
      <c r="F9" s="403" t="s">
        <v>701</v>
      </c>
      <c r="G9" s="406">
        <v>490192.62</v>
      </c>
      <c r="H9" s="406">
        <v>938050.19</v>
      </c>
    </row>
    <row r="10" spans="1:22" x14ac:dyDescent="0.2">
      <c r="A10" s="244"/>
      <c r="B10" s="243"/>
      <c r="C10" s="246"/>
      <c r="D10" s="401"/>
      <c r="E10" s="247"/>
      <c r="F10" s="246"/>
      <c r="G10" s="246"/>
      <c r="H10" s="246"/>
    </row>
    <row r="11" spans="1:22" x14ac:dyDescent="0.2">
      <c r="A11" s="244" t="s">
        <v>40</v>
      </c>
      <c r="B11" s="402" t="s">
        <v>698</v>
      </c>
      <c r="C11" s="403" t="s">
        <v>699</v>
      </c>
      <c r="D11" s="404" t="s">
        <v>704</v>
      </c>
      <c r="E11" s="405" t="s">
        <v>705</v>
      </c>
      <c r="F11" s="403" t="s">
        <v>701</v>
      </c>
      <c r="G11" s="406">
        <f>0.07+1610933.83+255864.64+36842.48</f>
        <v>1903641.02</v>
      </c>
      <c r="H11" s="406">
        <f>0.07+797981.49+1099094.65+832897.77+12498.31</f>
        <v>2742472.29</v>
      </c>
    </row>
    <row r="12" spans="1:22" x14ac:dyDescent="0.2">
      <c r="A12" s="244" t="s">
        <v>332</v>
      </c>
      <c r="B12" s="243"/>
      <c r="C12" s="246"/>
      <c r="D12" s="401"/>
      <c r="E12" s="247"/>
      <c r="F12" s="246"/>
      <c r="G12" s="406"/>
      <c r="H12" s="406"/>
    </row>
    <row r="13" spans="1:22" x14ac:dyDescent="0.2">
      <c r="A13" s="244"/>
      <c r="B13" s="243"/>
      <c r="C13" s="246"/>
      <c r="D13" s="401"/>
      <c r="E13" s="247"/>
      <c r="F13" s="246"/>
      <c r="G13" s="406"/>
      <c r="H13" s="406"/>
    </row>
    <row r="14" spans="1:22" x14ac:dyDescent="0.2">
      <c r="A14" s="244" t="s">
        <v>41</v>
      </c>
      <c r="B14" s="402" t="s">
        <v>698</v>
      </c>
      <c r="C14" s="403" t="s">
        <v>699</v>
      </c>
      <c r="D14" s="404" t="s">
        <v>706</v>
      </c>
      <c r="E14" s="405" t="s">
        <v>707</v>
      </c>
      <c r="F14" s="403" t="s">
        <v>701</v>
      </c>
      <c r="G14" s="406">
        <v>2115443.65</v>
      </c>
      <c r="H14" s="406">
        <v>2039572.87</v>
      </c>
    </row>
    <row r="15" spans="1:22" x14ac:dyDescent="0.2">
      <c r="A15" s="244"/>
      <c r="B15" s="243"/>
      <c r="C15" s="246"/>
      <c r="D15" s="401"/>
      <c r="E15" s="247"/>
      <c r="F15" s="246"/>
      <c r="G15" s="406"/>
      <c r="H15" s="406"/>
    </row>
    <row r="16" spans="1:22" x14ac:dyDescent="0.2">
      <c r="A16" s="244" t="s">
        <v>42</v>
      </c>
      <c r="B16" s="402" t="s">
        <v>698</v>
      </c>
      <c r="C16" s="403" t="s">
        <v>699</v>
      </c>
      <c r="D16" s="404" t="s">
        <v>708</v>
      </c>
      <c r="E16" s="405">
        <v>2005</v>
      </c>
      <c r="F16" s="403" t="s">
        <v>701</v>
      </c>
      <c r="G16" s="406"/>
      <c r="H16" s="406"/>
    </row>
    <row r="17" spans="1:8" x14ac:dyDescent="0.2">
      <c r="A17" s="244"/>
      <c r="B17" s="243"/>
      <c r="C17" s="246"/>
      <c r="D17" s="401"/>
      <c r="E17" s="247"/>
      <c r="F17" s="246"/>
      <c r="G17" s="406"/>
      <c r="H17" s="406"/>
    </row>
    <row r="18" spans="1:8" x14ac:dyDescent="0.2">
      <c r="A18" s="244" t="s">
        <v>46</v>
      </c>
      <c r="B18" s="243"/>
      <c r="C18" s="246"/>
      <c r="D18" s="404"/>
      <c r="E18" s="247"/>
      <c r="F18" s="246"/>
      <c r="G18" s="406"/>
      <c r="H18" s="406"/>
    </row>
    <row r="19" spans="1:8" x14ac:dyDescent="0.2">
      <c r="A19" s="244" t="s">
        <v>709</v>
      </c>
      <c r="B19" s="243"/>
      <c r="C19" s="246"/>
      <c r="D19" s="401"/>
      <c r="E19" s="247"/>
      <c r="F19" s="246"/>
      <c r="G19" s="406">
        <f>360763.58+9702.12+558934.68</f>
        <v>929400.38000000012</v>
      </c>
      <c r="H19" s="406">
        <f>577497.16+9712.23+558934.68</f>
        <v>1146144.07</v>
      </c>
    </row>
    <row r="20" spans="1:8" x14ac:dyDescent="0.2">
      <c r="A20" s="244" t="s">
        <v>43</v>
      </c>
      <c r="B20" s="243"/>
      <c r="C20" s="246"/>
      <c r="D20" s="401"/>
      <c r="E20" s="247"/>
      <c r="F20" s="246"/>
      <c r="G20" s="246"/>
      <c r="H20" s="406"/>
    </row>
    <row r="21" spans="1:8" x14ac:dyDescent="0.2">
      <c r="A21" s="244" t="s">
        <v>44</v>
      </c>
      <c r="B21" s="243"/>
      <c r="C21" s="246"/>
      <c r="D21" s="401"/>
      <c r="E21" s="247"/>
      <c r="F21" s="246"/>
      <c r="G21" s="246"/>
      <c r="H21" s="406"/>
    </row>
    <row r="22" spans="1:8" x14ac:dyDescent="0.2">
      <c r="A22" s="244" t="s">
        <v>45</v>
      </c>
      <c r="B22" s="243"/>
      <c r="C22" s="246"/>
      <c r="D22" s="401"/>
      <c r="E22" s="247"/>
      <c r="F22" s="246"/>
      <c r="G22" s="246"/>
      <c r="H22" s="406"/>
    </row>
    <row r="23" spans="1:8" x14ac:dyDescent="0.2">
      <c r="A23" s="244" t="s">
        <v>331</v>
      </c>
      <c r="B23" s="243"/>
      <c r="C23" s="246"/>
      <c r="D23" s="401"/>
      <c r="E23" s="247"/>
      <c r="F23" s="246"/>
      <c r="G23" s="246"/>
      <c r="H23" s="406"/>
    </row>
    <row r="24" spans="1:8" x14ac:dyDescent="0.2">
      <c r="A24" s="244" t="s">
        <v>710</v>
      </c>
      <c r="B24" s="243"/>
      <c r="C24" s="246"/>
      <c r="D24" s="401"/>
      <c r="E24" s="247"/>
      <c r="F24" s="246"/>
      <c r="G24" s="406">
        <f>389720.33+4823.85</f>
        <v>394544.18</v>
      </c>
      <c r="H24" s="406">
        <f>307575.91+4827.43</f>
        <v>312403.33999999997</v>
      </c>
    </row>
    <row r="25" spans="1:8" x14ac:dyDescent="0.2">
      <c r="A25" s="244" t="s">
        <v>711</v>
      </c>
      <c r="B25" s="243"/>
      <c r="C25" s="246"/>
      <c r="D25" s="401"/>
      <c r="E25" s="247"/>
      <c r="F25" s="246"/>
      <c r="G25" s="406">
        <v>999.47</v>
      </c>
      <c r="H25" s="406">
        <v>1000.18</v>
      </c>
    </row>
    <row r="26" spans="1:8" x14ac:dyDescent="0.2">
      <c r="A26" s="244" t="s">
        <v>712</v>
      </c>
      <c r="B26" s="243"/>
      <c r="C26" s="246"/>
      <c r="D26" s="401"/>
      <c r="E26" s="247"/>
      <c r="F26" s="246"/>
      <c r="G26" s="406">
        <v>0</v>
      </c>
      <c r="H26" s="406">
        <v>13331178.49</v>
      </c>
    </row>
    <row r="27" spans="1:8" ht="12.75" thickBot="1" x14ac:dyDescent="0.25">
      <c r="A27" s="244"/>
      <c r="B27" s="245"/>
      <c r="C27" s="243"/>
      <c r="E27" s="244"/>
      <c r="F27" s="243"/>
      <c r="G27" s="406"/>
      <c r="H27" s="406"/>
    </row>
    <row r="28" spans="1:8" ht="12.75" thickBot="1" x14ac:dyDescent="0.25">
      <c r="A28" s="242" t="s">
        <v>0</v>
      </c>
      <c r="B28" s="241"/>
      <c r="C28" s="240"/>
      <c r="D28" s="240"/>
      <c r="E28" s="240"/>
      <c r="F28" s="240"/>
      <c r="G28" s="240"/>
      <c r="H28" s="239"/>
    </row>
    <row r="29" spans="1:8" x14ac:dyDescent="0.2">
      <c r="A29" s="238" t="s">
        <v>713</v>
      </c>
    </row>
    <row r="30" spans="1:8" x14ac:dyDescent="0.2">
      <c r="A30" s="238" t="s">
        <v>408</v>
      </c>
    </row>
  </sheetData>
  <mergeCells count="3">
    <mergeCell ref="A4:A5"/>
    <mergeCell ref="B4:B5"/>
    <mergeCell ref="C4:H4"/>
  </mergeCells>
  <printOptions horizontalCentered="1"/>
  <pageMargins left="0.47244094488188981" right="0.43307086614173229" top="0.74803149606299213" bottom="0.74803149606299213" header="0.31496062992125984" footer="0.31496062992125984"/>
  <pageSetup paperSize="9" scale="83" orientation="landscape" r:id="rId1"/>
  <headerFooter alignWithMargins="0">
    <oddHeader xml:space="preserve">&amp;C&amp;"Arial,Negrita"&amp;18PROYECTO DE PRESUPUESTO 2022
</oddHeader>
    <oddFooter>&amp;L&amp;"Arial,Negrita"&amp;8PROYECTO DE PRESUPUESTO PARA EL AÑO FISCAL 2022
INFORMACIÓN PARA LA COMISIÓN DE PRESUPUESTO Y CUENTA GENERAL DE LA REPÚBLICA DEL CONGRESO DE LA REPÚBLICA</oddFooter>
  </headerFooter>
  <colBreaks count="1" manualBreakCount="1">
    <brk id="8"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5BCBE-E4A4-46CC-BEB5-16C998B1A334}">
  <sheetPr>
    <tabColor theme="9" tint="-0.249977111117893"/>
  </sheetPr>
  <dimension ref="A1:V69"/>
  <sheetViews>
    <sheetView zoomScaleNormal="100" zoomScaleSheetLayoutView="100" zoomScalePageLayoutView="75" workbookViewId="0">
      <selection activeCell="B5" sqref="B5:E5"/>
    </sheetView>
  </sheetViews>
  <sheetFormatPr baseColWidth="10" defaultRowHeight="12" x14ac:dyDescent="0.2"/>
  <cols>
    <col min="1" max="1" width="10.85546875" style="95" customWidth="1"/>
    <col min="2" max="2" width="15.5703125" style="95" customWidth="1"/>
    <col min="3" max="3" width="10.140625" style="95" bestFit="1" customWidth="1"/>
    <col min="4" max="5" width="18.7109375" style="95" customWidth="1"/>
    <col min="6" max="6" width="11.140625" style="95" customWidth="1"/>
    <col min="7" max="7" width="39.28515625" style="95" bestFit="1" customWidth="1"/>
    <col min="8" max="8" width="20.85546875" style="386" customWidth="1"/>
    <col min="9" max="9" width="37.85546875" style="386" customWidth="1"/>
    <col min="10" max="10" width="37.85546875" style="387" customWidth="1"/>
    <col min="11" max="11" width="7.7109375" style="388" bestFit="1" customWidth="1"/>
    <col min="12" max="12" width="5.42578125" style="49" bestFit="1" customWidth="1"/>
    <col min="13" max="13" width="8.85546875" style="95" bestFit="1" customWidth="1"/>
    <col min="14" max="15" width="7.140625" style="95" customWidth="1"/>
    <col min="16" max="16" width="8.85546875" style="95" customWidth="1"/>
    <col min="17" max="256" width="11.42578125" style="95"/>
    <col min="257" max="257" width="10.85546875" style="95" customWidth="1"/>
    <col min="258" max="258" width="15.5703125" style="95" customWidth="1"/>
    <col min="259" max="259" width="11.140625" style="95" customWidth="1"/>
    <col min="260" max="261" width="18.7109375" style="95" customWidth="1"/>
    <col min="262" max="262" width="11.140625" style="95" customWidth="1"/>
    <col min="263" max="263" width="39.28515625" style="95" bestFit="1" customWidth="1"/>
    <col min="264" max="264" width="23.140625" style="95" bestFit="1" customWidth="1"/>
    <col min="265" max="265" width="60.5703125" style="95" bestFit="1" customWidth="1"/>
    <col min="266" max="266" width="59.85546875" style="95" bestFit="1" customWidth="1"/>
    <col min="267" max="267" width="7.140625" style="95" customWidth="1"/>
    <col min="268" max="268" width="5.42578125" style="95" bestFit="1" customWidth="1"/>
    <col min="269" max="269" width="8.85546875" style="95" bestFit="1" customWidth="1"/>
    <col min="270" max="271" width="7.140625" style="95" customWidth="1"/>
    <col min="272" max="272" width="8.85546875" style="95" customWidth="1"/>
    <col min="273" max="512" width="11.42578125" style="95"/>
    <col min="513" max="513" width="10.85546875" style="95" customWidth="1"/>
    <col min="514" max="514" width="15.5703125" style="95" customWidth="1"/>
    <col min="515" max="515" width="11.140625" style="95" customWidth="1"/>
    <col min="516" max="517" width="18.7109375" style="95" customWidth="1"/>
    <col min="518" max="518" width="11.140625" style="95" customWidth="1"/>
    <col min="519" max="519" width="39.28515625" style="95" bestFit="1" customWidth="1"/>
    <col min="520" max="520" width="23.140625" style="95" bestFit="1" customWidth="1"/>
    <col min="521" max="521" width="60.5703125" style="95" bestFit="1" customWidth="1"/>
    <col min="522" max="522" width="59.85546875" style="95" bestFit="1" customWidth="1"/>
    <col min="523" max="523" width="7.140625" style="95" customWidth="1"/>
    <col min="524" max="524" width="5.42578125" style="95" bestFit="1" customWidth="1"/>
    <col min="525" max="525" width="8.85546875" style="95" bestFit="1" customWidth="1"/>
    <col min="526" max="527" width="7.140625" style="95" customWidth="1"/>
    <col min="528" max="528" width="8.85546875" style="95" customWidth="1"/>
    <col min="529" max="768" width="11.42578125" style="95"/>
    <col min="769" max="769" width="10.85546875" style="95" customWidth="1"/>
    <col min="770" max="770" width="15.5703125" style="95" customWidth="1"/>
    <col min="771" max="771" width="11.140625" style="95" customWidth="1"/>
    <col min="772" max="773" width="18.7109375" style="95" customWidth="1"/>
    <col min="774" max="774" width="11.140625" style="95" customWidth="1"/>
    <col min="775" max="775" width="39.28515625" style="95" bestFit="1" customWidth="1"/>
    <col min="776" max="776" width="23.140625" style="95" bestFit="1" customWidth="1"/>
    <col min="777" max="777" width="60.5703125" style="95" bestFit="1" customWidth="1"/>
    <col min="778" max="778" width="59.85546875" style="95" bestFit="1" customWidth="1"/>
    <col min="779" max="779" width="7.140625" style="95" customWidth="1"/>
    <col min="780" max="780" width="5.42578125" style="95" bestFit="1" customWidth="1"/>
    <col min="781" max="781" width="8.85546875" style="95" bestFit="1" customWidth="1"/>
    <col min="782" max="783" width="7.140625" style="95" customWidth="1"/>
    <col min="784" max="784" width="8.85546875" style="95" customWidth="1"/>
    <col min="785" max="1024" width="11.42578125" style="95"/>
    <col min="1025" max="1025" width="10.85546875" style="95" customWidth="1"/>
    <col min="1026" max="1026" width="15.5703125" style="95" customWidth="1"/>
    <col min="1027" max="1027" width="11.140625" style="95" customWidth="1"/>
    <col min="1028" max="1029" width="18.7109375" style="95" customWidth="1"/>
    <col min="1030" max="1030" width="11.140625" style="95" customWidth="1"/>
    <col min="1031" max="1031" width="39.28515625" style="95" bestFit="1" customWidth="1"/>
    <col min="1032" max="1032" width="23.140625" style="95" bestFit="1" customWidth="1"/>
    <col min="1033" max="1033" width="60.5703125" style="95" bestFit="1" customWidth="1"/>
    <col min="1034" max="1034" width="59.85546875" style="95" bestFit="1" customWidth="1"/>
    <col min="1035" max="1035" width="7.140625" style="95" customWidth="1"/>
    <col min="1036" max="1036" width="5.42578125" style="95" bestFit="1" customWidth="1"/>
    <col min="1037" max="1037" width="8.85546875" style="95" bestFit="1" customWidth="1"/>
    <col min="1038" max="1039" width="7.140625" style="95" customWidth="1"/>
    <col min="1040" max="1040" width="8.85546875" style="95" customWidth="1"/>
    <col min="1041" max="1280" width="11.42578125" style="95"/>
    <col min="1281" max="1281" width="10.85546875" style="95" customWidth="1"/>
    <col min="1282" max="1282" width="15.5703125" style="95" customWidth="1"/>
    <col min="1283" max="1283" width="11.140625" style="95" customWidth="1"/>
    <col min="1284" max="1285" width="18.7109375" style="95" customWidth="1"/>
    <col min="1286" max="1286" width="11.140625" style="95" customWidth="1"/>
    <col min="1287" max="1287" width="39.28515625" style="95" bestFit="1" customWidth="1"/>
    <col min="1288" max="1288" width="23.140625" style="95" bestFit="1" customWidth="1"/>
    <col min="1289" max="1289" width="60.5703125" style="95" bestFit="1" customWidth="1"/>
    <col min="1290" max="1290" width="59.85546875" style="95" bestFit="1" customWidth="1"/>
    <col min="1291" max="1291" width="7.140625" style="95" customWidth="1"/>
    <col min="1292" max="1292" width="5.42578125" style="95" bestFit="1" customWidth="1"/>
    <col min="1293" max="1293" width="8.85546875" style="95" bestFit="1" customWidth="1"/>
    <col min="1294" max="1295" width="7.140625" style="95" customWidth="1"/>
    <col min="1296" max="1296" width="8.85546875" style="95" customWidth="1"/>
    <col min="1297" max="1536" width="11.42578125" style="95"/>
    <col min="1537" max="1537" width="10.85546875" style="95" customWidth="1"/>
    <col min="1538" max="1538" width="15.5703125" style="95" customWidth="1"/>
    <col min="1539" max="1539" width="11.140625" style="95" customWidth="1"/>
    <col min="1540" max="1541" width="18.7109375" style="95" customWidth="1"/>
    <col min="1542" max="1542" width="11.140625" style="95" customWidth="1"/>
    <col min="1543" max="1543" width="39.28515625" style="95" bestFit="1" customWidth="1"/>
    <col min="1544" max="1544" width="23.140625" style="95" bestFit="1" customWidth="1"/>
    <col min="1545" max="1545" width="60.5703125" style="95" bestFit="1" customWidth="1"/>
    <col min="1546" max="1546" width="59.85546875" style="95" bestFit="1" customWidth="1"/>
    <col min="1547" max="1547" width="7.140625" style="95" customWidth="1"/>
    <col min="1548" max="1548" width="5.42578125" style="95" bestFit="1" customWidth="1"/>
    <col min="1549" max="1549" width="8.85546875" style="95" bestFit="1" customWidth="1"/>
    <col min="1550" max="1551" width="7.140625" style="95" customWidth="1"/>
    <col min="1552" max="1552" width="8.85546875" style="95" customWidth="1"/>
    <col min="1553" max="1792" width="11.42578125" style="95"/>
    <col min="1793" max="1793" width="10.85546875" style="95" customWidth="1"/>
    <col min="1794" max="1794" width="15.5703125" style="95" customWidth="1"/>
    <col min="1795" max="1795" width="11.140625" style="95" customWidth="1"/>
    <col min="1796" max="1797" width="18.7109375" style="95" customWidth="1"/>
    <col min="1798" max="1798" width="11.140625" style="95" customWidth="1"/>
    <col min="1799" max="1799" width="39.28515625" style="95" bestFit="1" customWidth="1"/>
    <col min="1800" max="1800" width="23.140625" style="95" bestFit="1" customWidth="1"/>
    <col min="1801" max="1801" width="60.5703125" style="95" bestFit="1" customWidth="1"/>
    <col min="1802" max="1802" width="59.85546875" style="95" bestFit="1" customWidth="1"/>
    <col min="1803" max="1803" width="7.140625" style="95" customWidth="1"/>
    <col min="1804" max="1804" width="5.42578125" style="95" bestFit="1" customWidth="1"/>
    <col min="1805" max="1805" width="8.85546875" style="95" bestFit="1" customWidth="1"/>
    <col min="1806" max="1807" width="7.140625" style="95" customWidth="1"/>
    <col min="1808" max="1808" width="8.85546875" style="95" customWidth="1"/>
    <col min="1809" max="2048" width="11.42578125" style="95"/>
    <col min="2049" max="2049" width="10.85546875" style="95" customWidth="1"/>
    <col min="2050" max="2050" width="15.5703125" style="95" customWidth="1"/>
    <col min="2051" max="2051" width="11.140625" style="95" customWidth="1"/>
    <col min="2052" max="2053" width="18.7109375" style="95" customWidth="1"/>
    <col min="2054" max="2054" width="11.140625" style="95" customWidth="1"/>
    <col min="2055" max="2055" width="39.28515625" style="95" bestFit="1" customWidth="1"/>
    <col min="2056" max="2056" width="23.140625" style="95" bestFit="1" customWidth="1"/>
    <col min="2057" max="2057" width="60.5703125" style="95" bestFit="1" customWidth="1"/>
    <col min="2058" max="2058" width="59.85546875" style="95" bestFit="1" customWidth="1"/>
    <col min="2059" max="2059" width="7.140625" style="95" customWidth="1"/>
    <col min="2060" max="2060" width="5.42578125" style="95" bestFit="1" customWidth="1"/>
    <col min="2061" max="2061" width="8.85546875" style="95" bestFit="1" customWidth="1"/>
    <col min="2062" max="2063" width="7.140625" style="95" customWidth="1"/>
    <col min="2064" max="2064" width="8.85546875" style="95" customWidth="1"/>
    <col min="2065" max="2304" width="11.42578125" style="95"/>
    <col min="2305" max="2305" width="10.85546875" style="95" customWidth="1"/>
    <col min="2306" max="2306" width="15.5703125" style="95" customWidth="1"/>
    <col min="2307" max="2307" width="11.140625" style="95" customWidth="1"/>
    <col min="2308" max="2309" width="18.7109375" style="95" customWidth="1"/>
    <col min="2310" max="2310" width="11.140625" style="95" customWidth="1"/>
    <col min="2311" max="2311" width="39.28515625" style="95" bestFit="1" customWidth="1"/>
    <col min="2312" max="2312" width="23.140625" style="95" bestFit="1" customWidth="1"/>
    <col min="2313" max="2313" width="60.5703125" style="95" bestFit="1" customWidth="1"/>
    <col min="2314" max="2314" width="59.85546875" style="95" bestFit="1" customWidth="1"/>
    <col min="2315" max="2315" width="7.140625" style="95" customWidth="1"/>
    <col min="2316" max="2316" width="5.42578125" style="95" bestFit="1" customWidth="1"/>
    <col min="2317" max="2317" width="8.85546875" style="95" bestFit="1" customWidth="1"/>
    <col min="2318" max="2319" width="7.140625" style="95" customWidth="1"/>
    <col min="2320" max="2320" width="8.85546875" style="95" customWidth="1"/>
    <col min="2321" max="2560" width="11.42578125" style="95"/>
    <col min="2561" max="2561" width="10.85546875" style="95" customWidth="1"/>
    <col min="2562" max="2562" width="15.5703125" style="95" customWidth="1"/>
    <col min="2563" max="2563" width="11.140625" style="95" customWidth="1"/>
    <col min="2564" max="2565" width="18.7109375" style="95" customWidth="1"/>
    <col min="2566" max="2566" width="11.140625" style="95" customWidth="1"/>
    <col min="2567" max="2567" width="39.28515625" style="95" bestFit="1" customWidth="1"/>
    <col min="2568" max="2568" width="23.140625" style="95" bestFit="1" customWidth="1"/>
    <col min="2569" max="2569" width="60.5703125" style="95" bestFit="1" customWidth="1"/>
    <col min="2570" max="2570" width="59.85546875" style="95" bestFit="1" customWidth="1"/>
    <col min="2571" max="2571" width="7.140625" style="95" customWidth="1"/>
    <col min="2572" max="2572" width="5.42578125" style="95" bestFit="1" customWidth="1"/>
    <col min="2573" max="2573" width="8.85546875" style="95" bestFit="1" customWidth="1"/>
    <col min="2574" max="2575" width="7.140625" style="95" customWidth="1"/>
    <col min="2576" max="2576" width="8.85546875" style="95" customWidth="1"/>
    <col min="2577" max="2816" width="11.42578125" style="95"/>
    <col min="2817" max="2817" width="10.85546875" style="95" customWidth="1"/>
    <col min="2818" max="2818" width="15.5703125" style="95" customWidth="1"/>
    <col min="2819" max="2819" width="11.140625" style="95" customWidth="1"/>
    <col min="2820" max="2821" width="18.7109375" style="95" customWidth="1"/>
    <col min="2822" max="2822" width="11.140625" style="95" customWidth="1"/>
    <col min="2823" max="2823" width="39.28515625" style="95" bestFit="1" customWidth="1"/>
    <col min="2824" max="2824" width="23.140625" style="95" bestFit="1" customWidth="1"/>
    <col min="2825" max="2825" width="60.5703125" style="95" bestFit="1" customWidth="1"/>
    <col min="2826" max="2826" width="59.85546875" style="95" bestFit="1" customWidth="1"/>
    <col min="2827" max="2827" width="7.140625" style="95" customWidth="1"/>
    <col min="2828" max="2828" width="5.42578125" style="95" bestFit="1" customWidth="1"/>
    <col min="2829" max="2829" width="8.85546875" style="95" bestFit="1" customWidth="1"/>
    <col min="2830" max="2831" width="7.140625" style="95" customWidth="1"/>
    <col min="2832" max="2832" width="8.85546875" style="95" customWidth="1"/>
    <col min="2833" max="3072" width="11.42578125" style="95"/>
    <col min="3073" max="3073" width="10.85546875" style="95" customWidth="1"/>
    <col min="3074" max="3074" width="15.5703125" style="95" customWidth="1"/>
    <col min="3075" max="3075" width="11.140625" style="95" customWidth="1"/>
    <col min="3076" max="3077" width="18.7109375" style="95" customWidth="1"/>
    <col min="3078" max="3078" width="11.140625" style="95" customWidth="1"/>
    <col min="3079" max="3079" width="39.28515625" style="95" bestFit="1" customWidth="1"/>
    <col min="3080" max="3080" width="23.140625" style="95" bestFit="1" customWidth="1"/>
    <col min="3081" max="3081" width="60.5703125" style="95" bestFit="1" customWidth="1"/>
    <col min="3082" max="3082" width="59.85546875" style="95" bestFit="1" customWidth="1"/>
    <col min="3083" max="3083" width="7.140625" style="95" customWidth="1"/>
    <col min="3084" max="3084" width="5.42578125" style="95" bestFit="1" customWidth="1"/>
    <col min="3085" max="3085" width="8.85546875" style="95" bestFit="1" customWidth="1"/>
    <col min="3086" max="3087" width="7.140625" style="95" customWidth="1"/>
    <col min="3088" max="3088" width="8.85546875" style="95" customWidth="1"/>
    <col min="3089" max="3328" width="11.42578125" style="95"/>
    <col min="3329" max="3329" width="10.85546875" style="95" customWidth="1"/>
    <col min="3330" max="3330" width="15.5703125" style="95" customWidth="1"/>
    <col min="3331" max="3331" width="11.140625" style="95" customWidth="1"/>
    <col min="3332" max="3333" width="18.7109375" style="95" customWidth="1"/>
    <col min="3334" max="3334" width="11.140625" style="95" customWidth="1"/>
    <col min="3335" max="3335" width="39.28515625" style="95" bestFit="1" customWidth="1"/>
    <col min="3336" max="3336" width="23.140625" style="95" bestFit="1" customWidth="1"/>
    <col min="3337" max="3337" width="60.5703125" style="95" bestFit="1" customWidth="1"/>
    <col min="3338" max="3338" width="59.85546875" style="95" bestFit="1" customWidth="1"/>
    <col min="3339" max="3339" width="7.140625" style="95" customWidth="1"/>
    <col min="3340" max="3340" width="5.42578125" style="95" bestFit="1" customWidth="1"/>
    <col min="3341" max="3341" width="8.85546875" style="95" bestFit="1" customWidth="1"/>
    <col min="3342" max="3343" width="7.140625" style="95" customWidth="1"/>
    <col min="3344" max="3344" width="8.85546875" style="95" customWidth="1"/>
    <col min="3345" max="3584" width="11.42578125" style="95"/>
    <col min="3585" max="3585" width="10.85546875" style="95" customWidth="1"/>
    <col min="3586" max="3586" width="15.5703125" style="95" customWidth="1"/>
    <col min="3587" max="3587" width="11.140625" style="95" customWidth="1"/>
    <col min="3588" max="3589" width="18.7109375" style="95" customWidth="1"/>
    <col min="3590" max="3590" width="11.140625" style="95" customWidth="1"/>
    <col min="3591" max="3591" width="39.28515625" style="95" bestFit="1" customWidth="1"/>
    <col min="3592" max="3592" width="23.140625" style="95" bestFit="1" customWidth="1"/>
    <col min="3593" max="3593" width="60.5703125" style="95" bestFit="1" customWidth="1"/>
    <col min="3594" max="3594" width="59.85546875" style="95" bestFit="1" customWidth="1"/>
    <col min="3595" max="3595" width="7.140625" style="95" customWidth="1"/>
    <col min="3596" max="3596" width="5.42578125" style="95" bestFit="1" customWidth="1"/>
    <col min="3597" max="3597" width="8.85546875" style="95" bestFit="1" customWidth="1"/>
    <col min="3598" max="3599" width="7.140625" style="95" customWidth="1"/>
    <col min="3600" max="3600" width="8.85546875" style="95" customWidth="1"/>
    <col min="3601" max="3840" width="11.42578125" style="95"/>
    <col min="3841" max="3841" width="10.85546875" style="95" customWidth="1"/>
    <col min="3842" max="3842" width="15.5703125" style="95" customWidth="1"/>
    <col min="3843" max="3843" width="11.140625" style="95" customWidth="1"/>
    <col min="3844" max="3845" width="18.7109375" style="95" customWidth="1"/>
    <col min="3846" max="3846" width="11.140625" style="95" customWidth="1"/>
    <col min="3847" max="3847" width="39.28515625" style="95" bestFit="1" customWidth="1"/>
    <col min="3848" max="3848" width="23.140625" style="95" bestFit="1" customWidth="1"/>
    <col min="3849" max="3849" width="60.5703125" style="95" bestFit="1" customWidth="1"/>
    <col min="3850" max="3850" width="59.85546875" style="95" bestFit="1" customWidth="1"/>
    <col min="3851" max="3851" width="7.140625" style="95" customWidth="1"/>
    <col min="3852" max="3852" width="5.42578125" style="95" bestFit="1" customWidth="1"/>
    <col min="3853" max="3853" width="8.85546875" style="95" bestFit="1" customWidth="1"/>
    <col min="3854" max="3855" width="7.140625" style="95" customWidth="1"/>
    <col min="3856" max="3856" width="8.85546875" style="95" customWidth="1"/>
    <col min="3857" max="4096" width="11.42578125" style="95"/>
    <col min="4097" max="4097" width="10.85546875" style="95" customWidth="1"/>
    <col min="4098" max="4098" width="15.5703125" style="95" customWidth="1"/>
    <col min="4099" max="4099" width="11.140625" style="95" customWidth="1"/>
    <col min="4100" max="4101" width="18.7109375" style="95" customWidth="1"/>
    <col min="4102" max="4102" width="11.140625" style="95" customWidth="1"/>
    <col min="4103" max="4103" width="39.28515625" style="95" bestFit="1" customWidth="1"/>
    <col min="4104" max="4104" width="23.140625" style="95" bestFit="1" customWidth="1"/>
    <col min="4105" max="4105" width="60.5703125" style="95" bestFit="1" customWidth="1"/>
    <col min="4106" max="4106" width="59.85546875" style="95" bestFit="1" customWidth="1"/>
    <col min="4107" max="4107" width="7.140625" style="95" customWidth="1"/>
    <col min="4108" max="4108" width="5.42578125" style="95" bestFit="1" customWidth="1"/>
    <col min="4109" max="4109" width="8.85546875" style="95" bestFit="1" customWidth="1"/>
    <col min="4110" max="4111" width="7.140625" style="95" customWidth="1"/>
    <col min="4112" max="4112" width="8.85546875" style="95" customWidth="1"/>
    <col min="4113" max="4352" width="11.42578125" style="95"/>
    <col min="4353" max="4353" width="10.85546875" style="95" customWidth="1"/>
    <col min="4354" max="4354" width="15.5703125" style="95" customWidth="1"/>
    <col min="4355" max="4355" width="11.140625" style="95" customWidth="1"/>
    <col min="4356" max="4357" width="18.7109375" style="95" customWidth="1"/>
    <col min="4358" max="4358" width="11.140625" style="95" customWidth="1"/>
    <col min="4359" max="4359" width="39.28515625" style="95" bestFit="1" customWidth="1"/>
    <col min="4360" max="4360" width="23.140625" style="95" bestFit="1" customWidth="1"/>
    <col min="4361" max="4361" width="60.5703125" style="95" bestFit="1" customWidth="1"/>
    <col min="4362" max="4362" width="59.85546875" style="95" bestFit="1" customWidth="1"/>
    <col min="4363" max="4363" width="7.140625" style="95" customWidth="1"/>
    <col min="4364" max="4364" width="5.42578125" style="95" bestFit="1" customWidth="1"/>
    <col min="4365" max="4365" width="8.85546875" style="95" bestFit="1" customWidth="1"/>
    <col min="4366" max="4367" width="7.140625" style="95" customWidth="1"/>
    <col min="4368" max="4368" width="8.85546875" style="95" customWidth="1"/>
    <col min="4369" max="4608" width="11.42578125" style="95"/>
    <col min="4609" max="4609" width="10.85546875" style="95" customWidth="1"/>
    <col min="4610" max="4610" width="15.5703125" style="95" customWidth="1"/>
    <col min="4611" max="4611" width="11.140625" style="95" customWidth="1"/>
    <col min="4612" max="4613" width="18.7109375" style="95" customWidth="1"/>
    <col min="4614" max="4614" width="11.140625" style="95" customWidth="1"/>
    <col min="4615" max="4615" width="39.28515625" style="95" bestFit="1" customWidth="1"/>
    <col min="4616" max="4616" width="23.140625" style="95" bestFit="1" customWidth="1"/>
    <col min="4617" max="4617" width="60.5703125" style="95" bestFit="1" customWidth="1"/>
    <col min="4618" max="4618" width="59.85546875" style="95" bestFit="1" customWidth="1"/>
    <col min="4619" max="4619" width="7.140625" style="95" customWidth="1"/>
    <col min="4620" max="4620" width="5.42578125" style="95" bestFit="1" customWidth="1"/>
    <col min="4621" max="4621" width="8.85546875" style="95" bestFit="1" customWidth="1"/>
    <col min="4622" max="4623" width="7.140625" style="95" customWidth="1"/>
    <col min="4624" max="4624" width="8.85546875" style="95" customWidth="1"/>
    <col min="4625" max="4864" width="11.42578125" style="95"/>
    <col min="4865" max="4865" width="10.85546875" style="95" customWidth="1"/>
    <col min="4866" max="4866" width="15.5703125" style="95" customWidth="1"/>
    <col min="4867" max="4867" width="11.140625" style="95" customWidth="1"/>
    <col min="4868" max="4869" width="18.7109375" style="95" customWidth="1"/>
    <col min="4870" max="4870" width="11.140625" style="95" customWidth="1"/>
    <col min="4871" max="4871" width="39.28515625" style="95" bestFit="1" customWidth="1"/>
    <col min="4872" max="4872" width="23.140625" style="95" bestFit="1" customWidth="1"/>
    <col min="4873" max="4873" width="60.5703125" style="95" bestFit="1" customWidth="1"/>
    <col min="4874" max="4874" width="59.85546875" style="95" bestFit="1" customWidth="1"/>
    <col min="4875" max="4875" width="7.140625" style="95" customWidth="1"/>
    <col min="4876" max="4876" width="5.42578125" style="95" bestFit="1" customWidth="1"/>
    <col min="4877" max="4877" width="8.85546875" style="95" bestFit="1" customWidth="1"/>
    <col min="4878" max="4879" width="7.140625" style="95" customWidth="1"/>
    <col min="4880" max="4880" width="8.85546875" style="95" customWidth="1"/>
    <col min="4881" max="5120" width="11.42578125" style="95"/>
    <col min="5121" max="5121" width="10.85546875" style="95" customWidth="1"/>
    <col min="5122" max="5122" width="15.5703125" style="95" customWidth="1"/>
    <col min="5123" max="5123" width="11.140625" style="95" customWidth="1"/>
    <col min="5124" max="5125" width="18.7109375" style="95" customWidth="1"/>
    <col min="5126" max="5126" width="11.140625" style="95" customWidth="1"/>
    <col min="5127" max="5127" width="39.28515625" style="95" bestFit="1" customWidth="1"/>
    <col min="5128" max="5128" width="23.140625" style="95" bestFit="1" customWidth="1"/>
    <col min="5129" max="5129" width="60.5703125" style="95" bestFit="1" customWidth="1"/>
    <col min="5130" max="5130" width="59.85546875" style="95" bestFit="1" customWidth="1"/>
    <col min="5131" max="5131" width="7.140625" style="95" customWidth="1"/>
    <col min="5132" max="5132" width="5.42578125" style="95" bestFit="1" customWidth="1"/>
    <col min="5133" max="5133" width="8.85546875" style="95" bestFit="1" customWidth="1"/>
    <col min="5134" max="5135" width="7.140625" style="95" customWidth="1"/>
    <col min="5136" max="5136" width="8.85546875" style="95" customWidth="1"/>
    <col min="5137" max="5376" width="11.42578125" style="95"/>
    <col min="5377" max="5377" width="10.85546875" style="95" customWidth="1"/>
    <col min="5378" max="5378" width="15.5703125" style="95" customWidth="1"/>
    <col min="5379" max="5379" width="11.140625" style="95" customWidth="1"/>
    <col min="5380" max="5381" width="18.7109375" style="95" customWidth="1"/>
    <col min="5382" max="5382" width="11.140625" style="95" customWidth="1"/>
    <col min="5383" max="5383" width="39.28515625" style="95" bestFit="1" customWidth="1"/>
    <col min="5384" max="5384" width="23.140625" style="95" bestFit="1" customWidth="1"/>
    <col min="5385" max="5385" width="60.5703125" style="95" bestFit="1" customWidth="1"/>
    <col min="5386" max="5386" width="59.85546875" style="95" bestFit="1" customWidth="1"/>
    <col min="5387" max="5387" width="7.140625" style="95" customWidth="1"/>
    <col min="5388" max="5388" width="5.42578125" style="95" bestFit="1" customWidth="1"/>
    <col min="5389" max="5389" width="8.85546875" style="95" bestFit="1" customWidth="1"/>
    <col min="5390" max="5391" width="7.140625" style="95" customWidth="1"/>
    <col min="5392" max="5392" width="8.85546875" style="95" customWidth="1"/>
    <col min="5393" max="5632" width="11.42578125" style="95"/>
    <col min="5633" max="5633" width="10.85546875" style="95" customWidth="1"/>
    <col min="5634" max="5634" width="15.5703125" style="95" customWidth="1"/>
    <col min="5635" max="5635" width="11.140625" style="95" customWidth="1"/>
    <col min="5636" max="5637" width="18.7109375" style="95" customWidth="1"/>
    <col min="5638" max="5638" width="11.140625" style="95" customWidth="1"/>
    <col min="5639" max="5639" width="39.28515625" style="95" bestFit="1" customWidth="1"/>
    <col min="5640" max="5640" width="23.140625" style="95" bestFit="1" customWidth="1"/>
    <col min="5641" max="5641" width="60.5703125" style="95" bestFit="1" customWidth="1"/>
    <col min="5642" max="5642" width="59.85546875" style="95" bestFit="1" customWidth="1"/>
    <col min="5643" max="5643" width="7.140625" style="95" customWidth="1"/>
    <col min="5644" max="5644" width="5.42578125" style="95" bestFit="1" customWidth="1"/>
    <col min="5645" max="5645" width="8.85546875" style="95" bestFit="1" customWidth="1"/>
    <col min="5646" max="5647" width="7.140625" style="95" customWidth="1"/>
    <col min="5648" max="5648" width="8.85546875" style="95" customWidth="1"/>
    <col min="5649" max="5888" width="11.42578125" style="95"/>
    <col min="5889" max="5889" width="10.85546875" style="95" customWidth="1"/>
    <col min="5890" max="5890" width="15.5703125" style="95" customWidth="1"/>
    <col min="5891" max="5891" width="11.140625" style="95" customWidth="1"/>
    <col min="5892" max="5893" width="18.7109375" style="95" customWidth="1"/>
    <col min="5894" max="5894" width="11.140625" style="95" customWidth="1"/>
    <col min="5895" max="5895" width="39.28515625" style="95" bestFit="1" customWidth="1"/>
    <col min="5896" max="5896" width="23.140625" style="95" bestFit="1" customWidth="1"/>
    <col min="5897" max="5897" width="60.5703125" style="95" bestFit="1" customWidth="1"/>
    <col min="5898" max="5898" width="59.85546875" style="95" bestFit="1" customWidth="1"/>
    <col min="5899" max="5899" width="7.140625" style="95" customWidth="1"/>
    <col min="5900" max="5900" width="5.42578125" style="95" bestFit="1" customWidth="1"/>
    <col min="5901" max="5901" width="8.85546875" style="95" bestFit="1" customWidth="1"/>
    <col min="5902" max="5903" width="7.140625" style="95" customWidth="1"/>
    <col min="5904" max="5904" width="8.85546875" style="95" customWidth="1"/>
    <col min="5905" max="6144" width="11.42578125" style="95"/>
    <col min="6145" max="6145" width="10.85546875" style="95" customWidth="1"/>
    <col min="6146" max="6146" width="15.5703125" style="95" customWidth="1"/>
    <col min="6147" max="6147" width="11.140625" style="95" customWidth="1"/>
    <col min="6148" max="6149" width="18.7109375" style="95" customWidth="1"/>
    <col min="6150" max="6150" width="11.140625" style="95" customWidth="1"/>
    <col min="6151" max="6151" width="39.28515625" style="95" bestFit="1" customWidth="1"/>
    <col min="6152" max="6152" width="23.140625" style="95" bestFit="1" customWidth="1"/>
    <col min="6153" max="6153" width="60.5703125" style="95" bestFit="1" customWidth="1"/>
    <col min="6154" max="6154" width="59.85546875" style="95" bestFit="1" customWidth="1"/>
    <col min="6155" max="6155" width="7.140625" style="95" customWidth="1"/>
    <col min="6156" max="6156" width="5.42578125" style="95" bestFit="1" customWidth="1"/>
    <col min="6157" max="6157" width="8.85546875" style="95" bestFit="1" customWidth="1"/>
    <col min="6158" max="6159" width="7.140625" style="95" customWidth="1"/>
    <col min="6160" max="6160" width="8.85546875" style="95" customWidth="1"/>
    <col min="6161" max="6400" width="11.42578125" style="95"/>
    <col min="6401" max="6401" width="10.85546875" style="95" customWidth="1"/>
    <col min="6402" max="6402" width="15.5703125" style="95" customWidth="1"/>
    <col min="6403" max="6403" width="11.140625" style="95" customWidth="1"/>
    <col min="6404" max="6405" width="18.7109375" style="95" customWidth="1"/>
    <col min="6406" max="6406" width="11.140625" style="95" customWidth="1"/>
    <col min="6407" max="6407" width="39.28515625" style="95" bestFit="1" customWidth="1"/>
    <col min="6408" max="6408" width="23.140625" style="95" bestFit="1" customWidth="1"/>
    <col min="6409" max="6409" width="60.5703125" style="95" bestFit="1" customWidth="1"/>
    <col min="6410" max="6410" width="59.85546875" style="95" bestFit="1" customWidth="1"/>
    <col min="6411" max="6411" width="7.140625" style="95" customWidth="1"/>
    <col min="6412" max="6412" width="5.42578125" style="95" bestFit="1" customWidth="1"/>
    <col min="6413" max="6413" width="8.85546875" style="95" bestFit="1" customWidth="1"/>
    <col min="6414" max="6415" width="7.140625" style="95" customWidth="1"/>
    <col min="6416" max="6416" width="8.85546875" style="95" customWidth="1"/>
    <col min="6417" max="6656" width="11.42578125" style="95"/>
    <col min="6657" max="6657" width="10.85546875" style="95" customWidth="1"/>
    <col min="6658" max="6658" width="15.5703125" style="95" customWidth="1"/>
    <col min="6659" max="6659" width="11.140625" style="95" customWidth="1"/>
    <col min="6660" max="6661" width="18.7109375" style="95" customWidth="1"/>
    <col min="6662" max="6662" width="11.140625" style="95" customWidth="1"/>
    <col min="6663" max="6663" width="39.28515625" style="95" bestFit="1" customWidth="1"/>
    <col min="6664" max="6664" width="23.140625" style="95" bestFit="1" customWidth="1"/>
    <col min="6665" max="6665" width="60.5703125" style="95" bestFit="1" customWidth="1"/>
    <col min="6666" max="6666" width="59.85546875" style="95" bestFit="1" customWidth="1"/>
    <col min="6667" max="6667" width="7.140625" style="95" customWidth="1"/>
    <col min="6668" max="6668" width="5.42578125" style="95" bestFit="1" customWidth="1"/>
    <col min="6669" max="6669" width="8.85546875" style="95" bestFit="1" customWidth="1"/>
    <col min="6670" max="6671" width="7.140625" style="95" customWidth="1"/>
    <col min="6672" max="6672" width="8.85546875" style="95" customWidth="1"/>
    <col min="6673" max="6912" width="11.42578125" style="95"/>
    <col min="6913" max="6913" width="10.85546875" style="95" customWidth="1"/>
    <col min="6914" max="6914" width="15.5703125" style="95" customWidth="1"/>
    <col min="6915" max="6915" width="11.140625" style="95" customWidth="1"/>
    <col min="6916" max="6917" width="18.7109375" style="95" customWidth="1"/>
    <col min="6918" max="6918" width="11.140625" style="95" customWidth="1"/>
    <col min="6919" max="6919" width="39.28515625" style="95" bestFit="1" customWidth="1"/>
    <col min="6920" max="6920" width="23.140625" style="95" bestFit="1" customWidth="1"/>
    <col min="6921" max="6921" width="60.5703125" style="95" bestFit="1" customWidth="1"/>
    <col min="6922" max="6922" width="59.85546875" style="95" bestFit="1" customWidth="1"/>
    <col min="6923" max="6923" width="7.140625" style="95" customWidth="1"/>
    <col min="6924" max="6924" width="5.42578125" style="95" bestFit="1" customWidth="1"/>
    <col min="6925" max="6925" width="8.85546875" style="95" bestFit="1" customWidth="1"/>
    <col min="6926" max="6927" width="7.140625" style="95" customWidth="1"/>
    <col min="6928" max="6928" width="8.85546875" style="95" customWidth="1"/>
    <col min="6929" max="7168" width="11.42578125" style="95"/>
    <col min="7169" max="7169" width="10.85546875" style="95" customWidth="1"/>
    <col min="7170" max="7170" width="15.5703125" style="95" customWidth="1"/>
    <col min="7171" max="7171" width="11.140625" style="95" customWidth="1"/>
    <col min="7172" max="7173" width="18.7109375" style="95" customWidth="1"/>
    <col min="7174" max="7174" width="11.140625" style="95" customWidth="1"/>
    <col min="7175" max="7175" width="39.28515625" style="95" bestFit="1" customWidth="1"/>
    <col min="7176" max="7176" width="23.140625" style="95" bestFit="1" customWidth="1"/>
    <col min="7177" max="7177" width="60.5703125" style="95" bestFit="1" customWidth="1"/>
    <col min="7178" max="7178" width="59.85546875" style="95" bestFit="1" customWidth="1"/>
    <col min="7179" max="7179" width="7.140625" style="95" customWidth="1"/>
    <col min="7180" max="7180" width="5.42578125" style="95" bestFit="1" customWidth="1"/>
    <col min="7181" max="7181" width="8.85546875" style="95" bestFit="1" customWidth="1"/>
    <col min="7182" max="7183" width="7.140625" style="95" customWidth="1"/>
    <col min="7184" max="7184" width="8.85546875" style="95" customWidth="1"/>
    <col min="7185" max="7424" width="11.42578125" style="95"/>
    <col min="7425" max="7425" width="10.85546875" style="95" customWidth="1"/>
    <col min="7426" max="7426" width="15.5703125" style="95" customWidth="1"/>
    <col min="7427" max="7427" width="11.140625" style="95" customWidth="1"/>
    <col min="7428" max="7429" width="18.7109375" style="95" customWidth="1"/>
    <col min="7430" max="7430" width="11.140625" style="95" customWidth="1"/>
    <col min="7431" max="7431" width="39.28515625" style="95" bestFit="1" customWidth="1"/>
    <col min="7432" max="7432" width="23.140625" style="95" bestFit="1" customWidth="1"/>
    <col min="7433" max="7433" width="60.5703125" style="95" bestFit="1" customWidth="1"/>
    <col min="7434" max="7434" width="59.85546875" style="95" bestFit="1" customWidth="1"/>
    <col min="7435" max="7435" width="7.140625" style="95" customWidth="1"/>
    <col min="7436" max="7436" width="5.42578125" style="95" bestFit="1" customWidth="1"/>
    <col min="7437" max="7437" width="8.85546875" style="95" bestFit="1" customWidth="1"/>
    <col min="7438" max="7439" width="7.140625" style="95" customWidth="1"/>
    <col min="7440" max="7440" width="8.85546875" style="95" customWidth="1"/>
    <col min="7441" max="7680" width="11.42578125" style="95"/>
    <col min="7681" max="7681" width="10.85546875" style="95" customWidth="1"/>
    <col min="7682" max="7682" width="15.5703125" style="95" customWidth="1"/>
    <col min="7683" max="7683" width="11.140625" style="95" customWidth="1"/>
    <col min="7684" max="7685" width="18.7109375" style="95" customWidth="1"/>
    <col min="7686" max="7686" width="11.140625" style="95" customWidth="1"/>
    <col min="7687" max="7687" width="39.28515625" style="95" bestFit="1" customWidth="1"/>
    <col min="7688" max="7688" width="23.140625" style="95" bestFit="1" customWidth="1"/>
    <col min="7689" max="7689" width="60.5703125" style="95" bestFit="1" customWidth="1"/>
    <col min="7690" max="7690" width="59.85546875" style="95" bestFit="1" customWidth="1"/>
    <col min="7691" max="7691" width="7.140625" style="95" customWidth="1"/>
    <col min="7692" max="7692" width="5.42578125" style="95" bestFit="1" customWidth="1"/>
    <col min="7693" max="7693" width="8.85546875" style="95" bestFit="1" customWidth="1"/>
    <col min="7694" max="7695" width="7.140625" style="95" customWidth="1"/>
    <col min="7696" max="7696" width="8.85546875" style="95" customWidth="1"/>
    <col min="7697" max="7936" width="11.42578125" style="95"/>
    <col min="7937" max="7937" width="10.85546875" style="95" customWidth="1"/>
    <col min="7938" max="7938" width="15.5703125" style="95" customWidth="1"/>
    <col min="7939" max="7939" width="11.140625" style="95" customWidth="1"/>
    <col min="7940" max="7941" width="18.7109375" style="95" customWidth="1"/>
    <col min="7942" max="7942" width="11.140625" style="95" customWidth="1"/>
    <col min="7943" max="7943" width="39.28515625" style="95" bestFit="1" customWidth="1"/>
    <col min="7944" max="7944" width="23.140625" style="95" bestFit="1" customWidth="1"/>
    <col min="7945" max="7945" width="60.5703125" style="95" bestFit="1" customWidth="1"/>
    <col min="7946" max="7946" width="59.85546875" style="95" bestFit="1" customWidth="1"/>
    <col min="7947" max="7947" width="7.140625" style="95" customWidth="1"/>
    <col min="7948" max="7948" width="5.42578125" style="95" bestFit="1" customWidth="1"/>
    <col min="7949" max="7949" width="8.85546875" style="95" bestFit="1" customWidth="1"/>
    <col min="7950" max="7951" width="7.140625" style="95" customWidth="1"/>
    <col min="7952" max="7952" width="8.85546875" style="95" customWidth="1"/>
    <col min="7953" max="8192" width="11.42578125" style="95"/>
    <col min="8193" max="8193" width="10.85546875" style="95" customWidth="1"/>
    <col min="8194" max="8194" width="15.5703125" style="95" customWidth="1"/>
    <col min="8195" max="8195" width="11.140625" style="95" customWidth="1"/>
    <col min="8196" max="8197" width="18.7109375" style="95" customWidth="1"/>
    <col min="8198" max="8198" width="11.140625" style="95" customWidth="1"/>
    <col min="8199" max="8199" width="39.28515625" style="95" bestFit="1" customWidth="1"/>
    <col min="8200" max="8200" width="23.140625" style="95" bestFit="1" customWidth="1"/>
    <col min="8201" max="8201" width="60.5703125" style="95" bestFit="1" customWidth="1"/>
    <col min="8202" max="8202" width="59.85546875" style="95" bestFit="1" customWidth="1"/>
    <col min="8203" max="8203" width="7.140625" style="95" customWidth="1"/>
    <col min="8204" max="8204" width="5.42578125" style="95" bestFit="1" customWidth="1"/>
    <col min="8205" max="8205" width="8.85546875" style="95" bestFit="1" customWidth="1"/>
    <col min="8206" max="8207" width="7.140625" style="95" customWidth="1"/>
    <col min="8208" max="8208" width="8.85546875" style="95" customWidth="1"/>
    <col min="8209" max="8448" width="11.42578125" style="95"/>
    <col min="8449" max="8449" width="10.85546875" style="95" customWidth="1"/>
    <col min="8450" max="8450" width="15.5703125" style="95" customWidth="1"/>
    <col min="8451" max="8451" width="11.140625" style="95" customWidth="1"/>
    <col min="8452" max="8453" width="18.7109375" style="95" customWidth="1"/>
    <col min="8454" max="8454" width="11.140625" style="95" customWidth="1"/>
    <col min="8455" max="8455" width="39.28515625" style="95" bestFit="1" customWidth="1"/>
    <col min="8456" max="8456" width="23.140625" style="95" bestFit="1" customWidth="1"/>
    <col min="8457" max="8457" width="60.5703125" style="95" bestFit="1" customWidth="1"/>
    <col min="8458" max="8458" width="59.85546875" style="95" bestFit="1" customWidth="1"/>
    <col min="8459" max="8459" width="7.140625" style="95" customWidth="1"/>
    <col min="8460" max="8460" width="5.42578125" style="95" bestFit="1" customWidth="1"/>
    <col min="8461" max="8461" width="8.85546875" style="95" bestFit="1" customWidth="1"/>
    <col min="8462" max="8463" width="7.140625" style="95" customWidth="1"/>
    <col min="8464" max="8464" width="8.85546875" style="95" customWidth="1"/>
    <col min="8465" max="8704" width="11.42578125" style="95"/>
    <col min="8705" max="8705" width="10.85546875" style="95" customWidth="1"/>
    <col min="8706" max="8706" width="15.5703125" style="95" customWidth="1"/>
    <col min="8707" max="8707" width="11.140625" style="95" customWidth="1"/>
    <col min="8708" max="8709" width="18.7109375" style="95" customWidth="1"/>
    <col min="8710" max="8710" width="11.140625" style="95" customWidth="1"/>
    <col min="8711" max="8711" width="39.28515625" style="95" bestFit="1" customWidth="1"/>
    <col min="8712" max="8712" width="23.140625" style="95" bestFit="1" customWidth="1"/>
    <col min="8713" max="8713" width="60.5703125" style="95" bestFit="1" customWidth="1"/>
    <col min="8714" max="8714" width="59.85546875" style="95" bestFit="1" customWidth="1"/>
    <col min="8715" max="8715" width="7.140625" style="95" customWidth="1"/>
    <col min="8716" max="8716" width="5.42578125" style="95" bestFit="1" customWidth="1"/>
    <col min="8717" max="8717" width="8.85546875" style="95" bestFit="1" customWidth="1"/>
    <col min="8718" max="8719" width="7.140625" style="95" customWidth="1"/>
    <col min="8720" max="8720" width="8.85546875" style="95" customWidth="1"/>
    <col min="8721" max="8960" width="11.42578125" style="95"/>
    <col min="8961" max="8961" width="10.85546875" style="95" customWidth="1"/>
    <col min="8962" max="8962" width="15.5703125" style="95" customWidth="1"/>
    <col min="8963" max="8963" width="11.140625" style="95" customWidth="1"/>
    <col min="8964" max="8965" width="18.7109375" style="95" customWidth="1"/>
    <col min="8966" max="8966" width="11.140625" style="95" customWidth="1"/>
    <col min="8967" max="8967" width="39.28515625" style="95" bestFit="1" customWidth="1"/>
    <col min="8968" max="8968" width="23.140625" style="95" bestFit="1" customWidth="1"/>
    <col min="8969" max="8969" width="60.5703125" style="95" bestFit="1" customWidth="1"/>
    <col min="8970" max="8970" width="59.85546875" style="95" bestFit="1" customWidth="1"/>
    <col min="8971" max="8971" width="7.140625" style="95" customWidth="1"/>
    <col min="8972" max="8972" width="5.42578125" style="95" bestFit="1" customWidth="1"/>
    <col min="8973" max="8973" width="8.85546875" style="95" bestFit="1" customWidth="1"/>
    <col min="8974" max="8975" width="7.140625" style="95" customWidth="1"/>
    <col min="8976" max="8976" width="8.85546875" style="95" customWidth="1"/>
    <col min="8977" max="9216" width="11.42578125" style="95"/>
    <col min="9217" max="9217" width="10.85546875" style="95" customWidth="1"/>
    <col min="9218" max="9218" width="15.5703125" style="95" customWidth="1"/>
    <col min="9219" max="9219" width="11.140625" style="95" customWidth="1"/>
    <col min="9220" max="9221" width="18.7109375" style="95" customWidth="1"/>
    <col min="9222" max="9222" width="11.140625" style="95" customWidth="1"/>
    <col min="9223" max="9223" width="39.28515625" style="95" bestFit="1" customWidth="1"/>
    <col min="9224" max="9224" width="23.140625" style="95" bestFit="1" customWidth="1"/>
    <col min="9225" max="9225" width="60.5703125" style="95" bestFit="1" customWidth="1"/>
    <col min="9226" max="9226" width="59.85546875" style="95" bestFit="1" customWidth="1"/>
    <col min="9227" max="9227" width="7.140625" style="95" customWidth="1"/>
    <col min="9228" max="9228" width="5.42578125" style="95" bestFit="1" customWidth="1"/>
    <col min="9229" max="9229" width="8.85546875" style="95" bestFit="1" customWidth="1"/>
    <col min="9230" max="9231" width="7.140625" style="95" customWidth="1"/>
    <col min="9232" max="9232" width="8.85546875" style="95" customWidth="1"/>
    <col min="9233" max="9472" width="11.42578125" style="95"/>
    <col min="9473" max="9473" width="10.85546875" style="95" customWidth="1"/>
    <col min="9474" max="9474" width="15.5703125" style="95" customWidth="1"/>
    <col min="9475" max="9475" width="11.140625" style="95" customWidth="1"/>
    <col min="9476" max="9477" width="18.7109375" style="95" customWidth="1"/>
    <col min="9478" max="9478" width="11.140625" style="95" customWidth="1"/>
    <col min="9479" max="9479" width="39.28515625" style="95" bestFit="1" customWidth="1"/>
    <col min="9480" max="9480" width="23.140625" style="95" bestFit="1" customWidth="1"/>
    <col min="9481" max="9481" width="60.5703125" style="95" bestFit="1" customWidth="1"/>
    <col min="9482" max="9482" width="59.85546875" style="95" bestFit="1" customWidth="1"/>
    <col min="9483" max="9483" width="7.140625" style="95" customWidth="1"/>
    <col min="9484" max="9484" width="5.42578125" style="95" bestFit="1" customWidth="1"/>
    <col min="9485" max="9485" width="8.85546875" style="95" bestFit="1" customWidth="1"/>
    <col min="9486" max="9487" width="7.140625" style="95" customWidth="1"/>
    <col min="9488" max="9488" width="8.85546875" style="95" customWidth="1"/>
    <col min="9489" max="9728" width="11.42578125" style="95"/>
    <col min="9729" max="9729" width="10.85546875" style="95" customWidth="1"/>
    <col min="9730" max="9730" width="15.5703125" style="95" customWidth="1"/>
    <col min="9731" max="9731" width="11.140625" style="95" customWidth="1"/>
    <col min="9732" max="9733" width="18.7109375" style="95" customWidth="1"/>
    <col min="9734" max="9734" width="11.140625" style="95" customWidth="1"/>
    <col min="9735" max="9735" width="39.28515625" style="95" bestFit="1" customWidth="1"/>
    <col min="9736" max="9736" width="23.140625" style="95" bestFit="1" customWidth="1"/>
    <col min="9737" max="9737" width="60.5703125" style="95" bestFit="1" customWidth="1"/>
    <col min="9738" max="9738" width="59.85546875" style="95" bestFit="1" customWidth="1"/>
    <col min="9739" max="9739" width="7.140625" style="95" customWidth="1"/>
    <col min="9740" max="9740" width="5.42578125" style="95" bestFit="1" customWidth="1"/>
    <col min="9741" max="9741" width="8.85546875" style="95" bestFit="1" customWidth="1"/>
    <col min="9742" max="9743" width="7.140625" style="95" customWidth="1"/>
    <col min="9744" max="9744" width="8.85546875" style="95" customWidth="1"/>
    <col min="9745" max="9984" width="11.42578125" style="95"/>
    <col min="9985" max="9985" width="10.85546875" style="95" customWidth="1"/>
    <col min="9986" max="9986" width="15.5703125" style="95" customWidth="1"/>
    <col min="9987" max="9987" width="11.140625" style="95" customWidth="1"/>
    <col min="9988" max="9989" width="18.7109375" style="95" customWidth="1"/>
    <col min="9990" max="9990" width="11.140625" style="95" customWidth="1"/>
    <col min="9991" max="9991" width="39.28515625" style="95" bestFit="1" customWidth="1"/>
    <col min="9992" max="9992" width="23.140625" style="95" bestFit="1" customWidth="1"/>
    <col min="9993" max="9993" width="60.5703125" style="95" bestFit="1" customWidth="1"/>
    <col min="9994" max="9994" width="59.85546875" style="95" bestFit="1" customWidth="1"/>
    <col min="9995" max="9995" width="7.140625" style="95" customWidth="1"/>
    <col min="9996" max="9996" width="5.42578125" style="95" bestFit="1" customWidth="1"/>
    <col min="9997" max="9997" width="8.85546875" style="95" bestFit="1" customWidth="1"/>
    <col min="9998" max="9999" width="7.140625" style="95" customWidth="1"/>
    <col min="10000" max="10000" width="8.85546875" style="95" customWidth="1"/>
    <col min="10001" max="10240" width="11.42578125" style="95"/>
    <col min="10241" max="10241" width="10.85546875" style="95" customWidth="1"/>
    <col min="10242" max="10242" width="15.5703125" style="95" customWidth="1"/>
    <col min="10243" max="10243" width="11.140625" style="95" customWidth="1"/>
    <col min="10244" max="10245" width="18.7109375" style="95" customWidth="1"/>
    <col min="10246" max="10246" width="11.140625" style="95" customWidth="1"/>
    <col min="10247" max="10247" width="39.28515625" style="95" bestFit="1" customWidth="1"/>
    <col min="10248" max="10248" width="23.140625" style="95" bestFit="1" customWidth="1"/>
    <col min="10249" max="10249" width="60.5703125" style="95" bestFit="1" customWidth="1"/>
    <col min="10250" max="10250" width="59.85546875" style="95" bestFit="1" customWidth="1"/>
    <col min="10251" max="10251" width="7.140625" style="95" customWidth="1"/>
    <col min="10252" max="10252" width="5.42578125" style="95" bestFit="1" customWidth="1"/>
    <col min="10253" max="10253" width="8.85546875" style="95" bestFit="1" customWidth="1"/>
    <col min="10254" max="10255" width="7.140625" style="95" customWidth="1"/>
    <col min="10256" max="10256" width="8.85546875" style="95" customWidth="1"/>
    <col min="10257" max="10496" width="11.42578125" style="95"/>
    <col min="10497" max="10497" width="10.85546875" style="95" customWidth="1"/>
    <col min="10498" max="10498" width="15.5703125" style="95" customWidth="1"/>
    <col min="10499" max="10499" width="11.140625" style="95" customWidth="1"/>
    <col min="10500" max="10501" width="18.7109375" style="95" customWidth="1"/>
    <col min="10502" max="10502" width="11.140625" style="95" customWidth="1"/>
    <col min="10503" max="10503" width="39.28515625" style="95" bestFit="1" customWidth="1"/>
    <col min="10504" max="10504" width="23.140625" style="95" bestFit="1" customWidth="1"/>
    <col min="10505" max="10505" width="60.5703125" style="95" bestFit="1" customWidth="1"/>
    <col min="10506" max="10506" width="59.85546875" style="95" bestFit="1" customWidth="1"/>
    <col min="10507" max="10507" width="7.140625" style="95" customWidth="1"/>
    <col min="10508" max="10508" width="5.42578125" style="95" bestFit="1" customWidth="1"/>
    <col min="10509" max="10509" width="8.85546875" style="95" bestFit="1" customWidth="1"/>
    <col min="10510" max="10511" width="7.140625" style="95" customWidth="1"/>
    <col min="10512" max="10512" width="8.85546875" style="95" customWidth="1"/>
    <col min="10513" max="10752" width="11.42578125" style="95"/>
    <col min="10753" max="10753" width="10.85546875" style="95" customWidth="1"/>
    <col min="10754" max="10754" width="15.5703125" style="95" customWidth="1"/>
    <col min="10755" max="10755" width="11.140625" style="95" customWidth="1"/>
    <col min="10756" max="10757" width="18.7109375" style="95" customWidth="1"/>
    <col min="10758" max="10758" width="11.140625" style="95" customWidth="1"/>
    <col min="10759" max="10759" width="39.28515625" style="95" bestFit="1" customWidth="1"/>
    <col min="10760" max="10760" width="23.140625" style="95" bestFit="1" customWidth="1"/>
    <col min="10761" max="10761" width="60.5703125" style="95" bestFit="1" customWidth="1"/>
    <col min="10762" max="10762" width="59.85546875" style="95" bestFit="1" customWidth="1"/>
    <col min="10763" max="10763" width="7.140625" style="95" customWidth="1"/>
    <col min="10764" max="10764" width="5.42578125" style="95" bestFit="1" customWidth="1"/>
    <col min="10765" max="10765" width="8.85546875" style="95" bestFit="1" customWidth="1"/>
    <col min="10766" max="10767" width="7.140625" style="95" customWidth="1"/>
    <col min="10768" max="10768" width="8.85546875" style="95" customWidth="1"/>
    <col min="10769" max="11008" width="11.42578125" style="95"/>
    <col min="11009" max="11009" width="10.85546875" style="95" customWidth="1"/>
    <col min="11010" max="11010" width="15.5703125" style="95" customWidth="1"/>
    <col min="11011" max="11011" width="11.140625" style="95" customWidth="1"/>
    <col min="11012" max="11013" width="18.7109375" style="95" customWidth="1"/>
    <col min="11014" max="11014" width="11.140625" style="95" customWidth="1"/>
    <col min="11015" max="11015" width="39.28515625" style="95" bestFit="1" customWidth="1"/>
    <col min="11016" max="11016" width="23.140625" style="95" bestFit="1" customWidth="1"/>
    <col min="11017" max="11017" width="60.5703125" style="95" bestFit="1" customWidth="1"/>
    <col min="11018" max="11018" width="59.85546875" style="95" bestFit="1" customWidth="1"/>
    <col min="11019" max="11019" width="7.140625" style="95" customWidth="1"/>
    <col min="11020" max="11020" width="5.42578125" style="95" bestFit="1" customWidth="1"/>
    <col min="11021" max="11021" width="8.85546875" style="95" bestFit="1" customWidth="1"/>
    <col min="11022" max="11023" width="7.140625" style="95" customWidth="1"/>
    <col min="11024" max="11024" width="8.85546875" style="95" customWidth="1"/>
    <col min="11025" max="11264" width="11.42578125" style="95"/>
    <col min="11265" max="11265" width="10.85546875" style="95" customWidth="1"/>
    <col min="11266" max="11266" width="15.5703125" style="95" customWidth="1"/>
    <col min="11267" max="11267" width="11.140625" style="95" customWidth="1"/>
    <col min="11268" max="11269" width="18.7109375" style="95" customWidth="1"/>
    <col min="11270" max="11270" width="11.140625" style="95" customWidth="1"/>
    <col min="11271" max="11271" width="39.28515625" style="95" bestFit="1" customWidth="1"/>
    <col min="11272" max="11272" width="23.140625" style="95" bestFit="1" customWidth="1"/>
    <col min="11273" max="11273" width="60.5703125" style="95" bestFit="1" customWidth="1"/>
    <col min="11274" max="11274" width="59.85546875" style="95" bestFit="1" customWidth="1"/>
    <col min="11275" max="11275" width="7.140625" style="95" customWidth="1"/>
    <col min="11276" max="11276" width="5.42578125" style="95" bestFit="1" customWidth="1"/>
    <col min="11277" max="11277" width="8.85546875" style="95" bestFit="1" customWidth="1"/>
    <col min="11278" max="11279" width="7.140625" style="95" customWidth="1"/>
    <col min="11280" max="11280" width="8.85546875" style="95" customWidth="1"/>
    <col min="11281" max="11520" width="11.42578125" style="95"/>
    <col min="11521" max="11521" width="10.85546875" style="95" customWidth="1"/>
    <col min="11522" max="11522" width="15.5703125" style="95" customWidth="1"/>
    <col min="11523" max="11523" width="11.140625" style="95" customWidth="1"/>
    <col min="11524" max="11525" width="18.7109375" style="95" customWidth="1"/>
    <col min="11526" max="11526" width="11.140625" style="95" customWidth="1"/>
    <col min="11527" max="11527" width="39.28515625" style="95" bestFit="1" customWidth="1"/>
    <col min="11528" max="11528" width="23.140625" style="95" bestFit="1" customWidth="1"/>
    <col min="11529" max="11529" width="60.5703125" style="95" bestFit="1" customWidth="1"/>
    <col min="11530" max="11530" width="59.85546875" style="95" bestFit="1" customWidth="1"/>
    <col min="11531" max="11531" width="7.140625" style="95" customWidth="1"/>
    <col min="11532" max="11532" width="5.42578125" style="95" bestFit="1" customWidth="1"/>
    <col min="11533" max="11533" width="8.85546875" style="95" bestFit="1" customWidth="1"/>
    <col min="11534" max="11535" width="7.140625" style="95" customWidth="1"/>
    <col min="11536" max="11536" width="8.85546875" style="95" customWidth="1"/>
    <col min="11537" max="11776" width="11.42578125" style="95"/>
    <col min="11777" max="11777" width="10.85546875" style="95" customWidth="1"/>
    <col min="11778" max="11778" width="15.5703125" style="95" customWidth="1"/>
    <col min="11779" max="11779" width="11.140625" style="95" customWidth="1"/>
    <col min="11780" max="11781" width="18.7109375" style="95" customWidth="1"/>
    <col min="11782" max="11782" width="11.140625" style="95" customWidth="1"/>
    <col min="11783" max="11783" width="39.28515625" style="95" bestFit="1" customWidth="1"/>
    <col min="11784" max="11784" width="23.140625" style="95" bestFit="1" customWidth="1"/>
    <col min="11785" max="11785" width="60.5703125" style="95" bestFit="1" customWidth="1"/>
    <col min="11786" max="11786" width="59.85546875" style="95" bestFit="1" customWidth="1"/>
    <col min="11787" max="11787" width="7.140625" style="95" customWidth="1"/>
    <col min="11788" max="11788" width="5.42578125" style="95" bestFit="1" customWidth="1"/>
    <col min="11789" max="11789" width="8.85546875" style="95" bestFit="1" customWidth="1"/>
    <col min="11790" max="11791" width="7.140625" style="95" customWidth="1"/>
    <col min="11792" max="11792" width="8.85546875" style="95" customWidth="1"/>
    <col min="11793" max="12032" width="11.42578125" style="95"/>
    <col min="12033" max="12033" width="10.85546875" style="95" customWidth="1"/>
    <col min="12034" max="12034" width="15.5703125" style="95" customWidth="1"/>
    <col min="12035" max="12035" width="11.140625" style="95" customWidth="1"/>
    <col min="12036" max="12037" width="18.7109375" style="95" customWidth="1"/>
    <col min="12038" max="12038" width="11.140625" style="95" customWidth="1"/>
    <col min="12039" max="12039" width="39.28515625" style="95" bestFit="1" customWidth="1"/>
    <col min="12040" max="12040" width="23.140625" style="95" bestFit="1" customWidth="1"/>
    <col min="12041" max="12041" width="60.5703125" style="95" bestFit="1" customWidth="1"/>
    <col min="12042" max="12042" width="59.85546875" style="95" bestFit="1" customWidth="1"/>
    <col min="12043" max="12043" width="7.140625" style="95" customWidth="1"/>
    <col min="12044" max="12044" width="5.42578125" style="95" bestFit="1" customWidth="1"/>
    <col min="12045" max="12045" width="8.85546875" style="95" bestFit="1" customWidth="1"/>
    <col min="12046" max="12047" width="7.140625" style="95" customWidth="1"/>
    <col min="12048" max="12048" width="8.85546875" style="95" customWidth="1"/>
    <col min="12049" max="12288" width="11.42578125" style="95"/>
    <col min="12289" max="12289" width="10.85546875" style="95" customWidth="1"/>
    <col min="12290" max="12290" width="15.5703125" style="95" customWidth="1"/>
    <col min="12291" max="12291" width="11.140625" style="95" customWidth="1"/>
    <col min="12292" max="12293" width="18.7109375" style="95" customWidth="1"/>
    <col min="12294" max="12294" width="11.140625" style="95" customWidth="1"/>
    <col min="12295" max="12295" width="39.28515625" style="95" bestFit="1" customWidth="1"/>
    <col min="12296" max="12296" width="23.140625" style="95" bestFit="1" customWidth="1"/>
    <col min="12297" max="12297" width="60.5703125" style="95" bestFit="1" customWidth="1"/>
    <col min="12298" max="12298" width="59.85546875" style="95" bestFit="1" customWidth="1"/>
    <col min="12299" max="12299" width="7.140625" style="95" customWidth="1"/>
    <col min="12300" max="12300" width="5.42578125" style="95" bestFit="1" customWidth="1"/>
    <col min="12301" max="12301" width="8.85546875" style="95" bestFit="1" customWidth="1"/>
    <col min="12302" max="12303" width="7.140625" style="95" customWidth="1"/>
    <col min="12304" max="12304" width="8.85546875" style="95" customWidth="1"/>
    <col min="12305" max="12544" width="11.42578125" style="95"/>
    <col min="12545" max="12545" width="10.85546875" style="95" customWidth="1"/>
    <col min="12546" max="12546" width="15.5703125" style="95" customWidth="1"/>
    <col min="12547" max="12547" width="11.140625" style="95" customWidth="1"/>
    <col min="12548" max="12549" width="18.7109375" style="95" customWidth="1"/>
    <col min="12550" max="12550" width="11.140625" style="95" customWidth="1"/>
    <col min="12551" max="12551" width="39.28515625" style="95" bestFit="1" customWidth="1"/>
    <col min="12552" max="12552" width="23.140625" style="95" bestFit="1" customWidth="1"/>
    <col min="12553" max="12553" width="60.5703125" style="95" bestFit="1" customWidth="1"/>
    <col min="12554" max="12554" width="59.85546875" style="95" bestFit="1" customWidth="1"/>
    <col min="12555" max="12555" width="7.140625" style="95" customWidth="1"/>
    <col min="12556" max="12556" width="5.42578125" style="95" bestFit="1" customWidth="1"/>
    <col min="12557" max="12557" width="8.85546875" style="95" bestFit="1" customWidth="1"/>
    <col min="12558" max="12559" width="7.140625" style="95" customWidth="1"/>
    <col min="12560" max="12560" width="8.85546875" style="95" customWidth="1"/>
    <col min="12561" max="12800" width="11.42578125" style="95"/>
    <col min="12801" max="12801" width="10.85546875" style="95" customWidth="1"/>
    <col min="12802" max="12802" width="15.5703125" style="95" customWidth="1"/>
    <col min="12803" max="12803" width="11.140625" style="95" customWidth="1"/>
    <col min="12804" max="12805" width="18.7109375" style="95" customWidth="1"/>
    <col min="12806" max="12806" width="11.140625" style="95" customWidth="1"/>
    <col min="12807" max="12807" width="39.28515625" style="95" bestFit="1" customWidth="1"/>
    <col min="12808" max="12808" width="23.140625" style="95" bestFit="1" customWidth="1"/>
    <col min="12809" max="12809" width="60.5703125" style="95" bestFit="1" customWidth="1"/>
    <col min="12810" max="12810" width="59.85546875" style="95" bestFit="1" customWidth="1"/>
    <col min="12811" max="12811" width="7.140625" style="95" customWidth="1"/>
    <col min="12812" max="12812" width="5.42578125" style="95" bestFit="1" customWidth="1"/>
    <col min="12813" max="12813" width="8.85546875" style="95" bestFit="1" customWidth="1"/>
    <col min="12814" max="12815" width="7.140625" style="95" customWidth="1"/>
    <col min="12816" max="12816" width="8.85546875" style="95" customWidth="1"/>
    <col min="12817" max="13056" width="11.42578125" style="95"/>
    <col min="13057" max="13057" width="10.85546875" style="95" customWidth="1"/>
    <col min="13058" max="13058" width="15.5703125" style="95" customWidth="1"/>
    <col min="13059" max="13059" width="11.140625" style="95" customWidth="1"/>
    <col min="13060" max="13061" width="18.7109375" style="95" customWidth="1"/>
    <col min="13062" max="13062" width="11.140625" style="95" customWidth="1"/>
    <col min="13063" max="13063" width="39.28515625" style="95" bestFit="1" customWidth="1"/>
    <col min="13064" max="13064" width="23.140625" style="95" bestFit="1" customWidth="1"/>
    <col min="13065" max="13065" width="60.5703125" style="95" bestFit="1" customWidth="1"/>
    <col min="13066" max="13066" width="59.85546875" style="95" bestFit="1" customWidth="1"/>
    <col min="13067" max="13067" width="7.140625" style="95" customWidth="1"/>
    <col min="13068" max="13068" width="5.42578125" style="95" bestFit="1" customWidth="1"/>
    <col min="13069" max="13069" width="8.85546875" style="95" bestFit="1" customWidth="1"/>
    <col min="13070" max="13071" width="7.140625" style="95" customWidth="1"/>
    <col min="13072" max="13072" width="8.85546875" style="95" customWidth="1"/>
    <col min="13073" max="13312" width="11.42578125" style="95"/>
    <col min="13313" max="13313" width="10.85546875" style="95" customWidth="1"/>
    <col min="13314" max="13314" width="15.5703125" style="95" customWidth="1"/>
    <col min="13315" max="13315" width="11.140625" style="95" customWidth="1"/>
    <col min="13316" max="13317" width="18.7109375" style="95" customWidth="1"/>
    <col min="13318" max="13318" width="11.140625" style="95" customWidth="1"/>
    <col min="13319" max="13319" width="39.28515625" style="95" bestFit="1" customWidth="1"/>
    <col min="13320" max="13320" width="23.140625" style="95" bestFit="1" customWidth="1"/>
    <col min="13321" max="13321" width="60.5703125" style="95" bestFit="1" customWidth="1"/>
    <col min="13322" max="13322" width="59.85546875" style="95" bestFit="1" customWidth="1"/>
    <col min="13323" max="13323" width="7.140625" style="95" customWidth="1"/>
    <col min="13324" max="13324" width="5.42578125" style="95" bestFit="1" customWidth="1"/>
    <col min="13325" max="13325" width="8.85546875" style="95" bestFit="1" customWidth="1"/>
    <col min="13326" max="13327" width="7.140625" style="95" customWidth="1"/>
    <col min="13328" max="13328" width="8.85546875" style="95" customWidth="1"/>
    <col min="13329" max="13568" width="11.42578125" style="95"/>
    <col min="13569" max="13569" width="10.85546875" style="95" customWidth="1"/>
    <col min="13570" max="13570" width="15.5703125" style="95" customWidth="1"/>
    <col min="13571" max="13571" width="11.140625" style="95" customWidth="1"/>
    <col min="13572" max="13573" width="18.7109375" style="95" customWidth="1"/>
    <col min="13574" max="13574" width="11.140625" style="95" customWidth="1"/>
    <col min="13575" max="13575" width="39.28515625" style="95" bestFit="1" customWidth="1"/>
    <col min="13576" max="13576" width="23.140625" style="95" bestFit="1" customWidth="1"/>
    <col min="13577" max="13577" width="60.5703125" style="95" bestFit="1" customWidth="1"/>
    <col min="13578" max="13578" width="59.85546875" style="95" bestFit="1" customWidth="1"/>
    <col min="13579" max="13579" width="7.140625" style="95" customWidth="1"/>
    <col min="13580" max="13580" width="5.42578125" style="95" bestFit="1" customWidth="1"/>
    <col min="13581" max="13581" width="8.85546875" style="95" bestFit="1" customWidth="1"/>
    <col min="13582" max="13583" width="7.140625" style="95" customWidth="1"/>
    <col min="13584" max="13584" width="8.85546875" style="95" customWidth="1"/>
    <col min="13585" max="13824" width="11.42578125" style="95"/>
    <col min="13825" max="13825" width="10.85546875" style="95" customWidth="1"/>
    <col min="13826" max="13826" width="15.5703125" style="95" customWidth="1"/>
    <col min="13827" max="13827" width="11.140625" style="95" customWidth="1"/>
    <col min="13828" max="13829" width="18.7109375" style="95" customWidth="1"/>
    <col min="13830" max="13830" width="11.140625" style="95" customWidth="1"/>
    <col min="13831" max="13831" width="39.28515625" style="95" bestFit="1" customWidth="1"/>
    <col min="13832" max="13832" width="23.140625" style="95" bestFit="1" customWidth="1"/>
    <col min="13833" max="13833" width="60.5703125" style="95" bestFit="1" customWidth="1"/>
    <col min="13834" max="13834" width="59.85546875" style="95" bestFit="1" customWidth="1"/>
    <col min="13835" max="13835" width="7.140625" style="95" customWidth="1"/>
    <col min="13836" max="13836" width="5.42578125" style="95" bestFit="1" customWidth="1"/>
    <col min="13837" max="13837" width="8.85546875" style="95" bestFit="1" customWidth="1"/>
    <col min="13838" max="13839" width="7.140625" style="95" customWidth="1"/>
    <col min="13840" max="13840" width="8.85546875" style="95" customWidth="1"/>
    <col min="13841" max="14080" width="11.42578125" style="95"/>
    <col min="14081" max="14081" width="10.85546875" style="95" customWidth="1"/>
    <col min="14082" max="14082" width="15.5703125" style="95" customWidth="1"/>
    <col min="14083" max="14083" width="11.140625" style="95" customWidth="1"/>
    <col min="14084" max="14085" width="18.7109375" style="95" customWidth="1"/>
    <col min="14086" max="14086" width="11.140625" style="95" customWidth="1"/>
    <col min="14087" max="14087" width="39.28515625" style="95" bestFit="1" customWidth="1"/>
    <col min="14088" max="14088" width="23.140625" style="95" bestFit="1" customWidth="1"/>
    <col min="14089" max="14089" width="60.5703125" style="95" bestFit="1" customWidth="1"/>
    <col min="14090" max="14090" width="59.85546875" style="95" bestFit="1" customWidth="1"/>
    <col min="14091" max="14091" width="7.140625" style="95" customWidth="1"/>
    <col min="14092" max="14092" width="5.42578125" style="95" bestFit="1" customWidth="1"/>
    <col min="14093" max="14093" width="8.85546875" style="95" bestFit="1" customWidth="1"/>
    <col min="14094" max="14095" width="7.140625" style="95" customWidth="1"/>
    <col min="14096" max="14096" width="8.85546875" style="95" customWidth="1"/>
    <col min="14097" max="14336" width="11.42578125" style="95"/>
    <col min="14337" max="14337" width="10.85546875" style="95" customWidth="1"/>
    <col min="14338" max="14338" width="15.5703125" style="95" customWidth="1"/>
    <col min="14339" max="14339" width="11.140625" style="95" customWidth="1"/>
    <col min="14340" max="14341" width="18.7109375" style="95" customWidth="1"/>
    <col min="14342" max="14342" width="11.140625" style="95" customWidth="1"/>
    <col min="14343" max="14343" width="39.28515625" style="95" bestFit="1" customWidth="1"/>
    <col min="14344" max="14344" width="23.140625" style="95" bestFit="1" customWidth="1"/>
    <col min="14345" max="14345" width="60.5703125" style="95" bestFit="1" customWidth="1"/>
    <col min="14346" max="14346" width="59.85546875" style="95" bestFit="1" customWidth="1"/>
    <col min="14347" max="14347" width="7.140625" style="95" customWidth="1"/>
    <col min="14348" max="14348" width="5.42578125" style="95" bestFit="1" customWidth="1"/>
    <col min="14349" max="14349" width="8.85546875" style="95" bestFit="1" customWidth="1"/>
    <col min="14350" max="14351" width="7.140625" style="95" customWidth="1"/>
    <col min="14352" max="14352" width="8.85546875" style="95" customWidth="1"/>
    <col min="14353" max="14592" width="11.42578125" style="95"/>
    <col min="14593" max="14593" width="10.85546875" style="95" customWidth="1"/>
    <col min="14594" max="14594" width="15.5703125" style="95" customWidth="1"/>
    <col min="14595" max="14595" width="11.140625" style="95" customWidth="1"/>
    <col min="14596" max="14597" width="18.7109375" style="95" customWidth="1"/>
    <col min="14598" max="14598" width="11.140625" style="95" customWidth="1"/>
    <col min="14599" max="14599" width="39.28515625" style="95" bestFit="1" customWidth="1"/>
    <col min="14600" max="14600" width="23.140625" style="95" bestFit="1" customWidth="1"/>
    <col min="14601" max="14601" width="60.5703125" style="95" bestFit="1" customWidth="1"/>
    <col min="14602" max="14602" width="59.85546875" style="95" bestFit="1" customWidth="1"/>
    <col min="14603" max="14603" width="7.140625" style="95" customWidth="1"/>
    <col min="14604" max="14604" width="5.42578125" style="95" bestFit="1" customWidth="1"/>
    <col min="14605" max="14605" width="8.85546875" style="95" bestFit="1" customWidth="1"/>
    <col min="14606" max="14607" width="7.140625" style="95" customWidth="1"/>
    <col min="14608" max="14608" width="8.85546875" style="95" customWidth="1"/>
    <col min="14609" max="14848" width="11.42578125" style="95"/>
    <col min="14849" max="14849" width="10.85546875" style="95" customWidth="1"/>
    <col min="14850" max="14850" width="15.5703125" style="95" customWidth="1"/>
    <col min="14851" max="14851" width="11.140625" style="95" customWidth="1"/>
    <col min="14852" max="14853" width="18.7109375" style="95" customWidth="1"/>
    <col min="14854" max="14854" width="11.140625" style="95" customWidth="1"/>
    <col min="14855" max="14855" width="39.28515625" style="95" bestFit="1" customWidth="1"/>
    <col min="14856" max="14856" width="23.140625" style="95" bestFit="1" customWidth="1"/>
    <col min="14857" max="14857" width="60.5703125" style="95" bestFit="1" customWidth="1"/>
    <col min="14858" max="14858" width="59.85546875" style="95" bestFit="1" customWidth="1"/>
    <col min="14859" max="14859" width="7.140625" style="95" customWidth="1"/>
    <col min="14860" max="14860" width="5.42578125" style="95" bestFit="1" customWidth="1"/>
    <col min="14861" max="14861" width="8.85546875" style="95" bestFit="1" customWidth="1"/>
    <col min="14862" max="14863" width="7.140625" style="95" customWidth="1"/>
    <col min="14864" max="14864" width="8.85546875" style="95" customWidth="1"/>
    <col min="14865" max="15104" width="11.42578125" style="95"/>
    <col min="15105" max="15105" width="10.85546875" style="95" customWidth="1"/>
    <col min="15106" max="15106" width="15.5703125" style="95" customWidth="1"/>
    <col min="15107" max="15107" width="11.140625" style="95" customWidth="1"/>
    <col min="15108" max="15109" width="18.7109375" style="95" customWidth="1"/>
    <col min="15110" max="15110" width="11.140625" style="95" customWidth="1"/>
    <col min="15111" max="15111" width="39.28515625" style="95" bestFit="1" customWidth="1"/>
    <col min="15112" max="15112" width="23.140625" style="95" bestFit="1" customWidth="1"/>
    <col min="15113" max="15113" width="60.5703125" style="95" bestFit="1" customWidth="1"/>
    <col min="15114" max="15114" width="59.85546875" style="95" bestFit="1" customWidth="1"/>
    <col min="15115" max="15115" width="7.140625" style="95" customWidth="1"/>
    <col min="15116" max="15116" width="5.42578125" style="95" bestFit="1" customWidth="1"/>
    <col min="15117" max="15117" width="8.85546875" style="95" bestFit="1" customWidth="1"/>
    <col min="15118" max="15119" width="7.140625" style="95" customWidth="1"/>
    <col min="15120" max="15120" width="8.85546875" style="95" customWidth="1"/>
    <col min="15121" max="15360" width="11.42578125" style="95"/>
    <col min="15361" max="15361" width="10.85546875" style="95" customWidth="1"/>
    <col min="15362" max="15362" width="15.5703125" style="95" customWidth="1"/>
    <col min="15363" max="15363" width="11.140625" style="95" customWidth="1"/>
    <col min="15364" max="15365" width="18.7109375" style="95" customWidth="1"/>
    <col min="15366" max="15366" width="11.140625" style="95" customWidth="1"/>
    <col min="15367" max="15367" width="39.28515625" style="95" bestFit="1" customWidth="1"/>
    <col min="15368" max="15368" width="23.140625" style="95" bestFit="1" customWidth="1"/>
    <col min="15369" max="15369" width="60.5703125" style="95" bestFit="1" customWidth="1"/>
    <col min="15370" max="15370" width="59.85546875" style="95" bestFit="1" customWidth="1"/>
    <col min="15371" max="15371" width="7.140625" style="95" customWidth="1"/>
    <col min="15372" max="15372" width="5.42578125" style="95" bestFit="1" customWidth="1"/>
    <col min="15373" max="15373" width="8.85546875" style="95" bestFit="1" customWidth="1"/>
    <col min="15374" max="15375" width="7.140625" style="95" customWidth="1"/>
    <col min="15376" max="15376" width="8.85546875" style="95" customWidth="1"/>
    <col min="15377" max="15616" width="11.42578125" style="95"/>
    <col min="15617" max="15617" width="10.85546875" style="95" customWidth="1"/>
    <col min="15618" max="15618" width="15.5703125" style="95" customWidth="1"/>
    <col min="15619" max="15619" width="11.140625" style="95" customWidth="1"/>
    <col min="15620" max="15621" width="18.7109375" style="95" customWidth="1"/>
    <col min="15622" max="15622" width="11.140625" style="95" customWidth="1"/>
    <col min="15623" max="15623" width="39.28515625" style="95" bestFit="1" customWidth="1"/>
    <col min="15624" max="15624" width="23.140625" style="95" bestFit="1" customWidth="1"/>
    <col min="15625" max="15625" width="60.5703125" style="95" bestFit="1" customWidth="1"/>
    <col min="15626" max="15626" width="59.85546875" style="95" bestFit="1" customWidth="1"/>
    <col min="15627" max="15627" width="7.140625" style="95" customWidth="1"/>
    <col min="15628" max="15628" width="5.42578125" style="95" bestFit="1" customWidth="1"/>
    <col min="15629" max="15629" width="8.85546875" style="95" bestFit="1" customWidth="1"/>
    <col min="15630" max="15631" width="7.140625" style="95" customWidth="1"/>
    <col min="15632" max="15632" width="8.85546875" style="95" customWidth="1"/>
    <col min="15633" max="15872" width="11.42578125" style="95"/>
    <col min="15873" max="15873" width="10.85546875" style="95" customWidth="1"/>
    <col min="15874" max="15874" width="15.5703125" style="95" customWidth="1"/>
    <col min="15875" max="15875" width="11.140625" style="95" customWidth="1"/>
    <col min="15876" max="15877" width="18.7109375" style="95" customWidth="1"/>
    <col min="15878" max="15878" width="11.140625" style="95" customWidth="1"/>
    <col min="15879" max="15879" width="39.28515625" style="95" bestFit="1" customWidth="1"/>
    <col min="15880" max="15880" width="23.140625" style="95" bestFit="1" customWidth="1"/>
    <col min="15881" max="15881" width="60.5703125" style="95" bestFit="1" customWidth="1"/>
    <col min="15882" max="15882" width="59.85546875" style="95" bestFit="1" customWidth="1"/>
    <col min="15883" max="15883" width="7.140625" style="95" customWidth="1"/>
    <col min="15884" max="15884" width="5.42578125" style="95" bestFit="1" customWidth="1"/>
    <col min="15885" max="15885" width="8.85546875" style="95" bestFit="1" customWidth="1"/>
    <col min="15886" max="15887" width="7.140625" style="95" customWidth="1"/>
    <col min="15888" max="15888" width="8.85546875" style="95" customWidth="1"/>
    <col min="15889" max="16128" width="11.42578125" style="95"/>
    <col min="16129" max="16129" width="10.85546875" style="95" customWidth="1"/>
    <col min="16130" max="16130" width="15.5703125" style="95" customWidth="1"/>
    <col min="16131" max="16131" width="11.140625" style="95" customWidth="1"/>
    <col min="16132" max="16133" width="18.7109375" style="95" customWidth="1"/>
    <col min="16134" max="16134" width="11.140625" style="95" customWidth="1"/>
    <col min="16135" max="16135" width="39.28515625" style="95" bestFit="1" customWidth="1"/>
    <col min="16136" max="16136" width="23.140625" style="95" bestFit="1" customWidth="1"/>
    <col min="16137" max="16137" width="60.5703125" style="95" bestFit="1" customWidth="1"/>
    <col min="16138" max="16138" width="59.85546875" style="95" bestFit="1" customWidth="1"/>
    <col min="16139" max="16139" width="7.140625" style="95" customWidth="1"/>
    <col min="16140" max="16140" width="5.42578125" style="95" bestFit="1" customWidth="1"/>
    <col min="16141" max="16141" width="8.85546875" style="95" bestFit="1" customWidth="1"/>
    <col min="16142" max="16143" width="7.140625" style="95" customWidth="1"/>
    <col min="16144" max="16144" width="8.85546875" style="95" customWidth="1"/>
    <col min="16145" max="16384" width="11.42578125" style="95"/>
  </cols>
  <sheetData>
    <row r="1" spans="1:22" s="13" customFormat="1" x14ac:dyDescent="0.2">
      <c r="A1" s="13" t="s">
        <v>404</v>
      </c>
      <c r="H1" s="381"/>
      <c r="I1" s="381"/>
      <c r="J1" s="382"/>
      <c r="K1" s="381"/>
    </row>
    <row r="2" spans="1:22" x14ac:dyDescent="0.2">
      <c r="A2" s="383" t="s">
        <v>473</v>
      </c>
      <c r="B2" s="383"/>
      <c r="C2" s="383"/>
      <c r="D2" s="383"/>
      <c r="E2" s="383"/>
      <c r="F2" s="383"/>
      <c r="G2" s="383"/>
      <c r="H2" s="384"/>
      <c r="I2" s="385"/>
      <c r="J2" s="384"/>
      <c r="K2" s="384"/>
      <c r="L2" s="383"/>
      <c r="M2" s="383"/>
      <c r="N2" s="383"/>
      <c r="O2" s="383"/>
      <c r="P2" s="383"/>
      <c r="Q2" s="383"/>
      <c r="R2" s="383"/>
      <c r="S2" s="383"/>
      <c r="T2" s="383"/>
      <c r="U2" s="383"/>
      <c r="V2" s="383"/>
    </row>
    <row r="3" spans="1:22" ht="12.75" thickBot="1" x14ac:dyDescent="0.25"/>
    <row r="4" spans="1:22" s="57" customFormat="1" ht="12.75" customHeight="1" thickBot="1" x14ac:dyDescent="0.25">
      <c r="A4" s="646" t="s">
        <v>122</v>
      </c>
      <c r="B4" s="647"/>
      <c r="C4" s="647"/>
      <c r="D4" s="647"/>
      <c r="E4" s="648"/>
      <c r="F4" s="649" t="s">
        <v>123</v>
      </c>
      <c r="G4" s="650"/>
      <c r="H4" s="651"/>
      <c r="I4" s="651"/>
      <c r="J4" s="652"/>
      <c r="K4" s="653" t="s">
        <v>438</v>
      </c>
      <c r="L4" s="654"/>
      <c r="M4" s="655"/>
      <c r="N4" s="653" t="s">
        <v>439</v>
      </c>
      <c r="O4" s="654"/>
      <c r="P4" s="655"/>
    </row>
    <row r="5" spans="1:22" s="390" customFormat="1" ht="80.099999999999994" customHeight="1" thickBot="1" x14ac:dyDescent="0.25">
      <c r="A5" s="303" t="s">
        <v>82</v>
      </c>
      <c r="B5" s="173" t="s">
        <v>8</v>
      </c>
      <c r="C5" s="173" t="s">
        <v>78</v>
      </c>
      <c r="D5" s="304" t="s">
        <v>83</v>
      </c>
      <c r="E5" s="305" t="s">
        <v>104</v>
      </c>
      <c r="F5" s="303" t="s">
        <v>111</v>
      </c>
      <c r="G5" s="304" t="s">
        <v>112</v>
      </c>
      <c r="H5" s="304" t="s">
        <v>125</v>
      </c>
      <c r="I5" s="173" t="s">
        <v>126</v>
      </c>
      <c r="J5" s="302" t="s">
        <v>500</v>
      </c>
      <c r="K5" s="389" t="s">
        <v>113</v>
      </c>
      <c r="L5" s="174" t="s">
        <v>114</v>
      </c>
      <c r="M5" s="175" t="s">
        <v>115</v>
      </c>
      <c r="N5" s="389" t="s">
        <v>113</v>
      </c>
      <c r="O5" s="174" t="s">
        <v>114</v>
      </c>
      <c r="P5" s="175" t="s">
        <v>115</v>
      </c>
    </row>
    <row r="6" spans="1:22" x14ac:dyDescent="0.2">
      <c r="A6" s="529" t="s">
        <v>481</v>
      </c>
      <c r="B6" s="530" t="s">
        <v>38</v>
      </c>
      <c r="C6" s="530" t="s">
        <v>79</v>
      </c>
      <c r="D6" s="530" t="s">
        <v>501</v>
      </c>
      <c r="E6" s="531">
        <v>2250</v>
      </c>
      <c r="F6" s="532" t="s">
        <v>502</v>
      </c>
      <c r="G6" s="530" t="s">
        <v>503</v>
      </c>
      <c r="H6" s="533" t="s">
        <v>504</v>
      </c>
      <c r="I6" s="533" t="s">
        <v>505</v>
      </c>
      <c r="J6" s="534" t="s">
        <v>505</v>
      </c>
      <c r="K6" s="535"/>
      <c r="L6" s="530">
        <v>12</v>
      </c>
      <c r="M6" s="531">
        <v>30030</v>
      </c>
      <c r="N6" s="536" t="s">
        <v>506</v>
      </c>
      <c r="O6" s="530">
        <v>12</v>
      </c>
      <c r="P6" s="537">
        <v>30030</v>
      </c>
    </row>
    <row r="7" spans="1:22" x14ac:dyDescent="0.2">
      <c r="A7" s="538" t="s">
        <v>481</v>
      </c>
      <c r="B7" s="539" t="s">
        <v>38</v>
      </c>
      <c r="C7" s="539" t="s">
        <v>79</v>
      </c>
      <c r="D7" s="539" t="s">
        <v>501</v>
      </c>
      <c r="E7" s="540">
        <v>4900</v>
      </c>
      <c r="F7" s="541" t="s">
        <v>507</v>
      </c>
      <c r="G7" s="539" t="s">
        <v>508</v>
      </c>
      <c r="H7" s="542" t="s">
        <v>509</v>
      </c>
      <c r="I7" s="542" t="s">
        <v>510</v>
      </c>
      <c r="J7" s="543" t="s">
        <v>511</v>
      </c>
      <c r="K7" s="544" t="s">
        <v>512</v>
      </c>
      <c r="L7" s="539">
        <v>12</v>
      </c>
      <c r="M7" s="540">
        <v>30030</v>
      </c>
      <c r="N7" s="545" t="s">
        <v>506</v>
      </c>
      <c r="O7" s="539">
        <v>12</v>
      </c>
      <c r="P7" s="546">
        <v>62013.599999999999</v>
      </c>
    </row>
    <row r="8" spans="1:22" x14ac:dyDescent="0.2">
      <c r="A8" s="538" t="s">
        <v>481</v>
      </c>
      <c r="B8" s="539" t="s">
        <v>38</v>
      </c>
      <c r="C8" s="539" t="s">
        <v>79</v>
      </c>
      <c r="D8" s="539" t="s">
        <v>501</v>
      </c>
      <c r="E8" s="540">
        <v>2250</v>
      </c>
      <c r="F8" s="541" t="s">
        <v>513</v>
      </c>
      <c r="G8" s="539" t="s">
        <v>514</v>
      </c>
      <c r="H8" s="542" t="s">
        <v>504</v>
      </c>
      <c r="I8" s="542" t="s">
        <v>505</v>
      </c>
      <c r="J8" s="543" t="s">
        <v>505</v>
      </c>
      <c r="K8" s="544"/>
      <c r="L8" s="539">
        <v>12</v>
      </c>
      <c r="M8" s="540">
        <v>30030</v>
      </c>
      <c r="N8" s="545" t="s">
        <v>506</v>
      </c>
      <c r="O8" s="539">
        <v>12</v>
      </c>
      <c r="P8" s="546">
        <v>30030</v>
      </c>
    </row>
    <row r="9" spans="1:22" ht="24" x14ac:dyDescent="0.2">
      <c r="A9" s="538" t="s">
        <v>481</v>
      </c>
      <c r="B9" s="539" t="s">
        <v>38</v>
      </c>
      <c r="C9" s="539" t="s">
        <v>79</v>
      </c>
      <c r="D9" s="539" t="s">
        <v>515</v>
      </c>
      <c r="E9" s="540">
        <v>2250</v>
      </c>
      <c r="F9" s="541" t="s">
        <v>516</v>
      </c>
      <c r="G9" s="539" t="s">
        <v>517</v>
      </c>
      <c r="H9" s="542" t="s">
        <v>518</v>
      </c>
      <c r="I9" s="542" t="s">
        <v>519</v>
      </c>
      <c r="J9" s="543" t="s">
        <v>518</v>
      </c>
      <c r="K9" s="544" t="s">
        <v>512</v>
      </c>
      <c r="L9" s="539">
        <v>12</v>
      </c>
      <c r="M9" s="540">
        <v>30030</v>
      </c>
      <c r="N9" s="545" t="s">
        <v>506</v>
      </c>
      <c r="O9" s="539">
        <v>12</v>
      </c>
      <c r="P9" s="546">
        <v>30030</v>
      </c>
    </row>
    <row r="10" spans="1:22" x14ac:dyDescent="0.2">
      <c r="A10" s="538" t="s">
        <v>481</v>
      </c>
      <c r="B10" s="539" t="s">
        <v>38</v>
      </c>
      <c r="C10" s="539" t="s">
        <v>79</v>
      </c>
      <c r="D10" s="539" t="s">
        <v>520</v>
      </c>
      <c r="E10" s="540">
        <v>6000</v>
      </c>
      <c r="F10" s="541" t="s">
        <v>521</v>
      </c>
      <c r="G10" s="539" t="s">
        <v>522</v>
      </c>
      <c r="H10" s="542" t="s">
        <v>509</v>
      </c>
      <c r="I10" s="542" t="s">
        <v>523</v>
      </c>
      <c r="J10" s="543" t="s">
        <v>524</v>
      </c>
      <c r="K10" s="544" t="s">
        <v>512</v>
      </c>
      <c r="L10" s="539">
        <v>12</v>
      </c>
      <c r="M10" s="540">
        <v>30030</v>
      </c>
      <c r="N10" s="545" t="s">
        <v>525</v>
      </c>
      <c r="O10" s="539">
        <v>12</v>
      </c>
      <c r="P10" s="546">
        <v>75213.600000000006</v>
      </c>
    </row>
    <row r="11" spans="1:22" ht="24" x14ac:dyDescent="0.2">
      <c r="A11" s="538" t="s">
        <v>481</v>
      </c>
      <c r="B11" s="539" t="s">
        <v>38</v>
      </c>
      <c r="C11" s="539" t="s">
        <v>79</v>
      </c>
      <c r="D11" s="539" t="s">
        <v>526</v>
      </c>
      <c r="E11" s="540">
        <v>2500</v>
      </c>
      <c r="F11" s="541" t="s">
        <v>527</v>
      </c>
      <c r="G11" s="539" t="s">
        <v>528</v>
      </c>
      <c r="H11" s="542" t="s">
        <v>526</v>
      </c>
      <c r="I11" s="542"/>
      <c r="J11" s="543" t="s">
        <v>529</v>
      </c>
      <c r="K11" s="544" t="s">
        <v>512</v>
      </c>
      <c r="L11" s="539">
        <v>12</v>
      </c>
      <c r="M11" s="540">
        <v>30030</v>
      </c>
      <c r="N11" s="545" t="s">
        <v>530</v>
      </c>
      <c r="O11" s="539">
        <v>12</v>
      </c>
      <c r="P11" s="546">
        <v>33213.599999999999</v>
      </c>
    </row>
    <row r="12" spans="1:22" ht="24" x14ac:dyDescent="0.2">
      <c r="A12" s="538" t="s">
        <v>481</v>
      </c>
      <c r="B12" s="539" t="s">
        <v>38</v>
      </c>
      <c r="C12" s="539" t="s">
        <v>79</v>
      </c>
      <c r="D12" s="539" t="s">
        <v>531</v>
      </c>
      <c r="E12" s="540">
        <v>3000</v>
      </c>
      <c r="F12" s="541" t="s">
        <v>532</v>
      </c>
      <c r="G12" s="539" t="s">
        <v>533</v>
      </c>
      <c r="H12" s="542" t="s">
        <v>509</v>
      </c>
      <c r="I12" s="542" t="s">
        <v>534</v>
      </c>
      <c r="J12" s="543" t="s">
        <v>505</v>
      </c>
      <c r="K12" s="544"/>
      <c r="L12" s="539">
        <v>12</v>
      </c>
      <c r="M12" s="540">
        <v>30030</v>
      </c>
      <c r="N12" s="545"/>
      <c r="O12" s="539">
        <v>12</v>
      </c>
      <c r="P12" s="546">
        <v>39213.599999999999</v>
      </c>
    </row>
    <row r="13" spans="1:22" x14ac:dyDescent="0.2">
      <c r="A13" s="538" t="s">
        <v>481</v>
      </c>
      <c r="B13" s="539" t="s">
        <v>38</v>
      </c>
      <c r="C13" s="539" t="s">
        <v>79</v>
      </c>
      <c r="D13" s="539" t="s">
        <v>535</v>
      </c>
      <c r="E13" s="540">
        <v>3000</v>
      </c>
      <c r="F13" s="541" t="s">
        <v>536</v>
      </c>
      <c r="G13" s="539" t="s">
        <v>537</v>
      </c>
      <c r="H13" s="542" t="s">
        <v>504</v>
      </c>
      <c r="I13" s="542" t="s">
        <v>505</v>
      </c>
      <c r="J13" s="543" t="s">
        <v>505</v>
      </c>
      <c r="K13" s="544"/>
      <c r="L13" s="539">
        <v>12</v>
      </c>
      <c r="M13" s="540">
        <v>30030</v>
      </c>
      <c r="N13" s="545"/>
      <c r="O13" s="539">
        <v>12</v>
      </c>
      <c r="P13" s="546">
        <v>39213.599999999999</v>
      </c>
    </row>
    <row r="14" spans="1:22" x14ac:dyDescent="0.2">
      <c r="A14" s="538" t="s">
        <v>481</v>
      </c>
      <c r="B14" s="539" t="s">
        <v>38</v>
      </c>
      <c r="C14" s="539" t="s">
        <v>79</v>
      </c>
      <c r="D14" s="539" t="s">
        <v>515</v>
      </c>
      <c r="E14" s="540">
        <v>2800</v>
      </c>
      <c r="F14" s="541" t="s">
        <v>538</v>
      </c>
      <c r="G14" s="539" t="s">
        <v>539</v>
      </c>
      <c r="H14" s="542" t="s">
        <v>504</v>
      </c>
      <c r="I14" s="542" t="s">
        <v>505</v>
      </c>
      <c r="J14" s="543" t="s">
        <v>505</v>
      </c>
      <c r="K14" s="544"/>
      <c r="L14" s="539">
        <v>12</v>
      </c>
      <c r="M14" s="540">
        <v>30030</v>
      </c>
      <c r="N14" s="545" t="s">
        <v>525</v>
      </c>
      <c r="O14" s="539">
        <v>12</v>
      </c>
      <c r="P14" s="546">
        <v>36813.599999999999</v>
      </c>
    </row>
    <row r="15" spans="1:22" x14ac:dyDescent="0.2">
      <c r="A15" s="538" t="s">
        <v>481</v>
      </c>
      <c r="B15" s="539" t="s">
        <v>38</v>
      </c>
      <c r="C15" s="539" t="s">
        <v>79</v>
      </c>
      <c r="D15" s="539" t="s">
        <v>540</v>
      </c>
      <c r="E15" s="540">
        <v>2700</v>
      </c>
      <c r="F15" s="541" t="s">
        <v>541</v>
      </c>
      <c r="G15" s="539" t="s">
        <v>542</v>
      </c>
      <c r="H15" s="542" t="s">
        <v>543</v>
      </c>
      <c r="I15" s="542" t="s">
        <v>544</v>
      </c>
      <c r="J15" s="543" t="s">
        <v>545</v>
      </c>
      <c r="K15" s="544"/>
      <c r="L15" s="539">
        <v>12</v>
      </c>
      <c r="M15" s="540">
        <v>30030</v>
      </c>
      <c r="N15" s="545"/>
      <c r="O15" s="539">
        <v>12</v>
      </c>
      <c r="P15" s="546">
        <v>35613.599999999999</v>
      </c>
    </row>
    <row r="16" spans="1:22" x14ac:dyDescent="0.2">
      <c r="A16" s="538" t="s">
        <v>481</v>
      </c>
      <c r="B16" s="539" t="s">
        <v>38</v>
      </c>
      <c r="C16" s="539" t="s">
        <v>79</v>
      </c>
      <c r="D16" s="539" t="s">
        <v>526</v>
      </c>
      <c r="E16" s="540">
        <v>1800</v>
      </c>
      <c r="F16" s="541" t="s">
        <v>546</v>
      </c>
      <c r="G16" s="539" t="s">
        <v>547</v>
      </c>
      <c r="H16" s="542"/>
      <c r="I16" s="542"/>
      <c r="J16" s="543"/>
      <c r="K16" s="544"/>
      <c r="L16" s="539">
        <v>12</v>
      </c>
      <c r="M16" s="540">
        <v>30030</v>
      </c>
      <c r="N16" s="545"/>
      <c r="O16" s="539">
        <v>12</v>
      </c>
      <c r="P16" s="546">
        <v>24144</v>
      </c>
    </row>
    <row r="17" spans="1:16" x14ac:dyDescent="0.2">
      <c r="A17" s="538" t="s">
        <v>481</v>
      </c>
      <c r="B17" s="539" t="s">
        <v>38</v>
      </c>
      <c r="C17" s="539" t="s">
        <v>79</v>
      </c>
      <c r="D17" s="539" t="s">
        <v>548</v>
      </c>
      <c r="E17" s="540">
        <v>2400</v>
      </c>
      <c r="F17" s="541" t="s">
        <v>549</v>
      </c>
      <c r="G17" s="539" t="s">
        <v>550</v>
      </c>
      <c r="H17" s="542"/>
      <c r="I17" s="542"/>
      <c r="J17" s="543"/>
      <c r="K17" s="544"/>
      <c r="L17" s="539">
        <v>12</v>
      </c>
      <c r="M17" s="540">
        <v>30030</v>
      </c>
      <c r="N17" s="545"/>
      <c r="O17" s="539">
        <v>12</v>
      </c>
      <c r="P17" s="546">
        <v>31992</v>
      </c>
    </row>
    <row r="18" spans="1:16" x14ac:dyDescent="0.2">
      <c r="A18" s="538" t="s">
        <v>481</v>
      </c>
      <c r="B18" s="539" t="s">
        <v>38</v>
      </c>
      <c r="C18" s="539" t="s">
        <v>79</v>
      </c>
      <c r="D18" s="539" t="s">
        <v>540</v>
      </c>
      <c r="E18" s="540">
        <v>2400</v>
      </c>
      <c r="F18" s="541" t="s">
        <v>551</v>
      </c>
      <c r="G18" s="539" t="s">
        <v>552</v>
      </c>
      <c r="H18" s="542" t="s">
        <v>553</v>
      </c>
      <c r="I18" s="542" t="s">
        <v>554</v>
      </c>
      <c r="J18" s="543" t="s">
        <v>555</v>
      </c>
      <c r="K18" s="544"/>
      <c r="L18" s="539">
        <v>12</v>
      </c>
      <c r="M18" s="540">
        <v>30030</v>
      </c>
      <c r="N18" s="545"/>
      <c r="O18" s="539">
        <v>12</v>
      </c>
      <c r="P18" s="546">
        <v>31992</v>
      </c>
    </row>
    <row r="19" spans="1:16" x14ac:dyDescent="0.2">
      <c r="A19" s="538" t="s">
        <v>481</v>
      </c>
      <c r="B19" s="539" t="s">
        <v>38</v>
      </c>
      <c r="C19" s="539" t="s">
        <v>79</v>
      </c>
      <c r="D19" s="539" t="s">
        <v>540</v>
      </c>
      <c r="E19" s="540">
        <v>1450</v>
      </c>
      <c r="F19" s="541" t="s">
        <v>556</v>
      </c>
      <c r="G19" s="539" t="s">
        <v>557</v>
      </c>
      <c r="H19" s="542"/>
      <c r="I19" s="542"/>
      <c r="J19" s="543"/>
      <c r="K19" s="544"/>
      <c r="L19" s="539">
        <v>12</v>
      </c>
      <c r="M19" s="540">
        <v>30030</v>
      </c>
      <c r="N19" s="545"/>
      <c r="O19" s="539">
        <v>12</v>
      </c>
      <c r="P19" s="546">
        <v>19566</v>
      </c>
    </row>
    <row r="20" spans="1:16" ht="24" x14ac:dyDescent="0.2">
      <c r="A20" s="538" t="s">
        <v>481</v>
      </c>
      <c r="B20" s="539" t="s">
        <v>38</v>
      </c>
      <c r="C20" s="539" t="s">
        <v>79</v>
      </c>
      <c r="D20" s="539" t="s">
        <v>558</v>
      </c>
      <c r="E20" s="540">
        <v>2300</v>
      </c>
      <c r="F20" s="541" t="s">
        <v>559</v>
      </c>
      <c r="G20" s="539" t="s">
        <v>560</v>
      </c>
      <c r="H20" s="542" t="s">
        <v>509</v>
      </c>
      <c r="I20" s="542" t="s">
        <v>561</v>
      </c>
      <c r="J20" s="543" t="s">
        <v>505</v>
      </c>
      <c r="K20" s="544"/>
      <c r="L20" s="539">
        <v>12</v>
      </c>
      <c r="M20" s="540">
        <v>30030</v>
      </c>
      <c r="N20" s="545"/>
      <c r="O20" s="539">
        <v>12</v>
      </c>
      <c r="P20" s="546">
        <v>30684</v>
      </c>
    </row>
    <row r="21" spans="1:16" ht="24" x14ac:dyDescent="0.2">
      <c r="A21" s="538" t="s">
        <v>481</v>
      </c>
      <c r="B21" s="539" t="s">
        <v>38</v>
      </c>
      <c r="C21" s="539" t="s">
        <v>79</v>
      </c>
      <c r="D21" s="539" t="s">
        <v>562</v>
      </c>
      <c r="E21" s="540">
        <v>3500</v>
      </c>
      <c r="F21" s="541" t="s">
        <v>563</v>
      </c>
      <c r="G21" s="539" t="s">
        <v>564</v>
      </c>
      <c r="H21" s="542" t="s">
        <v>509</v>
      </c>
      <c r="I21" s="542" t="s">
        <v>565</v>
      </c>
      <c r="J21" s="543" t="s">
        <v>566</v>
      </c>
      <c r="K21" s="544"/>
      <c r="L21" s="539">
        <v>12</v>
      </c>
      <c r="M21" s="540">
        <v>30030</v>
      </c>
      <c r="N21" s="545"/>
      <c r="O21" s="539">
        <v>12</v>
      </c>
      <c r="P21" s="546">
        <v>45213.599999999999</v>
      </c>
    </row>
    <row r="22" spans="1:16" x14ac:dyDescent="0.2">
      <c r="A22" s="538" t="s">
        <v>481</v>
      </c>
      <c r="B22" s="539" t="s">
        <v>38</v>
      </c>
      <c r="C22" s="539" t="s">
        <v>79</v>
      </c>
      <c r="D22" s="539" t="s">
        <v>567</v>
      </c>
      <c r="E22" s="540">
        <v>1200</v>
      </c>
      <c r="F22" s="541" t="s">
        <v>568</v>
      </c>
      <c r="G22" s="539" t="s">
        <v>569</v>
      </c>
      <c r="H22" s="542" t="s">
        <v>504</v>
      </c>
      <c r="I22" s="542" t="s">
        <v>505</v>
      </c>
      <c r="J22" s="542" t="s">
        <v>505</v>
      </c>
      <c r="K22" s="544"/>
      <c r="L22" s="539">
        <v>12</v>
      </c>
      <c r="M22" s="540">
        <v>30030</v>
      </c>
      <c r="N22" s="545"/>
      <c r="O22" s="539">
        <v>12</v>
      </c>
      <c r="P22" s="546">
        <v>16296</v>
      </c>
    </row>
    <row r="23" spans="1:16" x14ac:dyDescent="0.2">
      <c r="A23" s="538" t="s">
        <v>481</v>
      </c>
      <c r="B23" s="539" t="s">
        <v>38</v>
      </c>
      <c r="C23" s="539" t="s">
        <v>79</v>
      </c>
      <c r="D23" s="539" t="s">
        <v>526</v>
      </c>
      <c r="E23" s="540">
        <v>1400</v>
      </c>
      <c r="F23" s="541" t="s">
        <v>570</v>
      </c>
      <c r="G23" s="539" t="s">
        <v>571</v>
      </c>
      <c r="H23" s="542"/>
      <c r="I23" s="542"/>
      <c r="J23" s="542"/>
      <c r="K23" s="544"/>
      <c r="L23" s="539">
        <v>12</v>
      </c>
      <c r="M23" s="540">
        <v>30030</v>
      </c>
      <c r="N23" s="545"/>
      <c r="O23" s="539">
        <v>12</v>
      </c>
      <c r="P23" s="546">
        <v>18912</v>
      </c>
    </row>
    <row r="24" spans="1:16" x14ac:dyDescent="0.2">
      <c r="A24" s="538" t="s">
        <v>481</v>
      </c>
      <c r="B24" s="539" t="s">
        <v>38</v>
      </c>
      <c r="C24" s="539" t="s">
        <v>79</v>
      </c>
      <c r="D24" s="539" t="s">
        <v>526</v>
      </c>
      <c r="E24" s="540">
        <v>1200</v>
      </c>
      <c r="F24" s="541" t="s">
        <v>572</v>
      </c>
      <c r="G24" s="539" t="s">
        <v>573</v>
      </c>
      <c r="H24" s="542"/>
      <c r="I24" s="542"/>
      <c r="J24" s="542"/>
      <c r="K24" s="544"/>
      <c r="L24" s="539">
        <v>12</v>
      </c>
      <c r="M24" s="540">
        <v>30030</v>
      </c>
      <c r="N24" s="545"/>
      <c r="O24" s="539">
        <v>12</v>
      </c>
      <c r="P24" s="546">
        <v>16296</v>
      </c>
    </row>
    <row r="25" spans="1:16" x14ac:dyDescent="0.2">
      <c r="A25" s="538" t="s">
        <v>481</v>
      </c>
      <c r="B25" s="539" t="s">
        <v>38</v>
      </c>
      <c r="C25" s="539" t="s">
        <v>79</v>
      </c>
      <c r="D25" s="539" t="s">
        <v>526</v>
      </c>
      <c r="E25" s="540">
        <v>1500</v>
      </c>
      <c r="F25" s="541" t="s">
        <v>574</v>
      </c>
      <c r="G25" s="539" t="s">
        <v>575</v>
      </c>
      <c r="H25" s="542"/>
      <c r="I25" s="542"/>
      <c r="J25" s="542"/>
      <c r="K25" s="544"/>
      <c r="L25" s="539">
        <v>12</v>
      </c>
      <c r="M25" s="540">
        <v>30030</v>
      </c>
      <c r="N25" s="545"/>
      <c r="O25" s="539">
        <v>12</v>
      </c>
      <c r="P25" s="546">
        <v>20220</v>
      </c>
    </row>
    <row r="26" spans="1:16" ht="24" x14ac:dyDescent="0.2">
      <c r="A26" s="538" t="s">
        <v>481</v>
      </c>
      <c r="B26" s="539" t="s">
        <v>38</v>
      </c>
      <c r="C26" s="539" t="s">
        <v>79</v>
      </c>
      <c r="D26" s="539" t="s">
        <v>540</v>
      </c>
      <c r="E26" s="540">
        <v>2200</v>
      </c>
      <c r="F26" s="541" t="s">
        <v>576</v>
      </c>
      <c r="G26" s="539" t="s">
        <v>577</v>
      </c>
      <c r="H26" s="542" t="s">
        <v>526</v>
      </c>
      <c r="I26" s="542"/>
      <c r="J26" s="542" t="s">
        <v>578</v>
      </c>
      <c r="K26" s="544"/>
      <c r="L26" s="539">
        <v>12</v>
      </c>
      <c r="M26" s="540">
        <v>30030</v>
      </c>
      <c r="N26" s="545"/>
      <c r="O26" s="539">
        <v>12</v>
      </c>
      <c r="P26" s="546">
        <v>29376</v>
      </c>
    </row>
    <row r="27" spans="1:16" x14ac:dyDescent="0.2">
      <c r="A27" s="538" t="s">
        <v>481</v>
      </c>
      <c r="B27" s="539" t="s">
        <v>38</v>
      </c>
      <c r="C27" s="539" t="s">
        <v>79</v>
      </c>
      <c r="D27" s="539" t="s">
        <v>567</v>
      </c>
      <c r="E27" s="540">
        <v>1900</v>
      </c>
      <c r="F27" s="541" t="s">
        <v>579</v>
      </c>
      <c r="G27" s="539" t="s">
        <v>580</v>
      </c>
      <c r="H27" s="542" t="s">
        <v>504</v>
      </c>
      <c r="I27" s="542" t="s">
        <v>505</v>
      </c>
      <c r="J27" s="542" t="s">
        <v>505</v>
      </c>
      <c r="K27" s="544"/>
      <c r="L27" s="539">
        <v>12</v>
      </c>
      <c r="M27" s="540">
        <v>30030</v>
      </c>
      <c r="N27" s="545"/>
      <c r="O27" s="539">
        <v>12</v>
      </c>
      <c r="P27" s="546">
        <v>25452</v>
      </c>
    </row>
    <row r="28" spans="1:16" x14ac:dyDescent="0.2">
      <c r="A28" s="538" t="s">
        <v>481</v>
      </c>
      <c r="B28" s="539" t="s">
        <v>38</v>
      </c>
      <c r="C28" s="539" t="s">
        <v>79</v>
      </c>
      <c r="D28" s="539" t="s">
        <v>581</v>
      </c>
      <c r="E28" s="540">
        <v>1900</v>
      </c>
      <c r="F28" s="541" t="s">
        <v>582</v>
      </c>
      <c r="G28" s="539" t="s">
        <v>583</v>
      </c>
      <c r="H28" s="542" t="s">
        <v>504</v>
      </c>
      <c r="I28" s="542" t="s">
        <v>505</v>
      </c>
      <c r="J28" s="542" t="s">
        <v>505</v>
      </c>
      <c r="K28" s="544"/>
      <c r="L28" s="539">
        <v>12</v>
      </c>
      <c r="M28" s="540">
        <v>30030</v>
      </c>
      <c r="N28" s="545"/>
      <c r="O28" s="539">
        <v>12</v>
      </c>
      <c r="P28" s="546">
        <v>25452</v>
      </c>
    </row>
    <row r="29" spans="1:16" ht="24" x14ac:dyDescent="0.2">
      <c r="A29" s="538" t="s">
        <v>481</v>
      </c>
      <c r="B29" s="539" t="s">
        <v>38</v>
      </c>
      <c r="C29" s="539" t="s">
        <v>79</v>
      </c>
      <c r="D29" s="539" t="s">
        <v>526</v>
      </c>
      <c r="E29" s="540">
        <v>2200</v>
      </c>
      <c r="F29" s="541" t="s">
        <v>584</v>
      </c>
      <c r="G29" s="539" t="s">
        <v>585</v>
      </c>
      <c r="H29" s="542" t="s">
        <v>526</v>
      </c>
      <c r="I29" s="542"/>
      <c r="J29" s="542" t="s">
        <v>578</v>
      </c>
      <c r="K29" s="544"/>
      <c r="L29" s="539">
        <v>12</v>
      </c>
      <c r="M29" s="540">
        <v>30030</v>
      </c>
      <c r="N29" s="545"/>
      <c r="O29" s="539">
        <v>12</v>
      </c>
      <c r="P29" s="546">
        <v>29376</v>
      </c>
    </row>
    <row r="30" spans="1:16" x14ac:dyDescent="0.2">
      <c r="A30" s="538" t="s">
        <v>481</v>
      </c>
      <c r="B30" s="539" t="s">
        <v>38</v>
      </c>
      <c r="C30" s="539" t="s">
        <v>79</v>
      </c>
      <c r="D30" s="539" t="s">
        <v>567</v>
      </c>
      <c r="E30" s="540">
        <v>1900</v>
      </c>
      <c r="F30" s="541" t="s">
        <v>586</v>
      </c>
      <c r="G30" s="539" t="s">
        <v>587</v>
      </c>
      <c r="H30" s="542" t="s">
        <v>504</v>
      </c>
      <c r="I30" s="542" t="s">
        <v>505</v>
      </c>
      <c r="J30" s="542" t="s">
        <v>505</v>
      </c>
      <c r="K30" s="544"/>
      <c r="L30" s="539">
        <v>12</v>
      </c>
      <c r="M30" s="540">
        <v>30030</v>
      </c>
      <c r="N30" s="545"/>
      <c r="O30" s="539">
        <v>12</v>
      </c>
      <c r="P30" s="546">
        <v>25452</v>
      </c>
    </row>
    <row r="31" spans="1:16" x14ac:dyDescent="0.2">
      <c r="A31" s="538" t="s">
        <v>481</v>
      </c>
      <c r="B31" s="539" t="s">
        <v>38</v>
      </c>
      <c r="C31" s="539" t="s">
        <v>79</v>
      </c>
      <c r="D31" s="539" t="s">
        <v>526</v>
      </c>
      <c r="E31" s="540">
        <v>1900</v>
      </c>
      <c r="F31" s="541" t="s">
        <v>588</v>
      </c>
      <c r="G31" s="539" t="s">
        <v>589</v>
      </c>
      <c r="H31" s="542" t="s">
        <v>526</v>
      </c>
      <c r="I31" s="542"/>
      <c r="J31" s="542" t="s">
        <v>590</v>
      </c>
      <c r="K31" s="544"/>
      <c r="L31" s="539">
        <v>12</v>
      </c>
      <c r="M31" s="540">
        <v>30030</v>
      </c>
      <c r="N31" s="545"/>
      <c r="O31" s="539">
        <v>12</v>
      </c>
      <c r="P31" s="546">
        <v>25452</v>
      </c>
    </row>
    <row r="32" spans="1:16" ht="60" x14ac:dyDescent="0.2">
      <c r="A32" s="538" t="s">
        <v>481</v>
      </c>
      <c r="B32" s="539" t="s">
        <v>38</v>
      </c>
      <c r="C32" s="539" t="s">
        <v>79</v>
      </c>
      <c r="D32" s="539" t="s">
        <v>591</v>
      </c>
      <c r="E32" s="540">
        <v>1500</v>
      </c>
      <c r="F32" s="541" t="s">
        <v>592</v>
      </c>
      <c r="G32" s="539" t="s">
        <v>593</v>
      </c>
      <c r="H32" s="542" t="s">
        <v>594</v>
      </c>
      <c r="I32" s="542"/>
      <c r="J32" s="542"/>
      <c r="K32" s="544"/>
      <c r="L32" s="539">
        <v>12</v>
      </c>
      <c r="M32" s="540">
        <v>30030</v>
      </c>
      <c r="N32" s="545"/>
      <c r="O32" s="539">
        <v>12</v>
      </c>
      <c r="P32" s="546">
        <v>20220</v>
      </c>
    </row>
    <row r="33" spans="1:16" x14ac:dyDescent="0.2">
      <c r="A33" s="538" t="s">
        <v>481</v>
      </c>
      <c r="B33" s="539" t="s">
        <v>38</v>
      </c>
      <c r="C33" s="539" t="s">
        <v>79</v>
      </c>
      <c r="D33" s="539" t="s">
        <v>591</v>
      </c>
      <c r="E33" s="540">
        <v>1500</v>
      </c>
      <c r="F33" s="541" t="s">
        <v>595</v>
      </c>
      <c r="G33" s="539" t="s">
        <v>596</v>
      </c>
      <c r="H33" s="542" t="s">
        <v>504</v>
      </c>
      <c r="I33" s="542" t="s">
        <v>505</v>
      </c>
      <c r="J33" s="542" t="s">
        <v>505</v>
      </c>
      <c r="K33" s="544"/>
      <c r="L33" s="539">
        <v>12</v>
      </c>
      <c r="M33" s="540">
        <v>30030</v>
      </c>
      <c r="N33" s="545"/>
      <c r="O33" s="539">
        <v>12</v>
      </c>
      <c r="P33" s="546">
        <v>20220</v>
      </c>
    </row>
    <row r="34" spans="1:16" x14ac:dyDescent="0.2">
      <c r="A34" s="538" t="s">
        <v>481</v>
      </c>
      <c r="B34" s="539" t="s">
        <v>38</v>
      </c>
      <c r="C34" s="539" t="s">
        <v>79</v>
      </c>
      <c r="D34" s="539" t="s">
        <v>591</v>
      </c>
      <c r="E34" s="540">
        <v>1500</v>
      </c>
      <c r="F34" s="541" t="s">
        <v>597</v>
      </c>
      <c r="G34" s="539" t="s">
        <v>598</v>
      </c>
      <c r="H34" s="542" t="s">
        <v>504</v>
      </c>
      <c r="I34" s="542" t="s">
        <v>505</v>
      </c>
      <c r="J34" s="542" t="s">
        <v>505</v>
      </c>
      <c r="K34" s="544"/>
      <c r="L34" s="539">
        <v>12</v>
      </c>
      <c r="M34" s="540">
        <v>30030</v>
      </c>
      <c r="N34" s="545"/>
      <c r="O34" s="539">
        <v>12</v>
      </c>
      <c r="P34" s="546">
        <v>20220</v>
      </c>
    </row>
    <row r="35" spans="1:16" x14ac:dyDescent="0.2">
      <c r="A35" s="538" t="s">
        <v>481</v>
      </c>
      <c r="B35" s="539" t="s">
        <v>38</v>
      </c>
      <c r="C35" s="539" t="s">
        <v>79</v>
      </c>
      <c r="D35" s="539" t="s">
        <v>599</v>
      </c>
      <c r="E35" s="540">
        <v>1700</v>
      </c>
      <c r="F35" s="541" t="s">
        <v>600</v>
      </c>
      <c r="G35" s="539" t="s">
        <v>601</v>
      </c>
      <c r="H35" s="542"/>
      <c r="I35" s="542"/>
      <c r="J35" s="542"/>
      <c r="K35" s="544"/>
      <c r="L35" s="539">
        <v>12</v>
      </c>
      <c r="M35" s="540">
        <v>30030</v>
      </c>
      <c r="N35" s="545"/>
      <c r="O35" s="539">
        <v>12</v>
      </c>
      <c r="P35" s="546">
        <v>22836</v>
      </c>
    </row>
    <row r="36" spans="1:16" x14ac:dyDescent="0.2">
      <c r="A36" s="538" t="s">
        <v>481</v>
      </c>
      <c r="B36" s="539" t="s">
        <v>38</v>
      </c>
      <c r="C36" s="539" t="s">
        <v>79</v>
      </c>
      <c r="D36" s="539" t="s">
        <v>602</v>
      </c>
      <c r="E36" s="540">
        <v>1480</v>
      </c>
      <c r="F36" s="541" t="s">
        <v>603</v>
      </c>
      <c r="G36" s="539" t="s">
        <v>604</v>
      </c>
      <c r="H36" s="542"/>
      <c r="I36" s="542"/>
      <c r="J36" s="542"/>
      <c r="K36" s="544"/>
      <c r="L36" s="539">
        <v>12</v>
      </c>
      <c r="M36" s="540">
        <v>30030</v>
      </c>
      <c r="N36" s="545"/>
      <c r="O36" s="539">
        <v>12</v>
      </c>
      <c r="P36" s="546">
        <v>19958.400000000001</v>
      </c>
    </row>
    <row r="37" spans="1:16" x14ac:dyDescent="0.2">
      <c r="A37" s="538" t="s">
        <v>481</v>
      </c>
      <c r="B37" s="539" t="s">
        <v>38</v>
      </c>
      <c r="C37" s="539" t="s">
        <v>79</v>
      </c>
      <c r="D37" s="539" t="s">
        <v>605</v>
      </c>
      <c r="E37" s="540">
        <v>1100</v>
      </c>
      <c r="F37" s="541" t="s">
        <v>606</v>
      </c>
      <c r="G37" s="539" t="s">
        <v>607</v>
      </c>
      <c r="H37" s="542"/>
      <c r="I37" s="542"/>
      <c r="J37" s="542"/>
      <c r="K37" s="544"/>
      <c r="L37" s="539">
        <v>12</v>
      </c>
      <c r="M37" s="540">
        <v>30030</v>
      </c>
      <c r="N37" s="545"/>
      <c r="O37" s="539">
        <v>12</v>
      </c>
      <c r="P37" s="546">
        <v>14988</v>
      </c>
    </row>
    <row r="38" spans="1:16" x14ac:dyDescent="0.2">
      <c r="A38" s="538" t="s">
        <v>481</v>
      </c>
      <c r="B38" s="539" t="s">
        <v>38</v>
      </c>
      <c r="C38" s="539" t="s">
        <v>79</v>
      </c>
      <c r="D38" s="539" t="s">
        <v>605</v>
      </c>
      <c r="E38" s="540">
        <v>1100</v>
      </c>
      <c r="F38" s="541" t="s">
        <v>608</v>
      </c>
      <c r="G38" s="539" t="s">
        <v>609</v>
      </c>
      <c r="H38" s="542"/>
      <c r="I38" s="542"/>
      <c r="J38" s="542"/>
      <c r="K38" s="544"/>
      <c r="L38" s="539">
        <v>12</v>
      </c>
      <c r="M38" s="540">
        <v>30030</v>
      </c>
      <c r="N38" s="545"/>
      <c r="O38" s="539">
        <v>12</v>
      </c>
      <c r="P38" s="546">
        <v>14988</v>
      </c>
    </row>
    <row r="39" spans="1:16" x14ac:dyDescent="0.2">
      <c r="A39" s="538" t="s">
        <v>481</v>
      </c>
      <c r="B39" s="539" t="s">
        <v>38</v>
      </c>
      <c r="C39" s="539" t="s">
        <v>79</v>
      </c>
      <c r="D39" s="539" t="s">
        <v>610</v>
      </c>
      <c r="E39" s="540">
        <v>1100</v>
      </c>
      <c r="F39" s="541" t="s">
        <v>611</v>
      </c>
      <c r="G39" s="539" t="s">
        <v>612</v>
      </c>
      <c r="H39" s="542"/>
      <c r="I39" s="542"/>
      <c r="J39" s="543"/>
      <c r="K39" s="544"/>
      <c r="L39" s="539">
        <v>12</v>
      </c>
      <c r="M39" s="540">
        <v>30030</v>
      </c>
      <c r="N39" s="545"/>
      <c r="O39" s="539">
        <v>12</v>
      </c>
      <c r="P39" s="546">
        <v>14988</v>
      </c>
    </row>
    <row r="40" spans="1:16" x14ac:dyDescent="0.2">
      <c r="A40" s="538" t="s">
        <v>481</v>
      </c>
      <c r="B40" s="539" t="s">
        <v>38</v>
      </c>
      <c r="C40" s="539" t="s">
        <v>79</v>
      </c>
      <c r="D40" s="539" t="s">
        <v>613</v>
      </c>
      <c r="E40" s="540">
        <v>1100</v>
      </c>
      <c r="F40" s="541" t="s">
        <v>614</v>
      </c>
      <c r="G40" s="539" t="s">
        <v>615</v>
      </c>
      <c r="H40" s="542"/>
      <c r="I40" s="542"/>
      <c r="J40" s="543"/>
      <c r="K40" s="544"/>
      <c r="L40" s="539">
        <v>12</v>
      </c>
      <c r="M40" s="540">
        <v>30030</v>
      </c>
      <c r="N40" s="545"/>
      <c r="O40" s="539">
        <v>12</v>
      </c>
      <c r="P40" s="546">
        <v>14988</v>
      </c>
    </row>
    <row r="41" spans="1:16" x14ac:dyDescent="0.2">
      <c r="A41" s="538" t="s">
        <v>481</v>
      </c>
      <c r="B41" s="539" t="s">
        <v>38</v>
      </c>
      <c r="C41" s="539" t="s">
        <v>79</v>
      </c>
      <c r="D41" s="539" t="s">
        <v>616</v>
      </c>
      <c r="E41" s="540">
        <v>2800</v>
      </c>
      <c r="F41" s="541" t="s">
        <v>617</v>
      </c>
      <c r="G41" s="539" t="s">
        <v>618</v>
      </c>
      <c r="H41" s="542"/>
      <c r="I41" s="542"/>
      <c r="J41" s="543"/>
      <c r="K41" s="544"/>
      <c r="L41" s="539">
        <v>12</v>
      </c>
      <c r="M41" s="540">
        <v>30030</v>
      </c>
      <c r="N41" s="545"/>
      <c r="O41" s="539">
        <v>12</v>
      </c>
      <c r="P41" s="546">
        <v>36813.599999999999</v>
      </c>
    </row>
    <row r="42" spans="1:16" x14ac:dyDescent="0.2">
      <c r="A42" s="538" t="s">
        <v>481</v>
      </c>
      <c r="B42" s="539" t="s">
        <v>38</v>
      </c>
      <c r="C42" s="539" t="s">
        <v>79</v>
      </c>
      <c r="D42" s="539" t="s">
        <v>619</v>
      </c>
      <c r="E42" s="540">
        <v>1800</v>
      </c>
      <c r="F42" s="541" t="s">
        <v>620</v>
      </c>
      <c r="G42" s="539" t="s">
        <v>621</v>
      </c>
      <c r="H42" s="542"/>
      <c r="I42" s="542"/>
      <c r="J42" s="543"/>
      <c r="K42" s="544"/>
      <c r="L42" s="539">
        <v>12</v>
      </c>
      <c r="M42" s="540">
        <v>30030</v>
      </c>
      <c r="N42" s="545"/>
      <c r="O42" s="539">
        <v>12</v>
      </c>
      <c r="P42" s="546">
        <v>24144</v>
      </c>
    </row>
    <row r="43" spans="1:16" x14ac:dyDescent="0.2">
      <c r="A43" s="538" t="s">
        <v>481</v>
      </c>
      <c r="B43" s="539" t="s">
        <v>38</v>
      </c>
      <c r="C43" s="539" t="s">
        <v>79</v>
      </c>
      <c r="D43" s="539" t="s">
        <v>622</v>
      </c>
      <c r="E43" s="540">
        <v>1700</v>
      </c>
      <c r="F43" s="541" t="s">
        <v>623</v>
      </c>
      <c r="G43" s="539" t="s">
        <v>624</v>
      </c>
      <c r="H43" s="542"/>
      <c r="I43" s="542"/>
      <c r="J43" s="543"/>
      <c r="K43" s="544"/>
      <c r="L43" s="539">
        <v>12</v>
      </c>
      <c r="M43" s="540">
        <v>30030</v>
      </c>
      <c r="N43" s="545"/>
      <c r="O43" s="539">
        <v>12</v>
      </c>
      <c r="P43" s="546">
        <v>22836</v>
      </c>
    </row>
    <row r="44" spans="1:16" x14ac:dyDescent="0.2">
      <c r="A44" s="538" t="s">
        <v>481</v>
      </c>
      <c r="B44" s="539" t="s">
        <v>38</v>
      </c>
      <c r="C44" s="539" t="s">
        <v>79</v>
      </c>
      <c r="D44" s="539" t="s">
        <v>625</v>
      </c>
      <c r="E44" s="540">
        <v>1800</v>
      </c>
      <c r="F44" s="541" t="s">
        <v>626</v>
      </c>
      <c r="G44" s="539" t="s">
        <v>627</v>
      </c>
      <c r="H44" s="542"/>
      <c r="I44" s="542"/>
      <c r="J44" s="543"/>
      <c r="K44" s="544"/>
      <c r="L44" s="539">
        <v>12</v>
      </c>
      <c r="M44" s="540">
        <v>30030</v>
      </c>
      <c r="N44" s="545"/>
      <c r="O44" s="539">
        <v>12</v>
      </c>
      <c r="P44" s="546">
        <v>24144</v>
      </c>
    </row>
    <row r="45" spans="1:16" x14ac:dyDescent="0.2">
      <c r="A45" s="538" t="s">
        <v>481</v>
      </c>
      <c r="B45" s="539" t="s">
        <v>38</v>
      </c>
      <c r="C45" s="539" t="s">
        <v>79</v>
      </c>
      <c r="D45" s="539" t="s">
        <v>628</v>
      </c>
      <c r="E45" s="540">
        <v>1900</v>
      </c>
      <c r="F45" s="541" t="s">
        <v>629</v>
      </c>
      <c r="G45" s="539" t="s">
        <v>630</v>
      </c>
      <c r="H45" s="542"/>
      <c r="I45" s="542"/>
      <c r="J45" s="543"/>
      <c r="K45" s="544"/>
      <c r="L45" s="539"/>
      <c r="M45" s="539"/>
      <c r="N45" s="545"/>
      <c r="O45" s="539">
        <v>12</v>
      </c>
      <c r="P45" s="546">
        <v>25452</v>
      </c>
    </row>
    <row r="46" spans="1:16" x14ac:dyDescent="0.2">
      <c r="A46" s="538" t="s">
        <v>481</v>
      </c>
      <c r="B46" s="539" t="s">
        <v>38</v>
      </c>
      <c r="C46" s="539" t="s">
        <v>79</v>
      </c>
      <c r="D46" s="539" t="s">
        <v>631</v>
      </c>
      <c r="E46" s="540">
        <v>1900</v>
      </c>
      <c r="F46" s="541" t="s">
        <v>632</v>
      </c>
      <c r="G46" s="539" t="s">
        <v>633</v>
      </c>
      <c r="H46" s="542"/>
      <c r="I46" s="542"/>
      <c r="J46" s="543"/>
      <c r="K46" s="544"/>
      <c r="L46" s="539"/>
      <c r="M46" s="539"/>
      <c r="N46" s="545"/>
      <c r="O46" s="539">
        <v>12</v>
      </c>
      <c r="P46" s="546">
        <v>25452</v>
      </c>
    </row>
    <row r="47" spans="1:16" x14ac:dyDescent="0.2">
      <c r="A47" s="538" t="s">
        <v>481</v>
      </c>
      <c r="B47" s="539" t="s">
        <v>38</v>
      </c>
      <c r="C47" s="539" t="s">
        <v>79</v>
      </c>
      <c r="D47" s="539" t="s">
        <v>634</v>
      </c>
      <c r="E47" s="540">
        <v>1900</v>
      </c>
      <c r="F47" s="541" t="s">
        <v>635</v>
      </c>
      <c r="G47" s="539" t="s">
        <v>636</v>
      </c>
      <c r="H47" s="542"/>
      <c r="I47" s="542"/>
      <c r="J47" s="543"/>
      <c r="K47" s="544"/>
      <c r="L47" s="539"/>
      <c r="M47" s="539"/>
      <c r="N47" s="545"/>
      <c r="O47" s="539">
        <v>12</v>
      </c>
      <c r="P47" s="546">
        <v>25452</v>
      </c>
    </row>
    <row r="48" spans="1:16" x14ac:dyDescent="0.2">
      <c r="A48" s="538" t="s">
        <v>481</v>
      </c>
      <c r="B48" s="539" t="s">
        <v>38</v>
      </c>
      <c r="C48" s="539" t="s">
        <v>79</v>
      </c>
      <c r="D48" s="539" t="s">
        <v>637</v>
      </c>
      <c r="E48" s="540">
        <v>1500</v>
      </c>
      <c r="F48" s="541" t="s">
        <v>638</v>
      </c>
      <c r="G48" s="539" t="s">
        <v>639</v>
      </c>
      <c r="H48" s="542"/>
      <c r="I48" s="542"/>
      <c r="J48" s="543"/>
      <c r="K48" s="544"/>
      <c r="L48" s="539">
        <v>12</v>
      </c>
      <c r="M48" s="540">
        <v>30030</v>
      </c>
      <c r="N48" s="545"/>
      <c r="O48" s="539">
        <v>12</v>
      </c>
      <c r="P48" s="546">
        <v>20220</v>
      </c>
    </row>
    <row r="49" spans="1:16" x14ac:dyDescent="0.2">
      <c r="A49" s="538" t="s">
        <v>481</v>
      </c>
      <c r="B49" s="539" t="s">
        <v>38</v>
      </c>
      <c r="C49" s="539" t="s">
        <v>79</v>
      </c>
      <c r="D49" s="539" t="s">
        <v>640</v>
      </c>
      <c r="E49" s="540">
        <v>2000</v>
      </c>
      <c r="F49" s="541" t="s">
        <v>641</v>
      </c>
      <c r="G49" s="539" t="s">
        <v>642</v>
      </c>
      <c r="H49" s="542"/>
      <c r="I49" s="542"/>
      <c r="J49" s="543"/>
      <c r="K49" s="544"/>
      <c r="L49" s="539">
        <v>12</v>
      </c>
      <c r="M49" s="540">
        <v>30030</v>
      </c>
      <c r="N49" s="545"/>
      <c r="O49" s="539">
        <v>12</v>
      </c>
      <c r="P49" s="546">
        <v>26760</v>
      </c>
    </row>
    <row r="50" spans="1:16" x14ac:dyDescent="0.2">
      <c r="A50" s="538" t="s">
        <v>481</v>
      </c>
      <c r="B50" s="539" t="s">
        <v>38</v>
      </c>
      <c r="C50" s="539" t="s">
        <v>79</v>
      </c>
      <c r="D50" s="539" t="s">
        <v>605</v>
      </c>
      <c r="E50" s="540">
        <v>1200</v>
      </c>
      <c r="F50" s="541" t="s">
        <v>643</v>
      </c>
      <c r="G50" s="539" t="s">
        <v>644</v>
      </c>
      <c r="H50" s="542"/>
      <c r="I50" s="542"/>
      <c r="J50" s="543"/>
      <c r="K50" s="544"/>
      <c r="L50" s="539">
        <v>12</v>
      </c>
      <c r="M50" s="540">
        <v>30030</v>
      </c>
      <c r="N50" s="545"/>
      <c r="O50" s="539">
        <v>12</v>
      </c>
      <c r="P50" s="546">
        <v>16296</v>
      </c>
    </row>
    <row r="51" spans="1:16" x14ac:dyDescent="0.2">
      <c r="A51" s="538" t="s">
        <v>481</v>
      </c>
      <c r="B51" s="539" t="s">
        <v>38</v>
      </c>
      <c r="C51" s="539" t="s">
        <v>79</v>
      </c>
      <c r="D51" s="539" t="s">
        <v>645</v>
      </c>
      <c r="E51" s="540">
        <v>2000</v>
      </c>
      <c r="F51" s="541" t="s">
        <v>646</v>
      </c>
      <c r="G51" s="539" t="s">
        <v>647</v>
      </c>
      <c r="H51" s="542"/>
      <c r="I51" s="542"/>
      <c r="J51" s="543"/>
      <c r="K51" s="544"/>
      <c r="L51" s="539">
        <v>12</v>
      </c>
      <c r="M51" s="540">
        <v>30030</v>
      </c>
      <c r="N51" s="545"/>
      <c r="O51" s="539">
        <v>12</v>
      </c>
      <c r="P51" s="546">
        <v>26760</v>
      </c>
    </row>
    <row r="52" spans="1:16" x14ac:dyDescent="0.2">
      <c r="A52" s="538" t="s">
        <v>481</v>
      </c>
      <c r="B52" s="539" t="s">
        <v>38</v>
      </c>
      <c r="C52" s="539" t="s">
        <v>79</v>
      </c>
      <c r="D52" s="539" t="s">
        <v>605</v>
      </c>
      <c r="E52" s="540">
        <v>1200</v>
      </c>
      <c r="F52" s="541" t="s">
        <v>648</v>
      </c>
      <c r="G52" s="539" t="s">
        <v>649</v>
      </c>
      <c r="H52" s="542"/>
      <c r="I52" s="542"/>
      <c r="J52" s="543"/>
      <c r="K52" s="544"/>
      <c r="L52" s="539">
        <v>12</v>
      </c>
      <c r="M52" s="540">
        <v>30030</v>
      </c>
      <c r="N52" s="545"/>
      <c r="O52" s="539">
        <v>12</v>
      </c>
      <c r="P52" s="546">
        <v>16296</v>
      </c>
    </row>
    <row r="53" spans="1:16" x14ac:dyDescent="0.2">
      <c r="A53" s="538" t="s">
        <v>481</v>
      </c>
      <c r="B53" s="539" t="s">
        <v>38</v>
      </c>
      <c r="C53" s="539" t="s">
        <v>79</v>
      </c>
      <c r="D53" s="539" t="s">
        <v>650</v>
      </c>
      <c r="E53" s="540">
        <v>1200</v>
      </c>
      <c r="F53" s="541" t="s">
        <v>651</v>
      </c>
      <c r="G53" s="539" t="s">
        <v>652</v>
      </c>
      <c r="H53" s="542"/>
      <c r="I53" s="542"/>
      <c r="J53" s="543"/>
      <c r="K53" s="544"/>
      <c r="L53" s="539">
        <v>12</v>
      </c>
      <c r="M53" s="540">
        <v>30030</v>
      </c>
      <c r="N53" s="545"/>
      <c r="O53" s="539">
        <v>12</v>
      </c>
      <c r="P53" s="546">
        <v>16296</v>
      </c>
    </row>
    <row r="54" spans="1:16" x14ac:dyDescent="0.2">
      <c r="A54" s="538" t="s">
        <v>481</v>
      </c>
      <c r="B54" s="539" t="s">
        <v>38</v>
      </c>
      <c r="C54" s="539" t="s">
        <v>79</v>
      </c>
      <c r="D54" s="539" t="s">
        <v>653</v>
      </c>
      <c r="E54" s="540">
        <v>1200</v>
      </c>
      <c r="F54" s="541" t="s">
        <v>654</v>
      </c>
      <c r="G54" s="539" t="s">
        <v>655</v>
      </c>
      <c r="H54" s="542"/>
      <c r="I54" s="542"/>
      <c r="J54" s="543"/>
      <c r="K54" s="544"/>
      <c r="L54" s="539">
        <v>12</v>
      </c>
      <c r="M54" s="540">
        <v>30030</v>
      </c>
      <c r="N54" s="545"/>
      <c r="O54" s="539">
        <v>12</v>
      </c>
      <c r="P54" s="546">
        <v>16296</v>
      </c>
    </row>
    <row r="55" spans="1:16" x14ac:dyDescent="0.2">
      <c r="A55" s="538" t="s">
        <v>481</v>
      </c>
      <c r="B55" s="539" t="s">
        <v>38</v>
      </c>
      <c r="C55" s="539" t="s">
        <v>79</v>
      </c>
      <c r="D55" s="539" t="s">
        <v>656</v>
      </c>
      <c r="E55" s="540">
        <v>2000</v>
      </c>
      <c r="F55" s="541" t="s">
        <v>657</v>
      </c>
      <c r="G55" s="539" t="s">
        <v>658</v>
      </c>
      <c r="H55" s="542"/>
      <c r="I55" s="542"/>
      <c r="J55" s="543"/>
      <c r="K55" s="544"/>
      <c r="L55" s="547"/>
      <c r="M55" s="539"/>
      <c r="N55" s="545"/>
      <c r="O55" s="539">
        <v>12</v>
      </c>
      <c r="P55" s="546">
        <v>26760</v>
      </c>
    </row>
    <row r="56" spans="1:16" x14ac:dyDescent="0.2">
      <c r="A56" s="538" t="s">
        <v>481</v>
      </c>
      <c r="B56" s="539" t="s">
        <v>38</v>
      </c>
      <c r="C56" s="539" t="s">
        <v>79</v>
      </c>
      <c r="D56" s="539" t="s">
        <v>659</v>
      </c>
      <c r="E56" s="540">
        <v>1500</v>
      </c>
      <c r="F56" s="541" t="s">
        <v>660</v>
      </c>
      <c r="G56" s="539" t="s">
        <v>661</v>
      </c>
      <c r="H56" s="542"/>
      <c r="I56" s="542"/>
      <c r="J56" s="543"/>
      <c r="K56" s="544"/>
      <c r="L56" s="539">
        <v>12</v>
      </c>
      <c r="M56" s="540">
        <v>30030</v>
      </c>
      <c r="N56" s="545"/>
      <c r="O56" s="539">
        <v>12</v>
      </c>
      <c r="P56" s="546">
        <v>20220</v>
      </c>
    </row>
    <row r="57" spans="1:16" x14ac:dyDescent="0.2">
      <c r="A57" s="538" t="s">
        <v>481</v>
      </c>
      <c r="B57" s="539" t="s">
        <v>38</v>
      </c>
      <c r="C57" s="539" t="s">
        <v>79</v>
      </c>
      <c r="D57" s="539" t="s">
        <v>662</v>
      </c>
      <c r="E57" s="540">
        <v>1300</v>
      </c>
      <c r="F57" s="541">
        <v>40255382</v>
      </c>
      <c r="G57" s="539" t="s">
        <v>663</v>
      </c>
      <c r="H57" s="542"/>
      <c r="I57" s="542"/>
      <c r="J57" s="543"/>
      <c r="K57" s="544"/>
      <c r="L57" s="539">
        <v>12</v>
      </c>
      <c r="M57" s="540">
        <v>30030</v>
      </c>
      <c r="N57" s="545"/>
      <c r="O57" s="539">
        <v>12</v>
      </c>
      <c r="P57" s="546">
        <v>17604</v>
      </c>
    </row>
    <row r="58" spans="1:16" x14ac:dyDescent="0.2">
      <c r="A58" s="538" t="s">
        <v>481</v>
      </c>
      <c r="B58" s="539" t="s">
        <v>696</v>
      </c>
      <c r="C58" s="539" t="s">
        <v>79</v>
      </c>
      <c r="D58" s="539" t="s">
        <v>664</v>
      </c>
      <c r="E58" s="540">
        <v>7010</v>
      </c>
      <c r="F58" s="541" t="s">
        <v>665</v>
      </c>
      <c r="G58" s="539" t="s">
        <v>666</v>
      </c>
      <c r="H58" s="542"/>
      <c r="I58" s="542"/>
      <c r="J58" s="543"/>
      <c r="K58" s="544"/>
      <c r="L58" s="547"/>
      <c r="M58" s="539"/>
      <c r="N58" s="545"/>
      <c r="O58" s="539">
        <v>6</v>
      </c>
      <c r="P58" s="546">
        <v>43729.2</v>
      </c>
    </row>
    <row r="59" spans="1:16" x14ac:dyDescent="0.2">
      <c r="A59" s="538" t="s">
        <v>481</v>
      </c>
      <c r="B59" s="539" t="s">
        <v>696</v>
      </c>
      <c r="C59" s="539" t="s">
        <v>79</v>
      </c>
      <c r="D59" s="539" t="s">
        <v>567</v>
      </c>
      <c r="E59" s="540">
        <v>1500</v>
      </c>
      <c r="F59" s="541" t="s">
        <v>667</v>
      </c>
      <c r="G59" s="539" t="s">
        <v>668</v>
      </c>
      <c r="H59" s="542" t="s">
        <v>504</v>
      </c>
      <c r="I59" s="542" t="s">
        <v>505</v>
      </c>
      <c r="J59" s="543" t="s">
        <v>505</v>
      </c>
      <c r="K59" s="544"/>
      <c r="L59" s="539">
        <v>12</v>
      </c>
      <c r="M59" s="540">
        <v>30030</v>
      </c>
      <c r="N59" s="545"/>
      <c r="O59" s="539">
        <v>12</v>
      </c>
      <c r="P59" s="546">
        <v>20220</v>
      </c>
    </row>
    <row r="60" spans="1:16" ht="24" x14ac:dyDescent="0.2">
      <c r="A60" s="538" t="s">
        <v>481</v>
      </c>
      <c r="B60" s="539" t="s">
        <v>696</v>
      </c>
      <c r="C60" s="539" t="s">
        <v>79</v>
      </c>
      <c r="D60" s="539" t="s">
        <v>669</v>
      </c>
      <c r="E60" s="540">
        <v>2500</v>
      </c>
      <c r="F60" s="541" t="s">
        <v>670</v>
      </c>
      <c r="G60" s="539" t="s">
        <v>671</v>
      </c>
      <c r="H60" s="542" t="s">
        <v>509</v>
      </c>
      <c r="I60" s="542" t="s">
        <v>672</v>
      </c>
      <c r="J60" s="543" t="s">
        <v>505</v>
      </c>
      <c r="K60" s="544"/>
      <c r="L60" s="547"/>
      <c r="M60" s="539"/>
      <c r="N60" s="545"/>
      <c r="O60" s="539">
        <v>3</v>
      </c>
      <c r="P60" s="546">
        <v>8634.6</v>
      </c>
    </row>
    <row r="61" spans="1:16" ht="24" x14ac:dyDescent="0.2">
      <c r="A61" s="538" t="s">
        <v>481</v>
      </c>
      <c r="B61" s="539" t="s">
        <v>696</v>
      </c>
      <c r="C61" s="539" t="s">
        <v>79</v>
      </c>
      <c r="D61" s="539" t="s">
        <v>673</v>
      </c>
      <c r="E61" s="540">
        <v>2500</v>
      </c>
      <c r="F61" s="541" t="s">
        <v>674</v>
      </c>
      <c r="G61" s="539" t="s">
        <v>675</v>
      </c>
      <c r="H61" s="542" t="s">
        <v>509</v>
      </c>
      <c r="I61" s="542" t="s">
        <v>672</v>
      </c>
      <c r="J61" s="543" t="s">
        <v>676</v>
      </c>
      <c r="K61" s="544"/>
      <c r="L61" s="547"/>
      <c r="M61" s="539"/>
      <c r="N61" s="545"/>
      <c r="O61" s="539">
        <v>3</v>
      </c>
      <c r="P61" s="546">
        <v>8634.6</v>
      </c>
    </row>
    <row r="62" spans="1:16" s="391" customFormat="1" ht="36" x14ac:dyDescent="0.2">
      <c r="A62" s="548" t="s">
        <v>481</v>
      </c>
      <c r="B62" s="549" t="s">
        <v>696</v>
      </c>
      <c r="C62" s="549" t="s">
        <v>79</v>
      </c>
      <c r="D62" s="549" t="s">
        <v>677</v>
      </c>
      <c r="E62" s="550">
        <v>2000</v>
      </c>
      <c r="F62" s="551" t="s">
        <v>678</v>
      </c>
      <c r="G62" s="549" t="s">
        <v>679</v>
      </c>
      <c r="H62" s="543" t="s">
        <v>680</v>
      </c>
      <c r="I62" s="542"/>
      <c r="J62" s="543" t="s">
        <v>681</v>
      </c>
      <c r="K62" s="545"/>
      <c r="L62" s="549">
        <v>12</v>
      </c>
      <c r="M62" s="550">
        <v>30030</v>
      </c>
      <c r="N62" s="545"/>
      <c r="O62" s="549">
        <v>12</v>
      </c>
      <c r="P62" s="552">
        <v>26738.400000000001</v>
      </c>
    </row>
    <row r="63" spans="1:16" x14ac:dyDescent="0.2">
      <c r="A63" s="538" t="s">
        <v>481</v>
      </c>
      <c r="B63" s="539" t="s">
        <v>696</v>
      </c>
      <c r="C63" s="539" t="s">
        <v>79</v>
      </c>
      <c r="D63" s="539" t="s">
        <v>682</v>
      </c>
      <c r="E63" s="540">
        <v>2500</v>
      </c>
      <c r="F63" s="541" t="s">
        <v>683</v>
      </c>
      <c r="G63" s="539" t="s">
        <v>684</v>
      </c>
      <c r="H63" s="542" t="s">
        <v>509</v>
      </c>
      <c r="I63" s="542" t="s">
        <v>685</v>
      </c>
      <c r="J63" s="543" t="s">
        <v>676</v>
      </c>
      <c r="K63" s="544"/>
      <c r="L63" s="547"/>
      <c r="M63" s="539"/>
      <c r="N63" s="545"/>
      <c r="O63" s="539">
        <v>3</v>
      </c>
      <c r="P63" s="546">
        <v>8634.6</v>
      </c>
    </row>
    <row r="64" spans="1:16" ht="24" x14ac:dyDescent="0.2">
      <c r="A64" s="538" t="s">
        <v>481</v>
      </c>
      <c r="B64" s="539" t="s">
        <v>696</v>
      </c>
      <c r="C64" s="539" t="s">
        <v>79</v>
      </c>
      <c r="D64" s="539" t="s">
        <v>682</v>
      </c>
      <c r="E64" s="540">
        <v>2500</v>
      </c>
      <c r="F64" s="541" t="s">
        <v>686</v>
      </c>
      <c r="G64" s="539" t="s">
        <v>687</v>
      </c>
      <c r="H64" s="542" t="s">
        <v>509</v>
      </c>
      <c r="I64" s="542" t="s">
        <v>672</v>
      </c>
      <c r="J64" s="543" t="s">
        <v>676</v>
      </c>
      <c r="K64" s="544"/>
      <c r="L64" s="547"/>
      <c r="M64" s="539"/>
      <c r="N64" s="545"/>
      <c r="O64" s="539">
        <v>3</v>
      </c>
      <c r="P64" s="546">
        <v>8634.6</v>
      </c>
    </row>
    <row r="65" spans="1:16" x14ac:dyDescent="0.2">
      <c r="A65" s="538" t="s">
        <v>481</v>
      </c>
      <c r="B65" s="539" t="s">
        <v>696</v>
      </c>
      <c r="C65" s="539" t="s">
        <v>79</v>
      </c>
      <c r="D65" s="539" t="s">
        <v>682</v>
      </c>
      <c r="E65" s="540">
        <v>2500</v>
      </c>
      <c r="F65" s="541" t="s">
        <v>688</v>
      </c>
      <c r="G65" s="539" t="s">
        <v>689</v>
      </c>
      <c r="H65" s="542"/>
      <c r="I65" s="542"/>
      <c r="J65" s="543"/>
      <c r="K65" s="544"/>
      <c r="L65" s="547"/>
      <c r="M65" s="539"/>
      <c r="N65" s="545"/>
      <c r="O65" s="539">
        <v>3</v>
      </c>
      <c r="P65" s="546">
        <v>8634.6</v>
      </c>
    </row>
    <row r="66" spans="1:16" ht="24" x14ac:dyDescent="0.2">
      <c r="A66" s="538" t="s">
        <v>481</v>
      </c>
      <c r="B66" s="539" t="s">
        <v>696</v>
      </c>
      <c r="C66" s="539" t="s">
        <v>79</v>
      </c>
      <c r="D66" s="539" t="s">
        <v>690</v>
      </c>
      <c r="E66" s="540">
        <v>2500</v>
      </c>
      <c r="F66" s="541" t="s">
        <v>691</v>
      </c>
      <c r="G66" s="539" t="s">
        <v>692</v>
      </c>
      <c r="H66" s="542" t="s">
        <v>518</v>
      </c>
      <c r="I66" s="542" t="s">
        <v>519</v>
      </c>
      <c r="J66" s="543"/>
      <c r="K66" s="544"/>
      <c r="L66" s="547"/>
      <c r="M66" s="539"/>
      <c r="N66" s="545"/>
      <c r="O66" s="539">
        <v>3</v>
      </c>
      <c r="P66" s="546">
        <v>8634.6</v>
      </c>
    </row>
    <row r="67" spans="1:16" s="391" customFormat="1" ht="36.75" thickBot="1" x14ac:dyDescent="0.25">
      <c r="A67" s="553" t="s">
        <v>481</v>
      </c>
      <c r="B67" s="554" t="s">
        <v>696</v>
      </c>
      <c r="C67" s="554" t="s">
        <v>79</v>
      </c>
      <c r="D67" s="554" t="s">
        <v>682</v>
      </c>
      <c r="E67" s="555">
        <v>2500</v>
      </c>
      <c r="F67" s="556" t="s">
        <v>693</v>
      </c>
      <c r="G67" s="554" t="s">
        <v>694</v>
      </c>
      <c r="H67" s="557"/>
      <c r="I67" s="558"/>
      <c r="J67" s="557" t="s">
        <v>695</v>
      </c>
      <c r="K67" s="559"/>
      <c r="L67" s="560"/>
      <c r="M67" s="554"/>
      <c r="N67" s="561"/>
      <c r="O67" s="554">
        <v>3</v>
      </c>
      <c r="P67" s="562">
        <v>8634.6</v>
      </c>
    </row>
    <row r="68" spans="1:16" ht="12.75" thickBot="1" x14ac:dyDescent="0.25">
      <c r="A68" s="56"/>
      <c r="B68" s="58"/>
      <c r="C68" s="58"/>
      <c r="D68" s="48"/>
      <c r="E68" s="16"/>
      <c r="F68" s="58"/>
      <c r="G68" s="48"/>
      <c r="H68" s="392"/>
      <c r="I68" s="393"/>
      <c r="J68" s="394"/>
      <c r="K68" s="395"/>
      <c r="L68" s="76"/>
      <c r="M68" s="16"/>
      <c r="N68" s="75"/>
      <c r="O68" s="76"/>
      <c r="P68" s="73"/>
    </row>
    <row r="69" spans="1:16" x14ac:dyDescent="0.2">
      <c r="A69" s="95" t="s">
        <v>405</v>
      </c>
    </row>
  </sheetData>
  <mergeCells count="4">
    <mergeCell ref="A4:E4"/>
    <mergeCell ref="F4:J4"/>
    <mergeCell ref="K4:M4"/>
    <mergeCell ref="N4:P4"/>
  </mergeCells>
  <printOptions horizontalCentered="1"/>
  <pageMargins left="0.23622047244094491" right="0.19685039370078741" top="0.74803149606299213" bottom="1.1000000000000001" header="0.31496062992125984" footer="0.31496062992125984"/>
  <pageSetup paperSize="9" scale="55" orientation="landscape" r:id="rId1"/>
  <headerFooter alignWithMargins="0">
    <oddHeader>&amp;C&amp;"Arial,Negrita"&amp;18PROYECTO DE PRESUPUESTO 2022</oddHeader>
    <oddFooter>&amp;L&amp;"Arial,Negrita"&amp;8PROYECTO DE PRESUPUESTO PARA EL AÑO FISCAL 2022
INFORMACIÓN PARA LA COMISIÓN DE PRESUPUESTO Y CUENTA GENERAL DE LA REPÚBLICA DEL CONGRESO DE LA REPÚBLICA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213BE-E4BE-462F-BB5D-0C988098D6B2}">
  <sheetPr>
    <tabColor theme="9" tint="-0.249977111117893"/>
    <pageSetUpPr fitToPage="1"/>
  </sheetPr>
  <dimension ref="A1:S19"/>
  <sheetViews>
    <sheetView zoomScaleNormal="100" zoomScaleSheetLayoutView="100" zoomScalePageLayoutView="55" workbookViewId="0">
      <selection activeCell="B5" sqref="B5:E5"/>
    </sheetView>
  </sheetViews>
  <sheetFormatPr baseColWidth="10" defaultRowHeight="12" x14ac:dyDescent="0.2"/>
  <cols>
    <col min="1" max="2" width="18.7109375" style="238" customWidth="1"/>
    <col min="3" max="3" width="41.42578125" style="238" bestFit="1" customWidth="1"/>
    <col min="4" max="4" width="13" style="238" bestFit="1" customWidth="1"/>
    <col min="5" max="5" width="17.7109375" style="238" bestFit="1" customWidth="1"/>
    <col min="6" max="6" width="18.7109375" style="238" customWidth="1"/>
    <col min="7" max="8" width="6.7109375" style="443" customWidth="1"/>
    <col min="9" max="9" width="6.7109375" style="238" customWidth="1"/>
    <col min="10" max="10" width="12.140625" style="238" bestFit="1" customWidth="1"/>
    <col min="11" max="11" width="15.5703125" style="238" bestFit="1" customWidth="1"/>
    <col min="12" max="12" width="18" style="238" bestFit="1" customWidth="1"/>
    <col min="13" max="13" width="14.7109375" style="238" bestFit="1" customWidth="1"/>
    <col min="14" max="14" width="17.140625" style="238" bestFit="1" customWidth="1"/>
    <col min="15" max="256" width="11.42578125" style="238"/>
    <col min="257" max="262" width="18.7109375" style="238" customWidth="1"/>
    <col min="263" max="265" width="6.7109375" style="238" customWidth="1"/>
    <col min="266" max="268" width="18.7109375" style="238" customWidth="1"/>
    <col min="269" max="269" width="18.28515625" style="238" customWidth="1"/>
    <col min="270" max="270" width="20.42578125" style="238" customWidth="1"/>
    <col min="271" max="512" width="11.42578125" style="238"/>
    <col min="513" max="518" width="18.7109375" style="238" customWidth="1"/>
    <col min="519" max="521" width="6.7109375" style="238" customWidth="1"/>
    <col min="522" max="524" width="18.7109375" style="238" customWidth="1"/>
    <col min="525" max="525" width="18.28515625" style="238" customWidth="1"/>
    <col min="526" max="526" width="20.42578125" style="238" customWidth="1"/>
    <col min="527" max="768" width="11.42578125" style="238"/>
    <col min="769" max="774" width="18.7109375" style="238" customWidth="1"/>
    <col min="775" max="777" width="6.7109375" style="238" customWidth="1"/>
    <col min="778" max="780" width="18.7109375" style="238" customWidth="1"/>
    <col min="781" max="781" width="18.28515625" style="238" customWidth="1"/>
    <col min="782" max="782" width="20.42578125" style="238" customWidth="1"/>
    <col min="783" max="1024" width="11.42578125" style="238"/>
    <col min="1025" max="1030" width="18.7109375" style="238" customWidth="1"/>
    <col min="1031" max="1033" width="6.7109375" style="238" customWidth="1"/>
    <col min="1034" max="1036" width="18.7109375" style="238" customWidth="1"/>
    <col min="1037" max="1037" width="18.28515625" style="238" customWidth="1"/>
    <col min="1038" max="1038" width="20.42578125" style="238" customWidth="1"/>
    <col min="1039" max="1280" width="11.42578125" style="238"/>
    <col min="1281" max="1286" width="18.7109375" style="238" customWidth="1"/>
    <col min="1287" max="1289" width="6.7109375" style="238" customWidth="1"/>
    <col min="1290" max="1292" width="18.7109375" style="238" customWidth="1"/>
    <col min="1293" max="1293" width="18.28515625" style="238" customWidth="1"/>
    <col min="1294" max="1294" width="20.42578125" style="238" customWidth="1"/>
    <col min="1295" max="1536" width="11.42578125" style="238"/>
    <col min="1537" max="1542" width="18.7109375" style="238" customWidth="1"/>
    <col min="1543" max="1545" width="6.7109375" style="238" customWidth="1"/>
    <col min="1546" max="1548" width="18.7109375" style="238" customWidth="1"/>
    <col min="1549" max="1549" width="18.28515625" style="238" customWidth="1"/>
    <col min="1550" max="1550" width="20.42578125" style="238" customWidth="1"/>
    <col min="1551" max="1792" width="11.42578125" style="238"/>
    <col min="1793" max="1798" width="18.7109375" style="238" customWidth="1"/>
    <col min="1799" max="1801" width="6.7109375" style="238" customWidth="1"/>
    <col min="1802" max="1804" width="18.7109375" style="238" customWidth="1"/>
    <col min="1805" max="1805" width="18.28515625" style="238" customWidth="1"/>
    <col min="1806" max="1806" width="20.42578125" style="238" customWidth="1"/>
    <col min="1807" max="2048" width="11.42578125" style="238"/>
    <col min="2049" max="2054" width="18.7109375" style="238" customWidth="1"/>
    <col min="2055" max="2057" width="6.7109375" style="238" customWidth="1"/>
    <col min="2058" max="2060" width="18.7109375" style="238" customWidth="1"/>
    <col min="2061" max="2061" width="18.28515625" style="238" customWidth="1"/>
    <col min="2062" max="2062" width="20.42578125" style="238" customWidth="1"/>
    <col min="2063" max="2304" width="11.42578125" style="238"/>
    <col min="2305" max="2310" width="18.7109375" style="238" customWidth="1"/>
    <col min="2311" max="2313" width="6.7109375" style="238" customWidth="1"/>
    <col min="2314" max="2316" width="18.7109375" style="238" customWidth="1"/>
    <col min="2317" max="2317" width="18.28515625" style="238" customWidth="1"/>
    <col min="2318" max="2318" width="20.42578125" style="238" customWidth="1"/>
    <col min="2319" max="2560" width="11.42578125" style="238"/>
    <col min="2561" max="2566" width="18.7109375" style="238" customWidth="1"/>
    <col min="2567" max="2569" width="6.7109375" style="238" customWidth="1"/>
    <col min="2570" max="2572" width="18.7109375" style="238" customWidth="1"/>
    <col min="2573" max="2573" width="18.28515625" style="238" customWidth="1"/>
    <col min="2574" max="2574" width="20.42578125" style="238" customWidth="1"/>
    <col min="2575" max="2816" width="11.42578125" style="238"/>
    <col min="2817" max="2822" width="18.7109375" style="238" customWidth="1"/>
    <col min="2823" max="2825" width="6.7109375" style="238" customWidth="1"/>
    <col min="2826" max="2828" width="18.7109375" style="238" customWidth="1"/>
    <col min="2829" max="2829" width="18.28515625" style="238" customWidth="1"/>
    <col min="2830" max="2830" width="20.42578125" style="238" customWidth="1"/>
    <col min="2831" max="3072" width="11.42578125" style="238"/>
    <col min="3073" max="3078" width="18.7109375" style="238" customWidth="1"/>
    <col min="3079" max="3081" width="6.7109375" style="238" customWidth="1"/>
    <col min="3082" max="3084" width="18.7109375" style="238" customWidth="1"/>
    <col min="3085" max="3085" width="18.28515625" style="238" customWidth="1"/>
    <col min="3086" max="3086" width="20.42578125" style="238" customWidth="1"/>
    <col min="3087" max="3328" width="11.42578125" style="238"/>
    <col min="3329" max="3334" width="18.7109375" style="238" customWidth="1"/>
    <col min="3335" max="3337" width="6.7109375" style="238" customWidth="1"/>
    <col min="3338" max="3340" width="18.7109375" style="238" customWidth="1"/>
    <col min="3341" max="3341" width="18.28515625" style="238" customWidth="1"/>
    <col min="3342" max="3342" width="20.42578125" style="238" customWidth="1"/>
    <col min="3343" max="3584" width="11.42578125" style="238"/>
    <col min="3585" max="3590" width="18.7109375" style="238" customWidth="1"/>
    <col min="3591" max="3593" width="6.7109375" style="238" customWidth="1"/>
    <col min="3594" max="3596" width="18.7109375" style="238" customWidth="1"/>
    <col min="3597" max="3597" width="18.28515625" style="238" customWidth="1"/>
    <col min="3598" max="3598" width="20.42578125" style="238" customWidth="1"/>
    <col min="3599" max="3840" width="11.42578125" style="238"/>
    <col min="3841" max="3846" width="18.7109375" style="238" customWidth="1"/>
    <col min="3847" max="3849" width="6.7109375" style="238" customWidth="1"/>
    <col min="3850" max="3852" width="18.7109375" style="238" customWidth="1"/>
    <col min="3853" max="3853" width="18.28515625" style="238" customWidth="1"/>
    <col min="3854" max="3854" width="20.42578125" style="238" customWidth="1"/>
    <col min="3855" max="4096" width="11.42578125" style="238"/>
    <col min="4097" max="4102" width="18.7109375" style="238" customWidth="1"/>
    <col min="4103" max="4105" width="6.7109375" style="238" customWidth="1"/>
    <col min="4106" max="4108" width="18.7109375" style="238" customWidth="1"/>
    <col min="4109" max="4109" width="18.28515625" style="238" customWidth="1"/>
    <col min="4110" max="4110" width="20.42578125" style="238" customWidth="1"/>
    <col min="4111" max="4352" width="11.42578125" style="238"/>
    <col min="4353" max="4358" width="18.7109375" style="238" customWidth="1"/>
    <col min="4359" max="4361" width="6.7109375" style="238" customWidth="1"/>
    <col min="4362" max="4364" width="18.7109375" style="238" customWidth="1"/>
    <col min="4365" max="4365" width="18.28515625" style="238" customWidth="1"/>
    <col min="4366" max="4366" width="20.42578125" style="238" customWidth="1"/>
    <col min="4367" max="4608" width="11.42578125" style="238"/>
    <col min="4609" max="4614" width="18.7109375" style="238" customWidth="1"/>
    <col min="4615" max="4617" width="6.7109375" style="238" customWidth="1"/>
    <col min="4618" max="4620" width="18.7109375" style="238" customWidth="1"/>
    <col min="4621" max="4621" width="18.28515625" style="238" customWidth="1"/>
    <col min="4622" max="4622" width="20.42578125" style="238" customWidth="1"/>
    <col min="4623" max="4864" width="11.42578125" style="238"/>
    <col min="4865" max="4870" width="18.7109375" style="238" customWidth="1"/>
    <col min="4871" max="4873" width="6.7109375" style="238" customWidth="1"/>
    <col min="4874" max="4876" width="18.7109375" style="238" customWidth="1"/>
    <col min="4877" max="4877" width="18.28515625" style="238" customWidth="1"/>
    <col min="4878" max="4878" width="20.42578125" style="238" customWidth="1"/>
    <col min="4879" max="5120" width="11.42578125" style="238"/>
    <col min="5121" max="5126" width="18.7109375" style="238" customWidth="1"/>
    <col min="5127" max="5129" width="6.7109375" style="238" customWidth="1"/>
    <col min="5130" max="5132" width="18.7109375" style="238" customWidth="1"/>
    <col min="5133" max="5133" width="18.28515625" style="238" customWidth="1"/>
    <col min="5134" max="5134" width="20.42578125" style="238" customWidth="1"/>
    <col min="5135" max="5376" width="11.42578125" style="238"/>
    <col min="5377" max="5382" width="18.7109375" style="238" customWidth="1"/>
    <col min="5383" max="5385" width="6.7109375" style="238" customWidth="1"/>
    <col min="5386" max="5388" width="18.7109375" style="238" customWidth="1"/>
    <col min="5389" max="5389" width="18.28515625" style="238" customWidth="1"/>
    <col min="5390" max="5390" width="20.42578125" style="238" customWidth="1"/>
    <col min="5391" max="5632" width="11.42578125" style="238"/>
    <col min="5633" max="5638" width="18.7109375" style="238" customWidth="1"/>
    <col min="5639" max="5641" width="6.7109375" style="238" customWidth="1"/>
    <col min="5642" max="5644" width="18.7109375" style="238" customWidth="1"/>
    <col min="5645" max="5645" width="18.28515625" style="238" customWidth="1"/>
    <col min="5646" max="5646" width="20.42578125" style="238" customWidth="1"/>
    <col min="5647" max="5888" width="11.42578125" style="238"/>
    <col min="5889" max="5894" width="18.7109375" style="238" customWidth="1"/>
    <col min="5895" max="5897" width="6.7109375" style="238" customWidth="1"/>
    <col min="5898" max="5900" width="18.7109375" style="238" customWidth="1"/>
    <col min="5901" max="5901" width="18.28515625" style="238" customWidth="1"/>
    <col min="5902" max="5902" width="20.42578125" style="238" customWidth="1"/>
    <col min="5903" max="6144" width="11.42578125" style="238"/>
    <col min="6145" max="6150" width="18.7109375" style="238" customWidth="1"/>
    <col min="6151" max="6153" width="6.7109375" style="238" customWidth="1"/>
    <col min="6154" max="6156" width="18.7109375" style="238" customWidth="1"/>
    <col min="6157" max="6157" width="18.28515625" style="238" customWidth="1"/>
    <col min="6158" max="6158" width="20.42578125" style="238" customWidth="1"/>
    <col min="6159" max="6400" width="11.42578125" style="238"/>
    <col min="6401" max="6406" width="18.7109375" style="238" customWidth="1"/>
    <col min="6407" max="6409" width="6.7109375" style="238" customWidth="1"/>
    <col min="6410" max="6412" width="18.7109375" style="238" customWidth="1"/>
    <col min="6413" max="6413" width="18.28515625" style="238" customWidth="1"/>
    <col min="6414" max="6414" width="20.42578125" style="238" customWidth="1"/>
    <col min="6415" max="6656" width="11.42578125" style="238"/>
    <col min="6657" max="6662" width="18.7109375" style="238" customWidth="1"/>
    <col min="6663" max="6665" width="6.7109375" style="238" customWidth="1"/>
    <col min="6666" max="6668" width="18.7109375" style="238" customWidth="1"/>
    <col min="6669" max="6669" width="18.28515625" style="238" customWidth="1"/>
    <col min="6670" max="6670" width="20.42578125" style="238" customWidth="1"/>
    <col min="6671" max="6912" width="11.42578125" style="238"/>
    <col min="6913" max="6918" width="18.7109375" style="238" customWidth="1"/>
    <col min="6919" max="6921" width="6.7109375" style="238" customWidth="1"/>
    <col min="6922" max="6924" width="18.7109375" style="238" customWidth="1"/>
    <col min="6925" max="6925" width="18.28515625" style="238" customWidth="1"/>
    <col min="6926" max="6926" width="20.42578125" style="238" customWidth="1"/>
    <col min="6927" max="7168" width="11.42578125" style="238"/>
    <col min="7169" max="7174" width="18.7109375" style="238" customWidth="1"/>
    <col min="7175" max="7177" width="6.7109375" style="238" customWidth="1"/>
    <col min="7178" max="7180" width="18.7109375" style="238" customWidth="1"/>
    <col min="7181" max="7181" width="18.28515625" style="238" customWidth="1"/>
    <col min="7182" max="7182" width="20.42578125" style="238" customWidth="1"/>
    <col min="7183" max="7424" width="11.42578125" style="238"/>
    <col min="7425" max="7430" width="18.7109375" style="238" customWidth="1"/>
    <col min="7431" max="7433" width="6.7109375" style="238" customWidth="1"/>
    <col min="7434" max="7436" width="18.7109375" style="238" customWidth="1"/>
    <col min="7437" max="7437" width="18.28515625" style="238" customWidth="1"/>
    <col min="7438" max="7438" width="20.42578125" style="238" customWidth="1"/>
    <col min="7439" max="7680" width="11.42578125" style="238"/>
    <col min="7681" max="7686" width="18.7109375" style="238" customWidth="1"/>
    <col min="7687" max="7689" width="6.7109375" style="238" customWidth="1"/>
    <col min="7690" max="7692" width="18.7109375" style="238" customWidth="1"/>
    <col min="7693" max="7693" width="18.28515625" style="238" customWidth="1"/>
    <col min="7694" max="7694" width="20.42578125" style="238" customWidth="1"/>
    <col min="7695" max="7936" width="11.42578125" style="238"/>
    <col min="7937" max="7942" width="18.7109375" style="238" customWidth="1"/>
    <col min="7943" max="7945" width="6.7109375" style="238" customWidth="1"/>
    <col min="7946" max="7948" width="18.7109375" style="238" customWidth="1"/>
    <col min="7949" max="7949" width="18.28515625" style="238" customWidth="1"/>
    <col min="7950" max="7950" width="20.42578125" style="238" customWidth="1"/>
    <col min="7951" max="8192" width="11.42578125" style="238"/>
    <col min="8193" max="8198" width="18.7109375" style="238" customWidth="1"/>
    <col min="8199" max="8201" width="6.7109375" style="238" customWidth="1"/>
    <col min="8202" max="8204" width="18.7109375" style="238" customWidth="1"/>
    <col min="8205" max="8205" width="18.28515625" style="238" customWidth="1"/>
    <col min="8206" max="8206" width="20.42578125" style="238" customWidth="1"/>
    <col min="8207" max="8448" width="11.42578125" style="238"/>
    <col min="8449" max="8454" width="18.7109375" style="238" customWidth="1"/>
    <col min="8455" max="8457" width="6.7109375" style="238" customWidth="1"/>
    <col min="8458" max="8460" width="18.7109375" style="238" customWidth="1"/>
    <col min="8461" max="8461" width="18.28515625" style="238" customWidth="1"/>
    <col min="8462" max="8462" width="20.42578125" style="238" customWidth="1"/>
    <col min="8463" max="8704" width="11.42578125" style="238"/>
    <col min="8705" max="8710" width="18.7109375" style="238" customWidth="1"/>
    <col min="8711" max="8713" width="6.7109375" style="238" customWidth="1"/>
    <col min="8714" max="8716" width="18.7109375" style="238" customWidth="1"/>
    <col min="8717" max="8717" width="18.28515625" style="238" customWidth="1"/>
    <col min="8718" max="8718" width="20.42578125" style="238" customWidth="1"/>
    <col min="8719" max="8960" width="11.42578125" style="238"/>
    <col min="8961" max="8966" width="18.7109375" style="238" customWidth="1"/>
    <col min="8967" max="8969" width="6.7109375" style="238" customWidth="1"/>
    <col min="8970" max="8972" width="18.7109375" style="238" customWidth="1"/>
    <col min="8973" max="8973" width="18.28515625" style="238" customWidth="1"/>
    <col min="8974" max="8974" width="20.42578125" style="238" customWidth="1"/>
    <col min="8975" max="9216" width="11.42578125" style="238"/>
    <col min="9217" max="9222" width="18.7109375" style="238" customWidth="1"/>
    <col min="9223" max="9225" width="6.7109375" style="238" customWidth="1"/>
    <col min="9226" max="9228" width="18.7109375" style="238" customWidth="1"/>
    <col min="9229" max="9229" width="18.28515625" style="238" customWidth="1"/>
    <col min="9230" max="9230" width="20.42578125" style="238" customWidth="1"/>
    <col min="9231" max="9472" width="11.42578125" style="238"/>
    <col min="9473" max="9478" width="18.7109375" style="238" customWidth="1"/>
    <col min="9479" max="9481" width="6.7109375" style="238" customWidth="1"/>
    <col min="9482" max="9484" width="18.7109375" style="238" customWidth="1"/>
    <col min="9485" max="9485" width="18.28515625" style="238" customWidth="1"/>
    <col min="9486" max="9486" width="20.42578125" style="238" customWidth="1"/>
    <col min="9487" max="9728" width="11.42578125" style="238"/>
    <col min="9729" max="9734" width="18.7109375" style="238" customWidth="1"/>
    <col min="9735" max="9737" width="6.7109375" style="238" customWidth="1"/>
    <col min="9738" max="9740" width="18.7109375" style="238" customWidth="1"/>
    <col min="9741" max="9741" width="18.28515625" style="238" customWidth="1"/>
    <col min="9742" max="9742" width="20.42578125" style="238" customWidth="1"/>
    <col min="9743" max="9984" width="11.42578125" style="238"/>
    <col min="9985" max="9990" width="18.7109375" style="238" customWidth="1"/>
    <col min="9991" max="9993" width="6.7109375" style="238" customWidth="1"/>
    <col min="9994" max="9996" width="18.7109375" style="238" customWidth="1"/>
    <col min="9997" max="9997" width="18.28515625" style="238" customWidth="1"/>
    <col min="9998" max="9998" width="20.42578125" style="238" customWidth="1"/>
    <col min="9999" max="10240" width="11.42578125" style="238"/>
    <col min="10241" max="10246" width="18.7109375" style="238" customWidth="1"/>
    <col min="10247" max="10249" width="6.7109375" style="238" customWidth="1"/>
    <col min="10250" max="10252" width="18.7109375" style="238" customWidth="1"/>
    <col min="10253" max="10253" width="18.28515625" style="238" customWidth="1"/>
    <col min="10254" max="10254" width="20.42578125" style="238" customWidth="1"/>
    <col min="10255" max="10496" width="11.42578125" style="238"/>
    <col min="10497" max="10502" width="18.7109375" style="238" customWidth="1"/>
    <col min="10503" max="10505" width="6.7109375" style="238" customWidth="1"/>
    <col min="10506" max="10508" width="18.7109375" style="238" customWidth="1"/>
    <col min="10509" max="10509" width="18.28515625" style="238" customWidth="1"/>
    <col min="10510" max="10510" width="20.42578125" style="238" customWidth="1"/>
    <col min="10511" max="10752" width="11.42578125" style="238"/>
    <col min="10753" max="10758" width="18.7109375" style="238" customWidth="1"/>
    <col min="10759" max="10761" width="6.7109375" style="238" customWidth="1"/>
    <col min="10762" max="10764" width="18.7109375" style="238" customWidth="1"/>
    <col min="10765" max="10765" width="18.28515625" style="238" customWidth="1"/>
    <col min="10766" max="10766" width="20.42578125" style="238" customWidth="1"/>
    <col min="10767" max="11008" width="11.42578125" style="238"/>
    <col min="11009" max="11014" width="18.7109375" style="238" customWidth="1"/>
    <col min="11015" max="11017" width="6.7109375" style="238" customWidth="1"/>
    <col min="11018" max="11020" width="18.7109375" style="238" customWidth="1"/>
    <col min="11021" max="11021" width="18.28515625" style="238" customWidth="1"/>
    <col min="11022" max="11022" width="20.42578125" style="238" customWidth="1"/>
    <col min="11023" max="11264" width="11.42578125" style="238"/>
    <col min="11265" max="11270" width="18.7109375" style="238" customWidth="1"/>
    <col min="11271" max="11273" width="6.7109375" style="238" customWidth="1"/>
    <col min="11274" max="11276" width="18.7109375" style="238" customWidth="1"/>
    <col min="11277" max="11277" width="18.28515625" style="238" customWidth="1"/>
    <col min="11278" max="11278" width="20.42578125" style="238" customWidth="1"/>
    <col min="11279" max="11520" width="11.42578125" style="238"/>
    <col min="11521" max="11526" width="18.7109375" style="238" customWidth="1"/>
    <col min="11527" max="11529" width="6.7109375" style="238" customWidth="1"/>
    <col min="11530" max="11532" width="18.7109375" style="238" customWidth="1"/>
    <col min="11533" max="11533" width="18.28515625" style="238" customWidth="1"/>
    <col min="11534" max="11534" width="20.42578125" style="238" customWidth="1"/>
    <col min="11535" max="11776" width="11.42578125" style="238"/>
    <col min="11777" max="11782" width="18.7109375" style="238" customWidth="1"/>
    <col min="11783" max="11785" width="6.7109375" style="238" customWidth="1"/>
    <col min="11786" max="11788" width="18.7109375" style="238" customWidth="1"/>
    <col min="11789" max="11789" width="18.28515625" style="238" customWidth="1"/>
    <col min="11790" max="11790" width="20.42578125" style="238" customWidth="1"/>
    <col min="11791" max="12032" width="11.42578125" style="238"/>
    <col min="12033" max="12038" width="18.7109375" style="238" customWidth="1"/>
    <col min="12039" max="12041" width="6.7109375" style="238" customWidth="1"/>
    <col min="12042" max="12044" width="18.7109375" style="238" customWidth="1"/>
    <col min="12045" max="12045" width="18.28515625" style="238" customWidth="1"/>
    <col min="12046" max="12046" width="20.42578125" style="238" customWidth="1"/>
    <col min="12047" max="12288" width="11.42578125" style="238"/>
    <col min="12289" max="12294" width="18.7109375" style="238" customWidth="1"/>
    <col min="12295" max="12297" width="6.7109375" style="238" customWidth="1"/>
    <col min="12298" max="12300" width="18.7109375" style="238" customWidth="1"/>
    <col min="12301" max="12301" width="18.28515625" style="238" customWidth="1"/>
    <col min="12302" max="12302" width="20.42578125" style="238" customWidth="1"/>
    <col min="12303" max="12544" width="11.42578125" style="238"/>
    <col min="12545" max="12550" width="18.7109375" style="238" customWidth="1"/>
    <col min="12551" max="12553" width="6.7109375" style="238" customWidth="1"/>
    <col min="12554" max="12556" width="18.7109375" style="238" customWidth="1"/>
    <col min="12557" max="12557" width="18.28515625" style="238" customWidth="1"/>
    <col min="12558" max="12558" width="20.42578125" style="238" customWidth="1"/>
    <col min="12559" max="12800" width="11.42578125" style="238"/>
    <col min="12801" max="12806" width="18.7109375" style="238" customWidth="1"/>
    <col min="12807" max="12809" width="6.7109375" style="238" customWidth="1"/>
    <col min="12810" max="12812" width="18.7109375" style="238" customWidth="1"/>
    <col min="12813" max="12813" width="18.28515625" style="238" customWidth="1"/>
    <col min="12814" max="12814" width="20.42578125" style="238" customWidth="1"/>
    <col min="12815" max="13056" width="11.42578125" style="238"/>
    <col min="13057" max="13062" width="18.7109375" style="238" customWidth="1"/>
    <col min="13063" max="13065" width="6.7109375" style="238" customWidth="1"/>
    <col min="13066" max="13068" width="18.7109375" style="238" customWidth="1"/>
    <col min="13069" max="13069" width="18.28515625" style="238" customWidth="1"/>
    <col min="13070" max="13070" width="20.42578125" style="238" customWidth="1"/>
    <col min="13071" max="13312" width="11.42578125" style="238"/>
    <col min="13313" max="13318" width="18.7109375" style="238" customWidth="1"/>
    <col min="13319" max="13321" width="6.7109375" style="238" customWidth="1"/>
    <col min="13322" max="13324" width="18.7109375" style="238" customWidth="1"/>
    <col min="13325" max="13325" width="18.28515625" style="238" customWidth="1"/>
    <col min="13326" max="13326" width="20.42578125" style="238" customWidth="1"/>
    <col min="13327" max="13568" width="11.42578125" style="238"/>
    <col min="13569" max="13574" width="18.7109375" style="238" customWidth="1"/>
    <col min="13575" max="13577" width="6.7109375" style="238" customWidth="1"/>
    <col min="13578" max="13580" width="18.7109375" style="238" customWidth="1"/>
    <col min="13581" max="13581" width="18.28515625" style="238" customWidth="1"/>
    <col min="13582" max="13582" width="20.42578125" style="238" customWidth="1"/>
    <col min="13583" max="13824" width="11.42578125" style="238"/>
    <col min="13825" max="13830" width="18.7109375" style="238" customWidth="1"/>
    <col min="13831" max="13833" width="6.7109375" style="238" customWidth="1"/>
    <col min="13834" max="13836" width="18.7109375" style="238" customWidth="1"/>
    <col min="13837" max="13837" width="18.28515625" style="238" customWidth="1"/>
    <col min="13838" max="13838" width="20.42578125" style="238" customWidth="1"/>
    <col min="13839" max="14080" width="11.42578125" style="238"/>
    <col min="14081" max="14086" width="18.7109375" style="238" customWidth="1"/>
    <col min="14087" max="14089" width="6.7109375" style="238" customWidth="1"/>
    <col min="14090" max="14092" width="18.7109375" style="238" customWidth="1"/>
    <col min="14093" max="14093" width="18.28515625" style="238" customWidth="1"/>
    <col min="14094" max="14094" width="20.42578125" style="238" customWidth="1"/>
    <col min="14095" max="14336" width="11.42578125" style="238"/>
    <col min="14337" max="14342" width="18.7109375" style="238" customWidth="1"/>
    <col min="14343" max="14345" width="6.7109375" style="238" customWidth="1"/>
    <col min="14346" max="14348" width="18.7109375" style="238" customWidth="1"/>
    <col min="14349" max="14349" width="18.28515625" style="238" customWidth="1"/>
    <col min="14350" max="14350" width="20.42578125" style="238" customWidth="1"/>
    <col min="14351" max="14592" width="11.42578125" style="238"/>
    <col min="14593" max="14598" width="18.7109375" style="238" customWidth="1"/>
    <col min="14599" max="14601" width="6.7109375" style="238" customWidth="1"/>
    <col min="14602" max="14604" width="18.7109375" style="238" customWidth="1"/>
    <col min="14605" max="14605" width="18.28515625" style="238" customWidth="1"/>
    <col min="14606" max="14606" width="20.42578125" style="238" customWidth="1"/>
    <col min="14607" max="14848" width="11.42578125" style="238"/>
    <col min="14849" max="14854" width="18.7109375" style="238" customWidth="1"/>
    <col min="14855" max="14857" width="6.7109375" style="238" customWidth="1"/>
    <col min="14858" max="14860" width="18.7109375" style="238" customWidth="1"/>
    <col min="14861" max="14861" width="18.28515625" style="238" customWidth="1"/>
    <col min="14862" max="14862" width="20.42578125" style="238" customWidth="1"/>
    <col min="14863" max="15104" width="11.42578125" style="238"/>
    <col min="15105" max="15110" width="18.7109375" style="238" customWidth="1"/>
    <col min="15111" max="15113" width="6.7109375" style="238" customWidth="1"/>
    <col min="15114" max="15116" width="18.7109375" style="238" customWidth="1"/>
    <col min="15117" max="15117" width="18.28515625" style="238" customWidth="1"/>
    <col min="15118" max="15118" width="20.42578125" style="238" customWidth="1"/>
    <col min="15119" max="15360" width="11.42578125" style="238"/>
    <col min="15361" max="15366" width="18.7109375" style="238" customWidth="1"/>
    <col min="15367" max="15369" width="6.7109375" style="238" customWidth="1"/>
    <col min="15370" max="15372" width="18.7109375" style="238" customWidth="1"/>
    <col min="15373" max="15373" width="18.28515625" style="238" customWidth="1"/>
    <col min="15374" max="15374" width="20.42578125" style="238" customWidth="1"/>
    <col min="15375" max="15616" width="11.42578125" style="238"/>
    <col min="15617" max="15622" width="18.7109375" style="238" customWidth="1"/>
    <col min="15623" max="15625" width="6.7109375" style="238" customWidth="1"/>
    <col min="15626" max="15628" width="18.7109375" style="238" customWidth="1"/>
    <col min="15629" max="15629" width="18.28515625" style="238" customWidth="1"/>
    <col min="15630" max="15630" width="20.42578125" style="238" customWidth="1"/>
    <col min="15631" max="15872" width="11.42578125" style="238"/>
    <col min="15873" max="15878" width="18.7109375" style="238" customWidth="1"/>
    <col min="15879" max="15881" width="6.7109375" style="238" customWidth="1"/>
    <col min="15882" max="15884" width="18.7109375" style="238" customWidth="1"/>
    <col min="15885" max="15885" width="18.28515625" style="238" customWidth="1"/>
    <col min="15886" max="15886" width="20.42578125" style="238" customWidth="1"/>
    <col min="15887" max="16128" width="11.42578125" style="238"/>
    <col min="16129" max="16134" width="18.7109375" style="238" customWidth="1"/>
    <col min="16135" max="16137" width="6.7109375" style="238" customWidth="1"/>
    <col min="16138" max="16140" width="18.7109375" style="238" customWidth="1"/>
    <col min="16141" max="16141" width="18.28515625" style="238" customWidth="1"/>
    <col min="16142" max="16142" width="20.42578125" style="238" customWidth="1"/>
    <col min="16143" max="16384" width="11.42578125" style="238"/>
  </cols>
  <sheetData>
    <row r="1" spans="1:19" s="396" customFormat="1" x14ac:dyDescent="0.2">
      <c r="A1" s="396" t="s">
        <v>406</v>
      </c>
    </row>
    <row r="2" spans="1:19" x14ac:dyDescent="0.2">
      <c r="A2" s="383" t="s">
        <v>473</v>
      </c>
      <c r="B2" s="383"/>
      <c r="C2" s="383"/>
      <c r="D2" s="383"/>
      <c r="E2" s="383"/>
      <c r="F2" s="383"/>
      <c r="G2" s="383"/>
      <c r="H2" s="383"/>
      <c r="I2" s="383"/>
      <c r="J2" s="383"/>
      <c r="K2" s="383"/>
      <c r="L2" s="383"/>
      <c r="M2" s="383"/>
      <c r="N2" s="383"/>
      <c r="O2" s="383"/>
      <c r="P2" s="383"/>
      <c r="Q2" s="383"/>
      <c r="R2" s="383"/>
      <c r="S2" s="383"/>
    </row>
    <row r="3" spans="1:19" ht="12.75" thickBot="1" x14ac:dyDescent="0.25"/>
    <row r="4" spans="1:19" s="413" customFormat="1" ht="12.75" customHeight="1" thickBot="1" x14ac:dyDescent="0.25">
      <c r="A4" s="658" t="s">
        <v>296</v>
      </c>
      <c r="B4" s="659"/>
      <c r="C4" s="660" t="s">
        <v>297</v>
      </c>
      <c r="D4" s="660"/>
      <c r="E4" s="661" t="s">
        <v>300</v>
      </c>
      <c r="F4" s="662"/>
      <c r="G4" s="662"/>
      <c r="H4" s="662"/>
      <c r="I4" s="663"/>
      <c r="J4" s="660" t="s">
        <v>301</v>
      </c>
      <c r="K4" s="660"/>
      <c r="L4" s="659"/>
      <c r="M4" s="664" t="s">
        <v>440</v>
      </c>
      <c r="N4" s="656" t="s">
        <v>433</v>
      </c>
    </row>
    <row r="5" spans="1:19" s="452" customFormat="1" ht="86.25" customHeight="1" thickBot="1" x14ac:dyDescent="0.25">
      <c r="A5" s="444" t="s">
        <v>81</v>
      </c>
      <c r="B5" s="445" t="s">
        <v>82</v>
      </c>
      <c r="C5" s="446" t="s">
        <v>299</v>
      </c>
      <c r="D5" s="447" t="s">
        <v>298</v>
      </c>
      <c r="E5" s="444" t="s">
        <v>304</v>
      </c>
      <c r="F5" s="448" t="s">
        <v>305</v>
      </c>
      <c r="G5" s="449" t="s">
        <v>306</v>
      </c>
      <c r="H5" s="449" t="s">
        <v>307</v>
      </c>
      <c r="I5" s="450" t="s">
        <v>24</v>
      </c>
      <c r="J5" s="444" t="s">
        <v>302</v>
      </c>
      <c r="K5" s="446" t="s">
        <v>303</v>
      </c>
      <c r="L5" s="451" t="s">
        <v>308</v>
      </c>
      <c r="M5" s="665"/>
      <c r="N5" s="657"/>
    </row>
    <row r="6" spans="1:19" ht="12.75" x14ac:dyDescent="0.2">
      <c r="A6" s="564" t="s">
        <v>479</v>
      </c>
      <c r="B6" s="248" t="s">
        <v>481</v>
      </c>
      <c r="C6" s="74" t="s">
        <v>826</v>
      </c>
      <c r="D6" s="565">
        <v>20148011207</v>
      </c>
      <c r="E6" s="563" t="s">
        <v>827</v>
      </c>
      <c r="F6" s="454"/>
      <c r="G6" s="454"/>
      <c r="H6" s="454"/>
      <c r="I6" s="455"/>
      <c r="J6" s="563" t="s">
        <v>828</v>
      </c>
      <c r="K6" s="456">
        <v>24000</v>
      </c>
      <c r="L6" s="402" t="s">
        <v>829</v>
      </c>
      <c r="M6" s="406">
        <v>280000</v>
      </c>
      <c r="N6" s="406">
        <v>144000</v>
      </c>
    </row>
    <row r="7" spans="1:19" x14ac:dyDescent="0.2">
      <c r="A7" s="453"/>
      <c r="B7" s="243"/>
      <c r="C7" s="457"/>
      <c r="D7" s="458"/>
      <c r="E7" s="453"/>
      <c r="F7" s="454"/>
      <c r="G7" s="454"/>
      <c r="H7" s="454"/>
      <c r="I7" s="455"/>
      <c r="J7" s="453"/>
      <c r="K7" s="457"/>
      <c r="L7" s="243"/>
      <c r="M7" s="243"/>
      <c r="N7" s="243"/>
    </row>
    <row r="8" spans="1:19" x14ac:dyDescent="0.2">
      <c r="A8" s="453"/>
      <c r="B8" s="243"/>
      <c r="C8" s="457"/>
      <c r="D8" s="458"/>
      <c r="E8" s="453"/>
      <c r="F8" s="454"/>
      <c r="G8" s="454"/>
      <c r="H8" s="454"/>
      <c r="I8" s="455"/>
      <c r="J8" s="453"/>
      <c r="K8" s="457"/>
      <c r="L8" s="243"/>
      <c r="M8" s="243"/>
      <c r="N8" s="243"/>
    </row>
    <row r="9" spans="1:19" x14ac:dyDescent="0.2">
      <c r="A9" s="453"/>
      <c r="B9" s="243"/>
      <c r="C9" s="457"/>
      <c r="D9" s="458"/>
      <c r="E9" s="453"/>
      <c r="F9" s="454"/>
      <c r="G9" s="454"/>
      <c r="H9" s="454"/>
      <c r="I9" s="455"/>
      <c r="J9" s="453"/>
      <c r="K9" s="457"/>
      <c r="L9" s="243"/>
      <c r="M9" s="243"/>
      <c r="N9" s="243"/>
    </row>
    <row r="10" spans="1:19" x14ac:dyDescent="0.2">
      <c r="A10" s="453"/>
      <c r="B10" s="243"/>
      <c r="C10" s="457"/>
      <c r="D10" s="458"/>
      <c r="E10" s="453"/>
      <c r="F10" s="454"/>
      <c r="G10" s="454"/>
      <c r="H10" s="454"/>
      <c r="I10" s="455"/>
      <c r="J10" s="453"/>
      <c r="K10" s="457"/>
      <c r="L10" s="243"/>
      <c r="M10" s="243"/>
      <c r="N10" s="243"/>
    </row>
    <row r="11" spans="1:19" x14ac:dyDescent="0.2">
      <c r="A11" s="453"/>
      <c r="B11" s="243"/>
      <c r="C11" s="457"/>
      <c r="D11" s="458"/>
      <c r="E11" s="453"/>
      <c r="F11" s="454"/>
      <c r="G11" s="454"/>
      <c r="H11" s="454"/>
      <c r="I11" s="455"/>
      <c r="J11" s="453"/>
      <c r="K11" s="457"/>
      <c r="L11" s="243"/>
      <c r="M11" s="243"/>
      <c r="N11" s="243"/>
    </row>
    <row r="12" spans="1:19" x14ac:dyDescent="0.2">
      <c r="A12" s="453"/>
      <c r="B12" s="243"/>
      <c r="C12" s="457"/>
      <c r="D12" s="458"/>
      <c r="E12" s="453"/>
      <c r="F12" s="454"/>
      <c r="G12" s="454"/>
      <c r="H12" s="454"/>
      <c r="I12" s="455"/>
      <c r="J12" s="453"/>
      <c r="K12" s="457"/>
      <c r="L12" s="243"/>
      <c r="M12" s="243"/>
      <c r="N12" s="243"/>
    </row>
    <row r="13" spans="1:19" x14ac:dyDescent="0.2">
      <c r="A13" s="453"/>
      <c r="B13" s="243"/>
      <c r="C13" s="457"/>
      <c r="D13" s="458"/>
      <c r="E13" s="453"/>
      <c r="F13" s="454"/>
      <c r="G13" s="454"/>
      <c r="H13" s="454"/>
      <c r="I13" s="455"/>
      <c r="J13" s="453"/>
      <c r="K13" s="457"/>
      <c r="L13" s="243"/>
      <c r="M13" s="243"/>
      <c r="N13" s="243"/>
    </row>
    <row r="14" spans="1:19" x14ac:dyDescent="0.2">
      <c r="A14" s="453"/>
      <c r="B14" s="243"/>
      <c r="C14" s="457"/>
      <c r="D14" s="458"/>
      <c r="E14" s="453"/>
      <c r="F14" s="454"/>
      <c r="G14" s="454"/>
      <c r="H14" s="454"/>
      <c r="I14" s="455"/>
      <c r="J14" s="453"/>
      <c r="K14" s="457"/>
      <c r="L14" s="243"/>
      <c r="M14" s="243"/>
      <c r="N14" s="243"/>
    </row>
    <row r="15" spans="1:19" x14ac:dyDescent="0.2">
      <c r="A15" s="453"/>
      <c r="B15" s="243"/>
      <c r="C15" s="457"/>
      <c r="D15" s="458"/>
      <c r="E15" s="453"/>
      <c r="F15" s="454"/>
      <c r="G15" s="454"/>
      <c r="H15" s="454"/>
      <c r="I15" s="455"/>
      <c r="J15" s="453"/>
      <c r="K15" s="457"/>
      <c r="L15" s="243"/>
      <c r="M15" s="243"/>
      <c r="N15" s="243"/>
    </row>
    <row r="16" spans="1:19" x14ac:dyDescent="0.2">
      <c r="A16" s="453"/>
      <c r="B16" s="243"/>
      <c r="C16" s="457"/>
      <c r="D16" s="458"/>
      <c r="E16" s="453"/>
      <c r="F16" s="454"/>
      <c r="G16" s="454"/>
      <c r="H16" s="454"/>
      <c r="I16" s="455"/>
      <c r="J16" s="453"/>
      <c r="K16" s="457"/>
      <c r="L16" s="243"/>
      <c r="M16" s="243"/>
      <c r="N16" s="243"/>
    </row>
    <row r="17" spans="1:14" ht="12.75" thickBot="1" x14ac:dyDescent="0.25">
      <c r="A17" s="459"/>
      <c r="B17" s="245"/>
      <c r="C17" s="457"/>
      <c r="D17" s="458"/>
      <c r="E17" s="453"/>
      <c r="F17" s="454"/>
      <c r="G17" s="454"/>
      <c r="H17" s="454"/>
      <c r="I17" s="455"/>
      <c r="J17" s="453"/>
      <c r="K17" s="457"/>
      <c r="L17" s="243"/>
      <c r="M17" s="243"/>
      <c r="N17" s="243"/>
    </row>
    <row r="18" spans="1:14" ht="12.75" thickBot="1" x14ac:dyDescent="0.25">
      <c r="A18" s="460"/>
      <c r="B18" s="461"/>
      <c r="C18" s="462"/>
      <c r="D18" s="463"/>
      <c r="E18" s="464"/>
      <c r="F18" s="465"/>
      <c r="G18" s="465"/>
      <c r="H18" s="465"/>
      <c r="I18" s="466"/>
      <c r="J18" s="239"/>
      <c r="K18" s="462"/>
      <c r="L18" s="467"/>
      <c r="M18" s="467"/>
      <c r="N18" s="467"/>
    </row>
    <row r="19" spans="1:14" ht="21.75" customHeight="1" x14ac:dyDescent="0.2">
      <c r="A19" s="238" t="s">
        <v>407</v>
      </c>
    </row>
  </sheetData>
  <mergeCells count="6">
    <mergeCell ref="N4:N5"/>
    <mergeCell ref="A4:B4"/>
    <mergeCell ref="C4:D4"/>
    <mergeCell ref="E4:I4"/>
    <mergeCell ref="J4:L4"/>
    <mergeCell ref="M4:M5"/>
  </mergeCells>
  <printOptions horizontalCentered="1"/>
  <pageMargins left="0.23622047244094491" right="0.23622047244094491" top="0.74803149606299213" bottom="0.74803149606299213" header="0.31496062992125984" footer="0.31496062992125984"/>
  <pageSetup paperSize="9" scale="75" orientation="landscape" r:id="rId1"/>
  <headerFooter alignWithMargins="0">
    <oddHeader>&amp;C&amp;"Arial,Negrita"&amp;18PROYECTO DE PRESUPUESTO 2022</oddHeader>
    <oddFooter>&amp;L&amp;"Arial,Negrita"&amp;8PROYECTO DE PRESUPUESTO PARA EL AÑO FISCAL 2022
INFORMACIÓN PARA LA COMISIÓN DE PRESUPUESTO Y CUENTA GENERAL DE LA REPÚBLICA DEL CONGRESO DE LA REPÚBLICA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0E4D3-610B-4F4D-80CA-5BC8B150663D}">
  <sheetPr>
    <tabColor theme="9" tint="-0.249977111117893"/>
  </sheetPr>
  <dimension ref="A1:N25"/>
  <sheetViews>
    <sheetView zoomScaleNormal="100" zoomScaleSheetLayoutView="100" workbookViewId="0">
      <selection activeCell="B5" sqref="B5:E6"/>
    </sheetView>
  </sheetViews>
  <sheetFormatPr baseColWidth="10" defaultColWidth="2" defaultRowHeight="11.25" x14ac:dyDescent="0.2"/>
  <cols>
    <col min="1" max="1" width="21.28515625" style="60" customWidth="1"/>
    <col min="2" max="2" width="21.85546875" style="60" customWidth="1"/>
    <col min="3" max="3" width="18.140625" style="60" customWidth="1"/>
    <col min="4" max="4" width="15.28515625" style="60" customWidth="1"/>
    <col min="5" max="5" width="8.140625" style="60" customWidth="1"/>
    <col min="6" max="6" width="9.5703125" style="60" customWidth="1"/>
    <col min="7" max="7" width="10.85546875" style="60" customWidth="1"/>
    <col min="8" max="8" width="11" style="60" customWidth="1"/>
    <col min="9" max="9" width="7.140625" style="60" customWidth="1"/>
    <col min="10" max="10" width="8.5703125" style="60" customWidth="1"/>
    <col min="11" max="11" width="6.85546875" style="60" customWidth="1"/>
    <col min="12" max="12" width="9.7109375" style="60" customWidth="1"/>
    <col min="13" max="14" width="7" style="60" customWidth="1"/>
    <col min="15" max="15" width="8.7109375" style="60" customWidth="1"/>
    <col min="16" max="16384" width="2" style="60"/>
  </cols>
  <sheetData>
    <row r="1" spans="1:14" s="472" customFormat="1" ht="12.75" x14ac:dyDescent="0.2">
      <c r="A1" s="470" t="s">
        <v>367</v>
      </c>
      <c r="B1" s="471"/>
      <c r="C1" s="470"/>
    </row>
    <row r="2" spans="1:14" s="472" customFormat="1" ht="12" thickBot="1" x14ac:dyDescent="0.25">
      <c r="A2" s="309" t="s">
        <v>473</v>
      </c>
      <c r="B2" s="309"/>
      <c r="C2" s="309"/>
    </row>
    <row r="3" spans="1:14" s="59" customFormat="1" ht="22.5" customHeight="1" x14ac:dyDescent="0.2">
      <c r="A3" s="577" t="s">
        <v>279</v>
      </c>
      <c r="B3" s="577" t="s">
        <v>282</v>
      </c>
      <c r="C3" s="577" t="s">
        <v>281</v>
      </c>
      <c r="D3" s="579" t="s">
        <v>280</v>
      </c>
      <c r="E3" s="579" t="s">
        <v>257</v>
      </c>
      <c r="F3" s="579" t="s">
        <v>258</v>
      </c>
      <c r="G3" s="579" t="s">
        <v>116</v>
      </c>
      <c r="H3" s="579" t="s">
        <v>259</v>
      </c>
      <c r="I3" s="569">
        <v>2021</v>
      </c>
      <c r="J3" s="570"/>
      <c r="K3" s="569">
        <v>2022</v>
      </c>
      <c r="L3" s="570"/>
      <c r="M3" s="135">
        <v>2021</v>
      </c>
      <c r="N3" s="135">
        <v>2022</v>
      </c>
    </row>
    <row r="4" spans="1:14" s="59" customFormat="1" ht="22.5" x14ac:dyDescent="0.2">
      <c r="A4" s="578"/>
      <c r="B4" s="578"/>
      <c r="C4" s="578"/>
      <c r="D4" s="580"/>
      <c r="E4" s="580"/>
      <c r="F4" s="580"/>
      <c r="G4" s="580"/>
      <c r="H4" s="580"/>
      <c r="I4" s="407" t="s">
        <v>262</v>
      </c>
      <c r="J4" s="407" t="s">
        <v>260</v>
      </c>
      <c r="K4" s="407" t="s">
        <v>262</v>
      </c>
      <c r="L4" s="407" t="s">
        <v>261</v>
      </c>
      <c r="M4" s="407" t="s">
        <v>262</v>
      </c>
      <c r="N4" s="407" t="s">
        <v>262</v>
      </c>
    </row>
    <row r="5" spans="1:14" s="101" customFormat="1" ht="75.75" customHeight="1" x14ac:dyDescent="0.2">
      <c r="A5" s="571" t="s">
        <v>830</v>
      </c>
      <c r="B5" s="573" t="s">
        <v>831</v>
      </c>
      <c r="C5" s="575" t="s">
        <v>832</v>
      </c>
      <c r="D5" s="473" t="s">
        <v>833</v>
      </c>
      <c r="E5" s="474" t="s">
        <v>834</v>
      </c>
      <c r="F5" s="475">
        <v>0.08</v>
      </c>
      <c r="G5" s="100" t="s">
        <v>835</v>
      </c>
      <c r="H5" s="100" t="s">
        <v>835</v>
      </c>
      <c r="I5" s="100">
        <v>8</v>
      </c>
      <c r="J5" s="100">
        <v>8</v>
      </c>
      <c r="K5" s="100">
        <v>7.6</v>
      </c>
      <c r="L5" s="100">
        <v>7</v>
      </c>
      <c r="M5" s="100">
        <v>8</v>
      </c>
      <c r="N5" s="100">
        <v>7.6</v>
      </c>
    </row>
    <row r="6" spans="1:14" s="101" customFormat="1" ht="42.75" customHeight="1" x14ac:dyDescent="0.2">
      <c r="A6" s="572"/>
      <c r="B6" s="574"/>
      <c r="C6" s="576"/>
      <c r="D6" s="473" t="s">
        <v>836</v>
      </c>
      <c r="E6" s="474" t="s">
        <v>837</v>
      </c>
      <c r="F6" s="100">
        <v>98</v>
      </c>
      <c r="G6" s="100" t="s">
        <v>835</v>
      </c>
      <c r="H6" s="100" t="s">
        <v>835</v>
      </c>
      <c r="I6" s="100">
        <v>98</v>
      </c>
      <c r="J6" s="100">
        <v>98</v>
      </c>
      <c r="K6" s="100">
        <v>88</v>
      </c>
      <c r="L6" s="100">
        <v>68</v>
      </c>
      <c r="M6" s="100">
        <v>98</v>
      </c>
      <c r="N6" s="100">
        <v>88</v>
      </c>
    </row>
    <row r="7" spans="1:14" s="101" customFormat="1" ht="57" customHeight="1" x14ac:dyDescent="0.2">
      <c r="A7" s="571" t="s">
        <v>830</v>
      </c>
      <c r="B7" s="573" t="s">
        <v>838</v>
      </c>
      <c r="C7" s="575" t="s">
        <v>839</v>
      </c>
      <c r="D7" s="476" t="s">
        <v>840</v>
      </c>
      <c r="E7" s="474" t="s">
        <v>841</v>
      </c>
      <c r="F7" s="475">
        <v>7.0000000000000007E-2</v>
      </c>
      <c r="G7" s="100" t="s">
        <v>842</v>
      </c>
      <c r="H7" s="100" t="s">
        <v>842</v>
      </c>
      <c r="I7" s="100">
        <v>7</v>
      </c>
      <c r="J7" s="100">
        <v>7</v>
      </c>
      <c r="K7" s="100">
        <v>7</v>
      </c>
      <c r="L7" s="100">
        <v>10</v>
      </c>
      <c r="M7" s="100">
        <v>7</v>
      </c>
      <c r="N7" s="100">
        <v>7</v>
      </c>
    </row>
    <row r="8" spans="1:14" s="101" customFormat="1" ht="57.75" customHeight="1" x14ac:dyDescent="0.2">
      <c r="A8" s="572"/>
      <c r="B8" s="581"/>
      <c r="C8" s="576"/>
      <c r="D8" s="476" t="s">
        <v>843</v>
      </c>
      <c r="E8" s="477" t="s">
        <v>844</v>
      </c>
      <c r="F8" s="478">
        <v>7.6999999999999999E-2</v>
      </c>
      <c r="G8" s="100" t="s">
        <v>842</v>
      </c>
      <c r="H8" s="100" t="s">
        <v>842</v>
      </c>
      <c r="I8" s="100">
        <v>7.7</v>
      </c>
      <c r="J8" s="100">
        <v>7.7</v>
      </c>
      <c r="K8" s="100">
        <v>7.7</v>
      </c>
      <c r="L8" s="100">
        <v>10.1</v>
      </c>
      <c r="M8" s="100">
        <v>7.7</v>
      </c>
      <c r="N8" s="100">
        <v>7.7</v>
      </c>
    </row>
    <row r="9" spans="1:14" s="101" customFormat="1" ht="78.75" x14ac:dyDescent="0.2">
      <c r="A9" s="99" t="s">
        <v>830</v>
      </c>
      <c r="B9" s="479" t="s">
        <v>845</v>
      </c>
      <c r="C9" s="480" t="s">
        <v>846</v>
      </c>
      <c r="D9" s="481" t="s">
        <v>847</v>
      </c>
      <c r="E9" s="100" t="s">
        <v>848</v>
      </c>
      <c r="F9" s="100">
        <v>14.7</v>
      </c>
      <c r="G9" s="100" t="s">
        <v>849</v>
      </c>
      <c r="H9" s="100" t="s">
        <v>849</v>
      </c>
      <c r="I9" s="100">
        <v>14.7</v>
      </c>
      <c r="J9" s="100">
        <v>14.7</v>
      </c>
      <c r="K9" s="100">
        <v>16.3</v>
      </c>
      <c r="L9" s="100">
        <v>19.5</v>
      </c>
      <c r="M9" s="100">
        <v>14.7</v>
      </c>
      <c r="N9" s="100">
        <v>16.3</v>
      </c>
    </row>
    <row r="10" spans="1:14" s="101" customFormat="1" ht="67.5" x14ac:dyDescent="0.2">
      <c r="A10" s="99" t="s">
        <v>830</v>
      </c>
      <c r="B10" s="482" t="s">
        <v>850</v>
      </c>
      <c r="C10" s="480" t="s">
        <v>851</v>
      </c>
      <c r="D10" s="474" t="s">
        <v>852</v>
      </c>
      <c r="E10" s="100" t="s">
        <v>853</v>
      </c>
      <c r="F10" s="100">
        <v>8.6999999999999993</v>
      </c>
      <c r="G10" s="100" t="s">
        <v>854</v>
      </c>
      <c r="H10" s="100" t="s">
        <v>854</v>
      </c>
      <c r="I10" s="100">
        <v>8.6999999999999993</v>
      </c>
      <c r="J10" s="100">
        <v>8.6999999999999993</v>
      </c>
      <c r="K10" s="100">
        <v>9</v>
      </c>
      <c r="L10" s="100">
        <v>9.6999999999999993</v>
      </c>
      <c r="M10" s="100">
        <v>8.6999999999999993</v>
      </c>
      <c r="N10" s="100">
        <v>9</v>
      </c>
    </row>
    <row r="11" spans="1:14" s="101" customFormat="1" ht="101.25" x14ac:dyDescent="0.2">
      <c r="A11" s="99" t="s">
        <v>830</v>
      </c>
      <c r="B11" s="482" t="s">
        <v>855</v>
      </c>
      <c r="C11" s="480" t="s">
        <v>856</v>
      </c>
      <c r="D11" s="474" t="s">
        <v>857</v>
      </c>
      <c r="E11" s="100" t="s">
        <v>858</v>
      </c>
      <c r="F11" s="100">
        <v>24.9</v>
      </c>
      <c r="G11" s="100" t="s">
        <v>859</v>
      </c>
      <c r="H11" s="100" t="s">
        <v>859</v>
      </c>
      <c r="I11" s="100">
        <v>24.9</v>
      </c>
      <c r="J11" s="100">
        <v>24.9</v>
      </c>
      <c r="K11" s="100">
        <v>25</v>
      </c>
      <c r="L11" s="100">
        <v>30</v>
      </c>
      <c r="M11" s="100">
        <v>24.9</v>
      </c>
      <c r="N11" s="100">
        <v>25</v>
      </c>
    </row>
    <row r="12" spans="1:14" s="101" customFormat="1" ht="45" x14ac:dyDescent="0.2">
      <c r="A12" s="99" t="s">
        <v>830</v>
      </c>
      <c r="B12" s="482" t="s">
        <v>860</v>
      </c>
      <c r="C12" s="480" t="s">
        <v>861</v>
      </c>
      <c r="D12" s="474" t="s">
        <v>862</v>
      </c>
      <c r="E12" s="100" t="s">
        <v>863</v>
      </c>
      <c r="F12" s="100">
        <v>5</v>
      </c>
      <c r="G12" s="100" t="s">
        <v>864</v>
      </c>
      <c r="H12" s="100" t="s">
        <v>864</v>
      </c>
      <c r="I12" s="100">
        <v>5</v>
      </c>
      <c r="J12" s="100">
        <v>5</v>
      </c>
      <c r="K12" s="100">
        <v>5.0999999999999996</v>
      </c>
      <c r="L12" s="100">
        <v>5.2</v>
      </c>
      <c r="M12" s="100">
        <v>5</v>
      </c>
      <c r="N12" s="100">
        <v>5.0999999999999996</v>
      </c>
    </row>
    <row r="13" spans="1:14" s="101" customFormat="1" ht="90" x14ac:dyDescent="0.2">
      <c r="A13" s="99" t="s">
        <v>830</v>
      </c>
      <c r="B13" s="482" t="s">
        <v>865</v>
      </c>
      <c r="C13" s="480" t="s">
        <v>866</v>
      </c>
      <c r="D13" s="474" t="s">
        <v>867</v>
      </c>
      <c r="E13" s="100" t="s">
        <v>868</v>
      </c>
      <c r="F13" s="100">
        <v>1.1000000000000001</v>
      </c>
      <c r="G13" s="100" t="s">
        <v>869</v>
      </c>
      <c r="H13" s="100" t="s">
        <v>869</v>
      </c>
      <c r="I13" s="100">
        <v>1.1000000000000001</v>
      </c>
      <c r="J13" s="100">
        <v>1.1000000000000001</v>
      </c>
      <c r="K13" s="100">
        <v>7</v>
      </c>
      <c r="L13" s="100">
        <v>12.4</v>
      </c>
      <c r="M13" s="100">
        <v>1.1000000000000001</v>
      </c>
      <c r="N13" s="100">
        <v>7</v>
      </c>
    </row>
    <row r="14" spans="1:14" s="101" customFormat="1" ht="123.75" x14ac:dyDescent="0.2">
      <c r="A14" s="99" t="s">
        <v>830</v>
      </c>
      <c r="B14" s="482" t="s">
        <v>870</v>
      </c>
      <c r="C14" s="480" t="s">
        <v>871</v>
      </c>
      <c r="D14" s="474" t="s">
        <v>872</v>
      </c>
      <c r="E14" s="100" t="s">
        <v>873</v>
      </c>
      <c r="F14" s="100">
        <v>17.7</v>
      </c>
      <c r="G14" s="100" t="s">
        <v>874</v>
      </c>
      <c r="H14" s="100" t="s">
        <v>874</v>
      </c>
      <c r="I14" s="100">
        <v>17.7</v>
      </c>
      <c r="J14" s="100">
        <v>17.7</v>
      </c>
      <c r="K14" s="100">
        <v>18.399999999999999</v>
      </c>
      <c r="L14" s="100">
        <v>19.3</v>
      </c>
      <c r="M14" s="100">
        <v>17.7</v>
      </c>
      <c r="N14" s="100">
        <v>18.399999999999999</v>
      </c>
    </row>
    <row r="15" spans="1:14" s="101" customFormat="1" ht="79.5" thickBot="1" x14ac:dyDescent="0.25">
      <c r="A15" s="102" t="s">
        <v>830</v>
      </c>
      <c r="B15" s="484" t="s">
        <v>875</v>
      </c>
      <c r="C15" s="485" t="s">
        <v>876</v>
      </c>
      <c r="D15" s="486" t="s">
        <v>877</v>
      </c>
      <c r="E15" s="103" t="s">
        <v>878</v>
      </c>
      <c r="F15" s="103">
        <v>15.5</v>
      </c>
      <c r="G15" s="103" t="s">
        <v>879</v>
      </c>
      <c r="H15" s="103" t="s">
        <v>879</v>
      </c>
      <c r="I15" s="103">
        <v>15.5</v>
      </c>
      <c r="J15" s="103">
        <v>15.5</v>
      </c>
      <c r="K15" s="103">
        <v>16</v>
      </c>
      <c r="L15" s="103">
        <v>17</v>
      </c>
      <c r="M15" s="103">
        <v>15.5</v>
      </c>
      <c r="N15" s="103">
        <v>16</v>
      </c>
    </row>
    <row r="16" spans="1:14" s="101" customFormat="1" x14ac:dyDescent="0.2">
      <c r="A16" s="483"/>
      <c r="B16" s="483"/>
      <c r="C16" s="483"/>
      <c r="D16" s="483"/>
      <c r="E16" s="483"/>
      <c r="F16" s="483"/>
      <c r="G16" s="483"/>
      <c r="H16" s="483"/>
      <c r="I16" s="483"/>
      <c r="J16" s="483"/>
      <c r="K16" s="483"/>
      <c r="L16" s="483"/>
      <c r="M16" s="483"/>
      <c r="N16" s="483"/>
    </row>
    <row r="17" spans="1:1" x14ac:dyDescent="0.2">
      <c r="A17" s="60" t="s">
        <v>880</v>
      </c>
    </row>
    <row r="18" spans="1:1" x14ac:dyDescent="0.2">
      <c r="A18" s="60" t="s">
        <v>881</v>
      </c>
    </row>
    <row r="19" spans="1:1" x14ac:dyDescent="0.2">
      <c r="A19" s="60" t="s">
        <v>882</v>
      </c>
    </row>
    <row r="20" spans="1:1" x14ac:dyDescent="0.2">
      <c r="A20" s="60" t="s">
        <v>883</v>
      </c>
    </row>
    <row r="21" spans="1:1" x14ac:dyDescent="0.2">
      <c r="A21" s="60" t="s">
        <v>884</v>
      </c>
    </row>
    <row r="22" spans="1:1" x14ac:dyDescent="0.2">
      <c r="A22" s="60" t="s">
        <v>885</v>
      </c>
    </row>
    <row r="23" spans="1:1" x14ac:dyDescent="0.2">
      <c r="A23" s="60" t="s">
        <v>886</v>
      </c>
    </row>
    <row r="24" spans="1:1" x14ac:dyDescent="0.2">
      <c r="A24" s="60" t="s">
        <v>887</v>
      </c>
    </row>
    <row r="25" spans="1:1" x14ac:dyDescent="0.2">
      <c r="A25" s="60" t="s">
        <v>888</v>
      </c>
    </row>
  </sheetData>
  <mergeCells count="16">
    <mergeCell ref="A7:A8"/>
    <mergeCell ref="B7:B8"/>
    <mergeCell ref="C7:C8"/>
    <mergeCell ref="G3:G4"/>
    <mergeCell ref="H3:H4"/>
    <mergeCell ref="I3:J3"/>
    <mergeCell ref="K3:L3"/>
    <mergeCell ref="A5:A6"/>
    <mergeCell ref="B5:B6"/>
    <mergeCell ref="C5:C6"/>
    <mergeCell ref="A3:A4"/>
    <mergeCell ref="B3:B4"/>
    <mergeCell ref="C3:C4"/>
    <mergeCell ref="D3:D4"/>
    <mergeCell ref="E3:E4"/>
    <mergeCell ref="F3:F4"/>
  </mergeCells>
  <printOptions horizontalCentered="1"/>
  <pageMargins left="0.23622047244094491" right="0.23622047244094491" top="0.74803149606299213" bottom="0.74803149606299213" header="0.31496062992125984" footer="0.31496062992125984"/>
  <pageSetup paperSize="9" scale="85" orientation="landscape" r:id="rId1"/>
  <headerFooter alignWithMargins="0">
    <oddHeader xml:space="preserve">&amp;C&amp;"Arial,Negrita"&amp;18PROYECTO DE PRESUPUESTO 2022
</oddHeader>
    <oddFooter>&amp;L&amp;"Arial,Negrita"&amp;8PROYECTO DE PRESUPUESTO PARA EL AÑO FISCAL 2022
INFORMACIÓN PARA LA COMISIÓN DE PRESUPUESTO Y CUENTA GENERAL DE LA REPÚBLICA DEL CONGRESO DE LA REPÚBLICA</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heetViews>
  <sheetFormatPr baseColWidth="10" defaultColWidth="10.7109375" defaultRowHeight="12.75" x14ac:dyDescent="0.2"/>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baseColWidth="10" defaultColWidth="10.7109375"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D21"/>
  <sheetViews>
    <sheetView zoomScaleNormal="100" workbookViewId="0">
      <selection activeCell="B5" sqref="B5:E5"/>
    </sheetView>
  </sheetViews>
  <sheetFormatPr baseColWidth="10" defaultColWidth="11.28515625" defaultRowHeight="12.75" x14ac:dyDescent="0.2"/>
  <cols>
    <col min="1" max="1" width="62.42578125" bestFit="1" customWidth="1"/>
    <col min="2" max="3" width="13.7109375" bestFit="1" customWidth="1"/>
    <col min="4" max="4" width="11.140625" bestFit="1" customWidth="1"/>
  </cols>
  <sheetData>
    <row r="1" spans="1:4" x14ac:dyDescent="0.2">
      <c r="A1" s="97" t="s">
        <v>368</v>
      </c>
    </row>
    <row r="2" spans="1:4" x14ac:dyDescent="0.2">
      <c r="A2" s="98" t="s">
        <v>473</v>
      </c>
    </row>
    <row r="3" spans="1:4" s="127" customFormat="1" ht="28.35" customHeight="1" x14ac:dyDescent="0.2">
      <c r="A3" s="133" t="s">
        <v>318</v>
      </c>
      <c r="B3" s="134">
        <v>2020</v>
      </c>
      <c r="C3" s="134">
        <v>2021</v>
      </c>
      <c r="D3" s="134">
        <v>2022</v>
      </c>
    </row>
    <row r="4" spans="1:4" s="129" customFormat="1" x14ac:dyDescent="0.2">
      <c r="A4" s="128" t="s">
        <v>315</v>
      </c>
      <c r="B4" s="260">
        <v>53572983</v>
      </c>
      <c r="C4" s="260">
        <v>40226627</v>
      </c>
      <c r="D4" s="260">
        <v>43312440</v>
      </c>
    </row>
    <row r="5" spans="1:4" s="129" customFormat="1" x14ac:dyDescent="0.2">
      <c r="A5" s="128" t="s">
        <v>316</v>
      </c>
      <c r="B5" s="260">
        <v>61329112</v>
      </c>
      <c r="C5" s="260">
        <v>70436665</v>
      </c>
      <c r="D5" s="260">
        <v>78834303</v>
      </c>
    </row>
    <row r="6" spans="1:4" s="129" customFormat="1" x14ac:dyDescent="0.2">
      <c r="A6" s="128" t="s">
        <v>317</v>
      </c>
      <c r="B6" s="260">
        <v>234243460</v>
      </c>
      <c r="C6" s="260">
        <v>260253524</v>
      </c>
      <c r="D6" s="260">
        <v>255113212</v>
      </c>
    </row>
    <row r="7" spans="1:4" s="130" customFormat="1" ht="28.35" customHeight="1" x14ac:dyDescent="0.2">
      <c r="A7" s="131" t="s">
        <v>309</v>
      </c>
      <c r="B7" s="261">
        <f>SUM(B4:B6)</f>
        <v>349145555</v>
      </c>
      <c r="C7" s="261">
        <f t="shared" ref="C7:D7" si="0">SUM(C4:C6)</f>
        <v>370916816</v>
      </c>
      <c r="D7" s="261">
        <f t="shared" si="0"/>
        <v>377259955</v>
      </c>
    </row>
    <row r="9" spans="1:4" s="127" customFormat="1" ht="28.35" customHeight="1" x14ac:dyDescent="0.2">
      <c r="A9" s="133" t="s">
        <v>319</v>
      </c>
      <c r="B9" s="134">
        <v>2020</v>
      </c>
      <c r="C9" s="134" t="s">
        <v>369</v>
      </c>
      <c r="D9" s="134" t="s">
        <v>370</v>
      </c>
    </row>
    <row r="10" spans="1:4" s="129" customFormat="1" x14ac:dyDescent="0.2">
      <c r="A10" s="128" t="s">
        <v>315</v>
      </c>
      <c r="B10" s="260">
        <v>50448527</v>
      </c>
      <c r="C10" s="260">
        <v>44375756</v>
      </c>
      <c r="D10" s="260">
        <v>43312440</v>
      </c>
    </row>
    <row r="11" spans="1:4" s="129" customFormat="1" x14ac:dyDescent="0.2">
      <c r="A11" s="128" t="s">
        <v>316</v>
      </c>
      <c r="B11" s="260">
        <v>123356983</v>
      </c>
      <c r="C11" s="260">
        <v>113096622</v>
      </c>
      <c r="D11" s="260">
        <v>78834303</v>
      </c>
    </row>
    <row r="12" spans="1:4" s="129" customFormat="1" x14ac:dyDescent="0.2">
      <c r="A12" s="128" t="s">
        <v>317</v>
      </c>
      <c r="B12" s="260">
        <v>261675278</v>
      </c>
      <c r="C12" s="260">
        <v>283784827</v>
      </c>
      <c r="D12" s="260">
        <v>255113212</v>
      </c>
    </row>
    <row r="13" spans="1:4" s="130" customFormat="1" ht="28.35" customHeight="1" x14ac:dyDescent="0.2">
      <c r="A13" s="131" t="s">
        <v>310</v>
      </c>
      <c r="B13" s="261">
        <f>SUM(B10:B12)</f>
        <v>435480788</v>
      </c>
      <c r="C13" s="261">
        <f t="shared" ref="C13:D13" si="1">SUM(C10:C12)</f>
        <v>441257205</v>
      </c>
      <c r="D13" s="261">
        <f t="shared" si="1"/>
        <v>377259955</v>
      </c>
    </row>
    <row r="15" spans="1:4" s="127" customFormat="1" ht="28.35" customHeight="1" x14ac:dyDescent="0.2">
      <c r="A15" s="133" t="s">
        <v>320</v>
      </c>
      <c r="B15" s="134">
        <v>2020</v>
      </c>
      <c r="C15" s="134" t="s">
        <v>369</v>
      </c>
      <c r="D15" s="134" t="s">
        <v>370</v>
      </c>
    </row>
    <row r="16" spans="1:4" s="129" customFormat="1" x14ac:dyDescent="0.2">
      <c r="A16" s="128" t="s">
        <v>315</v>
      </c>
      <c r="B16" s="262">
        <v>48293581.950000003</v>
      </c>
      <c r="C16" s="260">
        <v>44375756</v>
      </c>
      <c r="D16" s="260">
        <v>43312440</v>
      </c>
    </row>
    <row r="17" spans="1:4" s="129" customFormat="1" x14ac:dyDescent="0.2">
      <c r="A17" s="128" t="s">
        <v>316</v>
      </c>
      <c r="B17" s="262">
        <v>114685759.93000001</v>
      </c>
      <c r="C17" s="260">
        <v>113096622</v>
      </c>
      <c r="D17" s="260">
        <v>78834303</v>
      </c>
    </row>
    <row r="18" spans="1:4" s="129" customFormat="1" x14ac:dyDescent="0.2">
      <c r="A18" s="128" t="s">
        <v>317</v>
      </c>
      <c r="B18" s="262">
        <v>239358394.79000005</v>
      </c>
      <c r="C18" s="262">
        <v>283784827</v>
      </c>
      <c r="D18" s="260">
        <v>255113212</v>
      </c>
    </row>
    <row r="19" spans="1:4" s="130" customFormat="1" ht="28.35" customHeight="1" x14ac:dyDescent="0.2">
      <c r="A19" s="131" t="s">
        <v>311</v>
      </c>
      <c r="B19" s="261">
        <f t="shared" ref="B19:D19" si="2">SUM(B16:B18)</f>
        <v>402337736.67000008</v>
      </c>
      <c r="C19" s="261">
        <f t="shared" si="2"/>
        <v>441257205</v>
      </c>
      <c r="D19" s="261">
        <f t="shared" si="2"/>
        <v>377259955</v>
      </c>
    </row>
    <row r="20" spans="1:4" x14ac:dyDescent="0.2">
      <c r="A20" s="256" t="s">
        <v>371</v>
      </c>
    </row>
    <row r="21" spans="1:4" x14ac:dyDescent="0.2">
      <c r="A21" s="257" t="s">
        <v>372</v>
      </c>
    </row>
  </sheetData>
  <pageMargins left="0.55000000000000004" right="0.31" top="0.74803149606299213" bottom="0.74803149606299213" header="0.31496062992125984" footer="0.31496062992125984"/>
  <pageSetup paperSize="9" scale="95" orientation="portrait" r:id="rId1"/>
  <headerFooter>
    <oddHeader xml:space="preserve">&amp;L&amp;"Arial,Negrita"&amp;14
&amp;C&amp;"Arial,Negrita"&amp;18PROYECTO DE PRESUPUESTO 2022&amp;R&amp;"Arial,Negrita"&amp;14 </oddHeader>
    <oddFooter>&amp;L&amp;"Arial,Negrita"&amp;8PROYECTO DE PRESUPUESTO PARA EL AÑO FISCAL 2022
INFORMACIÓN PARA LA COMISIÓN DE PRESUPUESTO Y CUENTA GENERAL DE LA REPÚBLICA DEL CONGRESO DE LA REPÚBLICA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80962-5A32-4C3A-AA1A-E2CAEA5D5D1B}">
  <sheetPr>
    <tabColor theme="9" tint="-0.249977111117893"/>
  </sheetPr>
  <dimension ref="A1:D267"/>
  <sheetViews>
    <sheetView view="pageBreakPreview" zoomScaleNormal="100" zoomScaleSheetLayoutView="100" workbookViewId="0">
      <selection activeCell="B5" sqref="B5:E5"/>
    </sheetView>
  </sheetViews>
  <sheetFormatPr baseColWidth="10" defaultColWidth="11.28515625" defaultRowHeight="12.75" x14ac:dyDescent="0.2"/>
  <cols>
    <col min="1" max="1" width="52.140625" style="308" customWidth="1"/>
    <col min="2" max="3" width="13.28515625" style="308" bestFit="1" customWidth="1"/>
    <col min="4" max="4" width="12.28515625" style="308" bestFit="1" customWidth="1"/>
    <col min="5" max="16384" width="11.28515625" style="308"/>
  </cols>
  <sheetData>
    <row r="1" spans="1:4" x14ac:dyDescent="0.2">
      <c r="A1" s="307" t="s">
        <v>373</v>
      </c>
    </row>
    <row r="2" spans="1:4" x14ac:dyDescent="0.2">
      <c r="A2" s="309" t="s">
        <v>473</v>
      </c>
    </row>
    <row r="3" spans="1:4" x14ac:dyDescent="0.2">
      <c r="A3" s="309" t="s">
        <v>474</v>
      </c>
    </row>
    <row r="4" spans="1:4" s="312" customFormat="1" ht="28.35" customHeight="1" x14ac:dyDescent="0.2">
      <c r="A4" s="310" t="s">
        <v>314</v>
      </c>
      <c r="B4" s="311">
        <v>2020</v>
      </c>
      <c r="C4" s="311">
        <v>2021</v>
      </c>
      <c r="D4" s="311">
        <v>2022</v>
      </c>
    </row>
    <row r="5" spans="1:4" x14ac:dyDescent="0.2">
      <c r="A5" s="313" t="s">
        <v>99</v>
      </c>
      <c r="B5" s="314">
        <f>SUM(B6:B11)</f>
        <v>219592923</v>
      </c>
      <c r="C5" s="314">
        <f t="shared" ref="C5:D5" si="0">SUM(C6:C11)</f>
        <v>223637281</v>
      </c>
      <c r="D5" s="314">
        <f t="shared" si="0"/>
        <v>237964307</v>
      </c>
    </row>
    <row r="6" spans="1:4" x14ac:dyDescent="0.2">
      <c r="A6" s="315" t="s">
        <v>88</v>
      </c>
      <c r="B6" s="316"/>
      <c r="C6" s="316"/>
      <c r="D6" s="316"/>
    </row>
    <row r="7" spans="1:4" x14ac:dyDescent="0.2">
      <c r="A7" s="315" t="s">
        <v>89</v>
      </c>
      <c r="B7" s="316">
        <v>156522460</v>
      </c>
      <c r="C7" s="316">
        <v>173147786</v>
      </c>
      <c r="D7" s="316">
        <v>181409872</v>
      </c>
    </row>
    <row r="8" spans="1:4" x14ac:dyDescent="0.2">
      <c r="A8" s="315" t="s">
        <v>90</v>
      </c>
      <c r="B8" s="316">
        <v>6529136</v>
      </c>
      <c r="C8" s="316">
        <v>6120865</v>
      </c>
      <c r="D8" s="316">
        <v>5336388</v>
      </c>
    </row>
    <row r="9" spans="1:4" x14ac:dyDescent="0.2">
      <c r="A9" s="315" t="s">
        <v>91</v>
      </c>
      <c r="B9" s="316">
        <v>55185041</v>
      </c>
      <c r="C9" s="316">
        <v>43012344</v>
      </c>
      <c r="D9" s="316">
        <v>49819502</v>
      </c>
    </row>
    <row r="10" spans="1:4" x14ac:dyDescent="0.2">
      <c r="A10" s="315" t="s">
        <v>118</v>
      </c>
      <c r="B10" s="316"/>
      <c r="C10" s="316"/>
      <c r="D10" s="316"/>
    </row>
    <row r="11" spans="1:4" x14ac:dyDescent="0.2">
      <c r="A11" s="315" t="s">
        <v>119</v>
      </c>
      <c r="B11" s="316">
        <v>1356286</v>
      </c>
      <c r="C11" s="316">
        <v>1356286</v>
      </c>
      <c r="D11" s="316">
        <v>1398545</v>
      </c>
    </row>
    <row r="12" spans="1:4" x14ac:dyDescent="0.2">
      <c r="A12" s="313" t="s">
        <v>87</v>
      </c>
      <c r="B12" s="314">
        <f>SUM(B13:B16)</f>
        <v>101060491</v>
      </c>
      <c r="C12" s="314">
        <f t="shared" ref="C12:D12" si="1">SUM(C13:C16)</f>
        <v>27499083</v>
      </c>
      <c r="D12" s="314">
        <f t="shared" si="1"/>
        <v>47527307</v>
      </c>
    </row>
    <row r="13" spans="1:4" x14ac:dyDescent="0.2">
      <c r="A13" s="315" t="s">
        <v>117</v>
      </c>
      <c r="B13" s="316"/>
      <c r="C13" s="316"/>
      <c r="D13" s="316"/>
    </row>
    <row r="14" spans="1:4" x14ac:dyDescent="0.2">
      <c r="A14" s="315" t="s">
        <v>120</v>
      </c>
      <c r="B14" s="316"/>
      <c r="C14" s="316"/>
      <c r="D14" s="316"/>
    </row>
    <row r="15" spans="1:4" x14ac:dyDescent="0.2">
      <c r="A15" s="315" t="s">
        <v>96</v>
      </c>
      <c r="B15" s="316">
        <v>101060491</v>
      </c>
      <c r="C15" s="316">
        <v>27499083</v>
      </c>
      <c r="D15" s="316">
        <v>47527307</v>
      </c>
    </row>
    <row r="16" spans="1:4" x14ac:dyDescent="0.2">
      <c r="A16" s="315" t="s">
        <v>97</v>
      </c>
      <c r="B16" s="316"/>
      <c r="C16" s="316"/>
      <c r="D16" s="316"/>
    </row>
    <row r="17" spans="1:4" x14ac:dyDescent="0.2">
      <c r="A17" s="313" t="s">
        <v>75</v>
      </c>
      <c r="B17" s="314">
        <f>+B18</f>
        <v>0</v>
      </c>
      <c r="C17" s="314">
        <f t="shared" ref="C17:D17" si="2">+C18</f>
        <v>0</v>
      </c>
      <c r="D17" s="314">
        <f t="shared" si="2"/>
        <v>0</v>
      </c>
    </row>
    <row r="18" spans="1:4" x14ac:dyDescent="0.2">
      <c r="A18" s="315" t="s">
        <v>98</v>
      </c>
      <c r="B18" s="316"/>
      <c r="C18" s="316"/>
      <c r="D18" s="316"/>
    </row>
    <row r="19" spans="1:4" s="319" customFormat="1" ht="18" customHeight="1" x14ac:dyDescent="0.2">
      <c r="A19" s="317" t="s">
        <v>309</v>
      </c>
      <c r="B19" s="318">
        <f>+B17+B12+B5</f>
        <v>320653414</v>
      </c>
      <c r="C19" s="318">
        <f t="shared" ref="C19:D19" si="3">+C17+C12+C5</f>
        <v>251136364</v>
      </c>
      <c r="D19" s="318">
        <f t="shared" si="3"/>
        <v>285491614</v>
      </c>
    </row>
    <row r="21" spans="1:4" s="312" customFormat="1" ht="28.35" customHeight="1" x14ac:dyDescent="0.2">
      <c r="A21" s="310" t="s">
        <v>313</v>
      </c>
      <c r="B21" s="311">
        <v>2020</v>
      </c>
      <c r="C21" s="311">
        <v>2021</v>
      </c>
      <c r="D21" s="311">
        <v>2022</v>
      </c>
    </row>
    <row r="22" spans="1:4" x14ac:dyDescent="0.2">
      <c r="A22" s="313" t="s">
        <v>99</v>
      </c>
      <c r="B22" s="314">
        <f>SUM(B23:B28)</f>
        <v>256725759</v>
      </c>
      <c r="C22" s="314">
        <f>SUM(C23:C28)</f>
        <v>251054072</v>
      </c>
      <c r="D22" s="314">
        <f>SUM(D23:D28)</f>
        <v>237964307</v>
      </c>
    </row>
    <row r="23" spans="1:4" x14ac:dyDescent="0.2">
      <c r="A23" s="315" t="s">
        <v>88</v>
      </c>
      <c r="B23" s="316"/>
      <c r="C23" s="316"/>
      <c r="D23" s="316"/>
    </row>
    <row r="24" spans="1:4" x14ac:dyDescent="0.2">
      <c r="A24" s="315" t="s">
        <v>89</v>
      </c>
      <c r="B24" s="316">
        <v>177620362</v>
      </c>
      <c r="C24" s="316">
        <v>182974440</v>
      </c>
      <c r="D24" s="316">
        <v>181409872</v>
      </c>
    </row>
    <row r="25" spans="1:4" x14ac:dyDescent="0.2">
      <c r="A25" s="315" t="s">
        <v>90</v>
      </c>
      <c r="B25" s="316">
        <v>6403361</v>
      </c>
      <c r="C25" s="316">
        <v>6449115</v>
      </c>
      <c r="D25" s="316">
        <v>5336388</v>
      </c>
    </row>
    <row r="26" spans="1:4" x14ac:dyDescent="0.2">
      <c r="A26" s="315" t="s">
        <v>91</v>
      </c>
      <c r="B26" s="316">
        <v>66477471</v>
      </c>
      <c r="C26" s="316">
        <v>56872504</v>
      </c>
      <c r="D26" s="316">
        <v>49819502</v>
      </c>
    </row>
    <row r="27" spans="1:4" x14ac:dyDescent="0.2">
      <c r="A27" s="315" t="s">
        <v>118</v>
      </c>
      <c r="B27" s="316">
        <v>323910</v>
      </c>
      <c r="C27" s="316"/>
      <c r="D27" s="316"/>
    </row>
    <row r="28" spans="1:4" x14ac:dyDescent="0.2">
      <c r="A28" s="315" t="s">
        <v>119</v>
      </c>
      <c r="B28" s="316">
        <v>5900655</v>
      </c>
      <c r="C28" s="316">
        <v>4758013</v>
      </c>
      <c r="D28" s="316">
        <v>1398545</v>
      </c>
    </row>
    <row r="29" spans="1:4" x14ac:dyDescent="0.2">
      <c r="A29" s="313" t="s">
        <v>87</v>
      </c>
      <c r="B29" s="314">
        <f>SUM(B30:B33)</f>
        <v>108292380</v>
      </c>
      <c r="C29" s="314">
        <f>SUM(C30:C33)</f>
        <v>5244334</v>
      </c>
      <c r="D29" s="314">
        <f>SUM(D30:D33)</f>
        <v>47527307</v>
      </c>
    </row>
    <row r="30" spans="1:4" x14ac:dyDescent="0.2">
      <c r="A30" s="315" t="s">
        <v>117</v>
      </c>
      <c r="B30" s="316"/>
      <c r="C30" s="316"/>
      <c r="D30" s="316"/>
    </row>
    <row r="31" spans="1:4" x14ac:dyDescent="0.2">
      <c r="A31" s="315" t="s">
        <v>120</v>
      </c>
      <c r="B31" s="316"/>
      <c r="C31" s="316"/>
      <c r="D31" s="316"/>
    </row>
    <row r="32" spans="1:4" x14ac:dyDescent="0.2">
      <c r="A32" s="315" t="s">
        <v>96</v>
      </c>
      <c r="B32" s="316">
        <v>108292380</v>
      </c>
      <c r="C32" s="316">
        <v>5244334</v>
      </c>
      <c r="D32" s="316">
        <v>47527307</v>
      </c>
    </row>
    <row r="33" spans="1:4" x14ac:dyDescent="0.2">
      <c r="A33" s="315" t="s">
        <v>97</v>
      </c>
      <c r="B33" s="316"/>
      <c r="C33" s="316"/>
      <c r="D33" s="316"/>
    </row>
    <row r="34" spans="1:4" x14ac:dyDescent="0.2">
      <c r="A34" s="313" t="s">
        <v>75</v>
      </c>
      <c r="B34" s="314"/>
      <c r="C34" s="314"/>
      <c r="D34" s="314"/>
    </row>
    <row r="35" spans="1:4" x14ac:dyDescent="0.2">
      <c r="A35" s="315" t="s">
        <v>98</v>
      </c>
      <c r="B35" s="316"/>
      <c r="C35" s="316"/>
      <c r="D35" s="316"/>
    </row>
    <row r="36" spans="1:4" s="319" customFormat="1" ht="18" customHeight="1" x14ac:dyDescent="0.2">
      <c r="A36" s="317" t="s">
        <v>310</v>
      </c>
      <c r="B36" s="318">
        <f>+B29+B22</f>
        <v>365018139</v>
      </c>
      <c r="C36" s="318">
        <f t="shared" ref="C36:D36" si="4">+C29+C22</f>
        <v>256298406</v>
      </c>
      <c r="D36" s="318">
        <f t="shared" si="4"/>
        <v>285491614</v>
      </c>
    </row>
    <row r="38" spans="1:4" s="312" customFormat="1" ht="28.35" customHeight="1" x14ac:dyDescent="0.2">
      <c r="A38" s="310" t="s">
        <v>312</v>
      </c>
      <c r="B38" s="311">
        <v>2020</v>
      </c>
      <c r="C38" s="311">
        <v>2021</v>
      </c>
      <c r="D38" s="311">
        <v>2022</v>
      </c>
    </row>
    <row r="39" spans="1:4" x14ac:dyDescent="0.2">
      <c r="A39" s="313" t="s">
        <v>99</v>
      </c>
      <c r="B39" s="314">
        <f>SUM(B40:B45)</f>
        <v>251088629.81000003</v>
      </c>
      <c r="C39" s="314">
        <f>SUM(C40:C45)</f>
        <v>251054072</v>
      </c>
      <c r="D39" s="314">
        <f>SUM(D40:D45)</f>
        <v>237964307</v>
      </c>
    </row>
    <row r="40" spans="1:4" x14ac:dyDescent="0.2">
      <c r="A40" s="315" t="s">
        <v>88</v>
      </c>
      <c r="B40" s="316"/>
      <c r="C40" s="316"/>
      <c r="D40" s="316"/>
    </row>
    <row r="41" spans="1:4" x14ac:dyDescent="0.2">
      <c r="A41" s="315" t="s">
        <v>89</v>
      </c>
      <c r="B41" s="316">
        <v>177296546.99000001</v>
      </c>
      <c r="C41" s="316">
        <v>182974440</v>
      </c>
      <c r="D41" s="316">
        <v>181409872</v>
      </c>
    </row>
    <row r="42" spans="1:4" x14ac:dyDescent="0.2">
      <c r="A42" s="315" t="s">
        <v>90</v>
      </c>
      <c r="B42" s="316">
        <v>6393488.8099999996</v>
      </c>
      <c r="C42" s="316">
        <v>6449115</v>
      </c>
      <c r="D42" s="316">
        <v>5336388</v>
      </c>
    </row>
    <row r="43" spans="1:4" x14ac:dyDescent="0.2">
      <c r="A43" s="315" t="s">
        <v>91</v>
      </c>
      <c r="B43" s="316">
        <v>61189904.520000003</v>
      </c>
      <c r="C43" s="316">
        <v>56872504</v>
      </c>
      <c r="D43" s="316">
        <v>49819502</v>
      </c>
    </row>
    <row r="44" spans="1:4" x14ac:dyDescent="0.2">
      <c r="A44" s="315" t="s">
        <v>118</v>
      </c>
      <c r="B44" s="316">
        <v>323910</v>
      </c>
      <c r="C44" s="316"/>
      <c r="D44" s="316"/>
    </row>
    <row r="45" spans="1:4" x14ac:dyDescent="0.2">
      <c r="A45" s="315" t="s">
        <v>119</v>
      </c>
      <c r="B45" s="316">
        <v>5884779.4900000002</v>
      </c>
      <c r="C45" s="316">
        <v>4758013</v>
      </c>
      <c r="D45" s="316">
        <v>1398545</v>
      </c>
    </row>
    <row r="46" spans="1:4" x14ac:dyDescent="0.2">
      <c r="A46" s="313" t="s">
        <v>87</v>
      </c>
      <c r="B46" s="314">
        <f>SUM(B47:B52)</f>
        <v>104377511.93000001</v>
      </c>
      <c r="C46" s="314">
        <f>SUM(C47:C52)</f>
        <v>5244334</v>
      </c>
      <c r="D46" s="314">
        <f>SUM(D47:D52)</f>
        <v>47527307</v>
      </c>
    </row>
    <row r="47" spans="1:4" x14ac:dyDescent="0.2">
      <c r="A47" s="315" t="s">
        <v>117</v>
      </c>
      <c r="B47" s="316"/>
      <c r="C47" s="316"/>
      <c r="D47" s="316"/>
    </row>
    <row r="48" spans="1:4" x14ac:dyDescent="0.2">
      <c r="A48" s="315" t="s">
        <v>120</v>
      </c>
      <c r="B48" s="316"/>
      <c r="C48" s="316"/>
      <c r="D48" s="316"/>
    </row>
    <row r="49" spans="1:4" x14ac:dyDescent="0.2">
      <c r="A49" s="315" t="s">
        <v>96</v>
      </c>
      <c r="B49" s="316">
        <v>104377511.93000001</v>
      </c>
      <c r="C49" s="316">
        <v>5244334</v>
      </c>
      <c r="D49" s="316">
        <v>47527307</v>
      </c>
    </row>
    <row r="50" spans="1:4" x14ac:dyDescent="0.2">
      <c r="A50" s="315" t="s">
        <v>97</v>
      </c>
      <c r="B50" s="316"/>
      <c r="C50" s="316"/>
      <c r="D50" s="316"/>
    </row>
    <row r="51" spans="1:4" x14ac:dyDescent="0.2">
      <c r="A51" s="313" t="s">
        <v>75</v>
      </c>
      <c r="B51" s="314"/>
      <c r="C51" s="314"/>
      <c r="D51" s="314"/>
    </row>
    <row r="52" spans="1:4" x14ac:dyDescent="0.2">
      <c r="A52" s="315" t="s">
        <v>98</v>
      </c>
      <c r="B52" s="316"/>
      <c r="C52" s="316"/>
      <c r="D52" s="316"/>
    </row>
    <row r="53" spans="1:4" s="319" customFormat="1" ht="18" customHeight="1" x14ac:dyDescent="0.2">
      <c r="A53" s="320" t="s">
        <v>311</v>
      </c>
      <c r="B53" s="318">
        <f>+B46+B39</f>
        <v>355466141.74000001</v>
      </c>
      <c r="C53" s="318">
        <f t="shared" ref="C53:D53" si="5">+C46+C39</f>
        <v>256298406</v>
      </c>
      <c r="D53" s="318">
        <f t="shared" si="5"/>
        <v>285491614</v>
      </c>
    </row>
    <row r="54" spans="1:4" x14ac:dyDescent="0.2">
      <c r="A54" s="321"/>
    </row>
    <row r="55" spans="1:4" x14ac:dyDescent="0.2">
      <c r="A55" s="309" t="s">
        <v>475</v>
      </c>
    </row>
    <row r="56" spans="1:4" s="312" customFormat="1" ht="28.35" customHeight="1" x14ac:dyDescent="0.2">
      <c r="A56" s="310" t="s">
        <v>314</v>
      </c>
      <c r="B56" s="311">
        <v>2020</v>
      </c>
      <c r="C56" s="311">
        <v>2021</v>
      </c>
      <c r="D56" s="311">
        <v>2022</v>
      </c>
    </row>
    <row r="57" spans="1:4" x14ac:dyDescent="0.2">
      <c r="A57" s="313" t="s">
        <v>99</v>
      </c>
      <c r="B57" s="314">
        <f>SUM(B58:B63)</f>
        <v>10903497</v>
      </c>
      <c r="C57" s="314">
        <f t="shared" ref="C57:D57" si="6">SUM(C58:C63)</f>
        <v>9550576</v>
      </c>
      <c r="D57" s="314">
        <f t="shared" si="6"/>
        <v>7678986</v>
      </c>
    </row>
    <row r="58" spans="1:4" x14ac:dyDescent="0.2">
      <c r="A58" s="315" t="s">
        <v>88</v>
      </c>
      <c r="B58" s="316"/>
      <c r="C58" s="316"/>
      <c r="D58" s="316"/>
    </row>
    <row r="59" spans="1:4" x14ac:dyDescent="0.2">
      <c r="A59" s="315" t="s">
        <v>89</v>
      </c>
      <c r="B59" s="316"/>
      <c r="C59" s="316"/>
      <c r="D59" s="316"/>
    </row>
    <row r="60" spans="1:4" x14ac:dyDescent="0.2">
      <c r="A60" s="315" t="s">
        <v>90</v>
      </c>
      <c r="B60" s="316"/>
      <c r="C60" s="316"/>
      <c r="D60" s="316"/>
    </row>
    <row r="61" spans="1:4" x14ac:dyDescent="0.2">
      <c r="A61" s="315" t="s">
        <v>91</v>
      </c>
      <c r="B61" s="316">
        <v>10893469</v>
      </c>
      <c r="C61" s="316">
        <v>9540548</v>
      </c>
      <c r="D61" s="316">
        <v>7678986</v>
      </c>
    </row>
    <row r="62" spans="1:4" x14ac:dyDescent="0.2">
      <c r="A62" s="315" t="s">
        <v>118</v>
      </c>
      <c r="B62" s="316"/>
      <c r="C62" s="316"/>
      <c r="D62" s="316"/>
    </row>
    <row r="63" spans="1:4" x14ac:dyDescent="0.2">
      <c r="A63" s="315" t="s">
        <v>119</v>
      </c>
      <c r="B63" s="316">
        <v>10028</v>
      </c>
      <c r="C63" s="316">
        <v>10028</v>
      </c>
      <c r="D63" s="316"/>
    </row>
    <row r="64" spans="1:4" x14ac:dyDescent="0.2">
      <c r="A64" s="313" t="s">
        <v>87</v>
      </c>
      <c r="B64" s="314">
        <f>SUM(B65:B68)</f>
        <v>470031</v>
      </c>
      <c r="C64" s="314">
        <f t="shared" ref="C64:D64" si="7">SUM(C65:C68)</f>
        <v>0</v>
      </c>
      <c r="D64" s="314">
        <f t="shared" si="7"/>
        <v>0</v>
      </c>
    </row>
    <row r="65" spans="1:4" x14ac:dyDescent="0.2">
      <c r="A65" s="315" t="s">
        <v>117</v>
      </c>
      <c r="B65" s="316"/>
      <c r="C65" s="316"/>
      <c r="D65" s="316"/>
    </row>
    <row r="66" spans="1:4" x14ac:dyDescent="0.2">
      <c r="A66" s="315" t="s">
        <v>120</v>
      </c>
      <c r="B66" s="316"/>
      <c r="C66" s="316"/>
      <c r="D66" s="316"/>
    </row>
    <row r="67" spans="1:4" x14ac:dyDescent="0.2">
      <c r="A67" s="315" t="s">
        <v>96</v>
      </c>
      <c r="B67" s="316">
        <v>470031</v>
      </c>
      <c r="C67" s="316"/>
      <c r="D67" s="316"/>
    </row>
    <row r="68" spans="1:4" x14ac:dyDescent="0.2">
      <c r="A68" s="315" t="s">
        <v>97</v>
      </c>
      <c r="B68" s="316"/>
      <c r="C68" s="316"/>
      <c r="D68" s="316"/>
    </row>
    <row r="69" spans="1:4" x14ac:dyDescent="0.2">
      <c r="A69" s="313" t="s">
        <v>75</v>
      </c>
      <c r="B69" s="314">
        <f>+B70</f>
        <v>0</v>
      </c>
      <c r="C69" s="314">
        <f t="shared" ref="C69:D69" si="8">+C70</f>
        <v>0</v>
      </c>
      <c r="D69" s="314">
        <f t="shared" si="8"/>
        <v>0</v>
      </c>
    </row>
    <row r="70" spans="1:4" x14ac:dyDescent="0.2">
      <c r="A70" s="315" t="s">
        <v>98</v>
      </c>
      <c r="B70" s="316"/>
      <c r="C70" s="316"/>
      <c r="D70" s="316"/>
    </row>
    <row r="71" spans="1:4" s="319" customFormat="1" ht="18" customHeight="1" x14ac:dyDescent="0.2">
      <c r="A71" s="317" t="s">
        <v>309</v>
      </c>
      <c r="B71" s="318">
        <f>+B69+B64+B57</f>
        <v>11373528</v>
      </c>
      <c r="C71" s="318">
        <f t="shared" ref="C71:D71" si="9">+C69+C64+C57</f>
        <v>9550576</v>
      </c>
      <c r="D71" s="318">
        <f t="shared" si="9"/>
        <v>7678986</v>
      </c>
    </row>
    <row r="73" spans="1:4" s="312" customFormat="1" ht="28.35" customHeight="1" x14ac:dyDescent="0.2">
      <c r="A73" s="310" t="s">
        <v>313</v>
      </c>
      <c r="B73" s="311">
        <v>2020</v>
      </c>
      <c r="C73" s="311">
        <v>2021</v>
      </c>
      <c r="D73" s="311">
        <v>2022</v>
      </c>
    </row>
    <row r="74" spans="1:4" x14ac:dyDescent="0.2">
      <c r="A74" s="313" t="s">
        <v>99</v>
      </c>
      <c r="B74" s="314">
        <f>SUM(B75:B80)</f>
        <v>12705200</v>
      </c>
      <c r="C74" s="314">
        <f>SUM(C75:C80)</f>
        <v>10733893</v>
      </c>
      <c r="D74" s="314">
        <f>SUM(D75:D80)</f>
        <v>7678986</v>
      </c>
    </row>
    <row r="75" spans="1:4" x14ac:dyDescent="0.2">
      <c r="A75" s="315" t="s">
        <v>88</v>
      </c>
      <c r="B75" s="316"/>
      <c r="C75" s="316"/>
      <c r="D75" s="316"/>
    </row>
    <row r="76" spans="1:4" x14ac:dyDescent="0.2">
      <c r="A76" s="315" t="s">
        <v>89</v>
      </c>
      <c r="B76" s="316"/>
      <c r="C76" s="316"/>
      <c r="D76" s="316"/>
    </row>
    <row r="77" spans="1:4" x14ac:dyDescent="0.2">
      <c r="A77" s="315" t="s">
        <v>90</v>
      </c>
      <c r="B77" s="316"/>
      <c r="C77" s="316"/>
      <c r="D77" s="316"/>
    </row>
    <row r="78" spans="1:4" x14ac:dyDescent="0.2">
      <c r="A78" s="315" t="s">
        <v>91</v>
      </c>
      <c r="B78" s="316">
        <v>12668012</v>
      </c>
      <c r="C78" s="316">
        <v>10700205</v>
      </c>
      <c r="D78" s="316">
        <v>7678986</v>
      </c>
    </row>
    <row r="79" spans="1:4" x14ac:dyDescent="0.2">
      <c r="A79" s="315" t="s">
        <v>118</v>
      </c>
      <c r="B79" s="316"/>
      <c r="C79" s="316"/>
      <c r="D79" s="316"/>
    </row>
    <row r="80" spans="1:4" x14ac:dyDescent="0.2">
      <c r="A80" s="315" t="s">
        <v>119</v>
      </c>
      <c r="B80" s="316">
        <v>37188</v>
      </c>
      <c r="C80" s="316">
        <v>33688</v>
      </c>
      <c r="D80" s="316"/>
    </row>
    <row r="81" spans="1:4" x14ac:dyDescent="0.2">
      <c r="A81" s="313" t="s">
        <v>87</v>
      </c>
      <c r="B81" s="314">
        <f>SUM(B82:B85)</f>
        <v>739629</v>
      </c>
      <c r="C81" s="314">
        <f>SUM(C82:C85)</f>
        <v>543248</v>
      </c>
      <c r="D81" s="314">
        <f>SUM(D82:D85)</f>
        <v>0</v>
      </c>
    </row>
    <row r="82" spans="1:4" x14ac:dyDescent="0.2">
      <c r="A82" s="315" t="s">
        <v>117</v>
      </c>
      <c r="B82" s="316"/>
      <c r="C82" s="316"/>
      <c r="D82" s="316"/>
    </row>
    <row r="83" spans="1:4" x14ac:dyDescent="0.2">
      <c r="A83" s="315" t="s">
        <v>120</v>
      </c>
      <c r="B83" s="316"/>
      <c r="C83" s="316"/>
      <c r="D83" s="316"/>
    </row>
    <row r="84" spans="1:4" x14ac:dyDescent="0.2">
      <c r="A84" s="315" t="s">
        <v>96</v>
      </c>
      <c r="B84" s="316">
        <v>739629</v>
      </c>
      <c r="C84" s="316">
        <v>543248</v>
      </c>
      <c r="D84" s="316"/>
    </row>
    <row r="85" spans="1:4" x14ac:dyDescent="0.2">
      <c r="A85" s="315" t="s">
        <v>97</v>
      </c>
      <c r="B85" s="316"/>
      <c r="C85" s="316"/>
      <c r="D85" s="316"/>
    </row>
    <row r="86" spans="1:4" x14ac:dyDescent="0.2">
      <c r="A86" s="313" t="s">
        <v>75</v>
      </c>
      <c r="B86" s="314"/>
      <c r="C86" s="314"/>
      <c r="D86" s="314"/>
    </row>
    <row r="87" spans="1:4" x14ac:dyDescent="0.2">
      <c r="A87" s="315" t="s">
        <v>98</v>
      </c>
      <c r="B87" s="316"/>
      <c r="C87" s="316"/>
      <c r="D87" s="316"/>
    </row>
    <row r="88" spans="1:4" s="319" customFormat="1" ht="18" customHeight="1" x14ac:dyDescent="0.2">
      <c r="A88" s="317" t="s">
        <v>310</v>
      </c>
      <c r="B88" s="318">
        <f>+B81+B74</f>
        <v>13444829</v>
      </c>
      <c r="C88" s="318">
        <f t="shared" ref="C88:D88" si="10">+C81+C74</f>
        <v>11277141</v>
      </c>
      <c r="D88" s="318">
        <f t="shared" si="10"/>
        <v>7678986</v>
      </c>
    </row>
    <row r="90" spans="1:4" s="312" customFormat="1" ht="28.35" customHeight="1" x14ac:dyDescent="0.2">
      <c r="A90" s="310" t="s">
        <v>312</v>
      </c>
      <c r="B90" s="311">
        <v>2020</v>
      </c>
      <c r="C90" s="311">
        <v>2021</v>
      </c>
      <c r="D90" s="311">
        <v>2022</v>
      </c>
    </row>
    <row r="91" spans="1:4" x14ac:dyDescent="0.2">
      <c r="A91" s="313" t="s">
        <v>99</v>
      </c>
      <c r="B91" s="314">
        <f>SUM(B92:B97)</f>
        <v>8626361.2400000002</v>
      </c>
      <c r="C91" s="314">
        <f>SUM(C92:C97)</f>
        <v>10733893</v>
      </c>
      <c r="D91" s="314">
        <f>SUM(D92:D97)</f>
        <v>7678986</v>
      </c>
    </row>
    <row r="92" spans="1:4" x14ac:dyDescent="0.2">
      <c r="A92" s="315" t="s">
        <v>88</v>
      </c>
      <c r="B92" s="316"/>
      <c r="C92" s="316"/>
      <c r="D92" s="316"/>
    </row>
    <row r="93" spans="1:4" x14ac:dyDescent="0.2">
      <c r="A93" s="315" t="s">
        <v>89</v>
      </c>
      <c r="B93" s="316"/>
      <c r="C93" s="316"/>
      <c r="D93" s="316"/>
    </row>
    <row r="94" spans="1:4" x14ac:dyDescent="0.2">
      <c r="A94" s="315" t="s">
        <v>90</v>
      </c>
      <c r="B94" s="316"/>
      <c r="C94" s="316"/>
      <c r="D94" s="316"/>
    </row>
    <row r="95" spans="1:4" x14ac:dyDescent="0.2">
      <c r="A95" s="315" t="s">
        <v>91</v>
      </c>
      <c r="B95" s="316">
        <v>8593824.2400000002</v>
      </c>
      <c r="C95" s="316">
        <v>10700205</v>
      </c>
      <c r="D95" s="316">
        <v>7678986</v>
      </c>
    </row>
    <row r="96" spans="1:4" x14ac:dyDescent="0.2">
      <c r="A96" s="315" t="s">
        <v>118</v>
      </c>
      <c r="B96" s="316"/>
      <c r="C96" s="316"/>
      <c r="D96" s="316"/>
    </row>
    <row r="97" spans="1:4" x14ac:dyDescent="0.2">
      <c r="A97" s="315" t="s">
        <v>119</v>
      </c>
      <c r="B97" s="316">
        <v>32537</v>
      </c>
      <c r="C97" s="316">
        <v>33688</v>
      </c>
      <c r="D97" s="316"/>
    </row>
    <row r="98" spans="1:4" x14ac:dyDescent="0.2">
      <c r="A98" s="313" t="s">
        <v>87</v>
      </c>
      <c r="B98" s="314">
        <f>SUM(B99:B104)</f>
        <v>337195.06</v>
      </c>
      <c r="C98" s="314">
        <f>SUM(C99:C104)</f>
        <v>543248</v>
      </c>
      <c r="D98" s="314">
        <f>SUM(D99:D104)</f>
        <v>0</v>
      </c>
    </row>
    <row r="99" spans="1:4" x14ac:dyDescent="0.2">
      <c r="A99" s="315" t="s">
        <v>117</v>
      </c>
      <c r="B99" s="316"/>
      <c r="C99" s="316"/>
      <c r="D99" s="316"/>
    </row>
    <row r="100" spans="1:4" x14ac:dyDescent="0.2">
      <c r="A100" s="315" t="s">
        <v>120</v>
      </c>
      <c r="B100" s="316"/>
      <c r="C100" s="316"/>
      <c r="D100" s="316"/>
    </row>
    <row r="101" spans="1:4" x14ac:dyDescent="0.2">
      <c r="A101" s="315" t="s">
        <v>96</v>
      </c>
      <c r="B101" s="316">
        <v>337195.06</v>
      </c>
      <c r="C101" s="316">
        <v>543248</v>
      </c>
      <c r="D101" s="316"/>
    </row>
    <row r="102" spans="1:4" x14ac:dyDescent="0.2">
      <c r="A102" s="315" t="s">
        <v>97</v>
      </c>
      <c r="B102" s="316"/>
      <c r="C102" s="316"/>
      <c r="D102" s="316"/>
    </row>
    <row r="103" spans="1:4" x14ac:dyDescent="0.2">
      <c r="A103" s="313" t="s">
        <v>75</v>
      </c>
      <c r="B103" s="314"/>
      <c r="C103" s="314"/>
      <c r="D103" s="314"/>
    </row>
    <row r="104" spans="1:4" x14ac:dyDescent="0.2">
      <c r="A104" s="315" t="s">
        <v>98</v>
      </c>
      <c r="B104" s="316"/>
      <c r="C104" s="316"/>
      <c r="D104" s="316"/>
    </row>
    <row r="105" spans="1:4" s="319" customFormat="1" ht="18" customHeight="1" x14ac:dyDescent="0.2">
      <c r="A105" s="317" t="s">
        <v>311</v>
      </c>
      <c r="B105" s="318">
        <f>+B98+B91</f>
        <v>8963556.3000000007</v>
      </c>
      <c r="C105" s="318">
        <f t="shared" ref="C105:D105" si="11">+C98+C91</f>
        <v>11277141</v>
      </c>
      <c r="D105" s="318">
        <f t="shared" si="11"/>
        <v>7678986</v>
      </c>
    </row>
    <row r="109" spans="1:4" x14ac:dyDescent="0.2">
      <c r="A109" s="309" t="s">
        <v>476</v>
      </c>
    </row>
    <row r="110" spans="1:4" s="312" customFormat="1" ht="28.35" customHeight="1" x14ac:dyDescent="0.2">
      <c r="A110" s="310" t="s">
        <v>314</v>
      </c>
      <c r="B110" s="311">
        <v>2020</v>
      </c>
      <c r="C110" s="311">
        <v>2021</v>
      </c>
      <c r="D110" s="311">
        <v>2022</v>
      </c>
    </row>
    <row r="111" spans="1:4" x14ac:dyDescent="0.2">
      <c r="A111" s="313" t="s">
        <v>99</v>
      </c>
      <c r="B111" s="314">
        <f>SUM(B112:B117)</f>
        <v>400356</v>
      </c>
      <c r="C111" s="314">
        <f t="shared" ref="C111:D111" si="12">SUM(C112:C117)</f>
        <v>50000</v>
      </c>
      <c r="D111" s="314">
        <f t="shared" si="12"/>
        <v>52400</v>
      </c>
    </row>
    <row r="112" spans="1:4" x14ac:dyDescent="0.2">
      <c r="A112" s="315" t="s">
        <v>88</v>
      </c>
      <c r="B112" s="316"/>
      <c r="C112" s="316"/>
      <c r="D112" s="316"/>
    </row>
    <row r="113" spans="1:4" x14ac:dyDescent="0.2">
      <c r="A113" s="315" t="s">
        <v>89</v>
      </c>
      <c r="B113" s="316"/>
      <c r="C113" s="316"/>
      <c r="D113" s="316"/>
    </row>
    <row r="114" spans="1:4" x14ac:dyDescent="0.2">
      <c r="A114" s="315" t="s">
        <v>90</v>
      </c>
      <c r="B114" s="316"/>
      <c r="C114" s="316"/>
      <c r="D114" s="316"/>
    </row>
    <row r="115" spans="1:4" x14ac:dyDescent="0.2">
      <c r="A115" s="315" t="s">
        <v>91</v>
      </c>
      <c r="B115" s="316">
        <v>400356</v>
      </c>
      <c r="C115" s="316">
        <v>50000</v>
      </c>
      <c r="D115" s="316">
        <v>52400</v>
      </c>
    </row>
    <row r="116" spans="1:4" x14ac:dyDescent="0.2">
      <c r="A116" s="315" t="s">
        <v>118</v>
      </c>
      <c r="B116" s="316"/>
      <c r="C116" s="316"/>
      <c r="D116" s="316"/>
    </row>
    <row r="117" spans="1:4" x14ac:dyDescent="0.2">
      <c r="A117" s="315" t="s">
        <v>119</v>
      </c>
      <c r="B117" s="316"/>
      <c r="C117" s="316"/>
      <c r="D117" s="316"/>
    </row>
    <row r="118" spans="1:4" x14ac:dyDescent="0.2">
      <c r="A118" s="313" t="s">
        <v>87</v>
      </c>
      <c r="B118" s="314">
        <f>SUM(B119:B122)</f>
        <v>0</v>
      </c>
      <c r="C118" s="314">
        <f t="shared" ref="C118:D118" si="13">SUM(C119:C122)</f>
        <v>0</v>
      </c>
      <c r="D118" s="314">
        <f t="shared" si="13"/>
        <v>0</v>
      </c>
    </row>
    <row r="119" spans="1:4" x14ac:dyDescent="0.2">
      <c r="A119" s="315" t="s">
        <v>117</v>
      </c>
      <c r="B119" s="316"/>
      <c r="C119" s="316"/>
      <c r="D119" s="316"/>
    </row>
    <row r="120" spans="1:4" x14ac:dyDescent="0.2">
      <c r="A120" s="315" t="s">
        <v>120</v>
      </c>
      <c r="B120" s="316"/>
      <c r="C120" s="316"/>
      <c r="D120" s="316"/>
    </row>
    <row r="121" spans="1:4" x14ac:dyDescent="0.2">
      <c r="A121" s="315" t="s">
        <v>96</v>
      </c>
      <c r="B121" s="316"/>
      <c r="C121" s="316"/>
      <c r="D121" s="316"/>
    </row>
    <row r="122" spans="1:4" x14ac:dyDescent="0.2">
      <c r="A122" s="315" t="s">
        <v>97</v>
      </c>
      <c r="B122" s="316"/>
      <c r="C122" s="316"/>
      <c r="D122" s="316"/>
    </row>
    <row r="123" spans="1:4" x14ac:dyDescent="0.2">
      <c r="A123" s="313" t="s">
        <v>75</v>
      </c>
      <c r="B123" s="314">
        <f>+B124</f>
        <v>0</v>
      </c>
      <c r="C123" s="314">
        <f t="shared" ref="C123:D123" si="14">+C124</f>
        <v>0</v>
      </c>
      <c r="D123" s="314">
        <f t="shared" si="14"/>
        <v>0</v>
      </c>
    </row>
    <row r="124" spans="1:4" x14ac:dyDescent="0.2">
      <c r="A124" s="315" t="s">
        <v>98</v>
      </c>
      <c r="B124" s="316"/>
      <c r="C124" s="316"/>
      <c r="D124" s="316"/>
    </row>
    <row r="125" spans="1:4" s="319" customFormat="1" ht="18" customHeight="1" x14ac:dyDescent="0.2">
      <c r="A125" s="317" t="s">
        <v>309</v>
      </c>
      <c r="B125" s="318">
        <f>+B123+B118+B111</f>
        <v>400356</v>
      </c>
      <c r="C125" s="318">
        <f t="shared" ref="C125:D125" si="15">+C123+C118+C111</f>
        <v>50000</v>
      </c>
      <c r="D125" s="318">
        <f t="shared" si="15"/>
        <v>52400</v>
      </c>
    </row>
    <row r="127" spans="1:4" s="312" customFormat="1" ht="28.35" customHeight="1" x14ac:dyDescent="0.2">
      <c r="A127" s="310" t="s">
        <v>313</v>
      </c>
      <c r="B127" s="311">
        <v>2020</v>
      </c>
      <c r="C127" s="311">
        <v>2021</v>
      </c>
      <c r="D127" s="311">
        <v>2022</v>
      </c>
    </row>
    <row r="128" spans="1:4" x14ac:dyDescent="0.2">
      <c r="A128" s="313" t="s">
        <v>99</v>
      </c>
      <c r="B128" s="314">
        <f>SUM(B129:B134)</f>
        <v>15927499</v>
      </c>
      <c r="C128" s="314">
        <f>SUM(C129:C134)</f>
        <v>11096961</v>
      </c>
      <c r="D128" s="314">
        <f>SUM(D129:D134)</f>
        <v>52400</v>
      </c>
    </row>
    <row r="129" spans="1:4" x14ac:dyDescent="0.2">
      <c r="A129" s="315" t="s">
        <v>88</v>
      </c>
      <c r="B129" s="316"/>
      <c r="C129" s="316"/>
      <c r="D129" s="316"/>
    </row>
    <row r="130" spans="1:4" x14ac:dyDescent="0.2">
      <c r="A130" s="315" t="s">
        <v>89</v>
      </c>
      <c r="B130" s="316"/>
      <c r="C130" s="316"/>
      <c r="D130" s="316"/>
    </row>
    <row r="131" spans="1:4" x14ac:dyDescent="0.2">
      <c r="A131" s="315" t="s">
        <v>90</v>
      </c>
      <c r="B131" s="316">
        <v>1800</v>
      </c>
      <c r="C131" s="316"/>
      <c r="D131" s="316"/>
    </row>
    <row r="132" spans="1:4" x14ac:dyDescent="0.2">
      <c r="A132" s="315" t="s">
        <v>91</v>
      </c>
      <c r="B132" s="316">
        <v>15645043</v>
      </c>
      <c r="C132" s="316">
        <v>10901244</v>
      </c>
      <c r="D132" s="316">
        <v>52400</v>
      </c>
    </row>
    <row r="133" spans="1:4" x14ac:dyDescent="0.2">
      <c r="A133" s="315" t="s">
        <v>118</v>
      </c>
      <c r="B133" s="316"/>
      <c r="C133" s="316"/>
      <c r="D133" s="316"/>
    </row>
    <row r="134" spans="1:4" x14ac:dyDescent="0.2">
      <c r="A134" s="315" t="s">
        <v>119</v>
      </c>
      <c r="B134" s="316">
        <v>280656</v>
      </c>
      <c r="C134" s="316">
        <v>195717</v>
      </c>
      <c r="D134" s="316"/>
    </row>
    <row r="135" spans="1:4" x14ac:dyDescent="0.2">
      <c r="A135" s="313" t="s">
        <v>87</v>
      </c>
      <c r="B135" s="314">
        <f>SUM(B136:B139)</f>
        <v>3402469</v>
      </c>
      <c r="C135" s="314">
        <f>SUM(C136:C139)</f>
        <v>2057515</v>
      </c>
      <c r="D135" s="314">
        <f>SUM(D136:D139)</f>
        <v>0</v>
      </c>
    </row>
    <row r="136" spans="1:4" x14ac:dyDescent="0.2">
      <c r="A136" s="315" t="s">
        <v>117</v>
      </c>
      <c r="B136" s="316"/>
      <c r="C136" s="316"/>
      <c r="D136" s="316"/>
    </row>
    <row r="137" spans="1:4" x14ac:dyDescent="0.2">
      <c r="A137" s="315" t="s">
        <v>120</v>
      </c>
      <c r="B137" s="316"/>
      <c r="C137" s="316"/>
      <c r="D137" s="316"/>
    </row>
    <row r="138" spans="1:4" x14ac:dyDescent="0.2">
      <c r="A138" s="315" t="s">
        <v>96</v>
      </c>
      <c r="B138" s="316">
        <v>3402469</v>
      </c>
      <c r="C138" s="316">
        <v>2057515</v>
      </c>
      <c r="D138" s="316"/>
    </row>
    <row r="139" spans="1:4" x14ac:dyDescent="0.2">
      <c r="A139" s="315" t="s">
        <v>97</v>
      </c>
      <c r="B139" s="316"/>
      <c r="C139" s="316"/>
      <c r="D139" s="316"/>
    </row>
    <row r="140" spans="1:4" x14ac:dyDescent="0.2">
      <c r="A140" s="313" t="s">
        <v>75</v>
      </c>
      <c r="B140" s="314"/>
      <c r="C140" s="314"/>
      <c r="D140" s="314"/>
    </row>
    <row r="141" spans="1:4" x14ac:dyDescent="0.2">
      <c r="A141" s="315" t="s">
        <v>98</v>
      </c>
      <c r="B141" s="316"/>
      <c r="C141" s="316"/>
      <c r="D141" s="316"/>
    </row>
    <row r="142" spans="1:4" s="319" customFormat="1" ht="18" customHeight="1" x14ac:dyDescent="0.2">
      <c r="A142" s="317" t="s">
        <v>310</v>
      </c>
      <c r="B142" s="318">
        <f>+B135+B128</f>
        <v>19329968</v>
      </c>
      <c r="C142" s="318">
        <f t="shared" ref="C142:D142" si="16">+C135+C128</f>
        <v>13154476</v>
      </c>
      <c r="D142" s="318">
        <f t="shared" si="16"/>
        <v>52400</v>
      </c>
    </row>
    <row r="144" spans="1:4" s="312" customFormat="1" ht="28.35" customHeight="1" x14ac:dyDescent="0.2">
      <c r="A144" s="310" t="s">
        <v>312</v>
      </c>
      <c r="B144" s="311">
        <v>2020</v>
      </c>
      <c r="C144" s="311">
        <v>2021</v>
      </c>
      <c r="D144" s="311">
        <v>2022</v>
      </c>
    </row>
    <row r="145" spans="1:4" x14ac:dyDescent="0.2">
      <c r="A145" s="313" t="s">
        <v>99</v>
      </c>
      <c r="B145" s="314">
        <f>SUM(B146:B151)</f>
        <v>12894830.24</v>
      </c>
      <c r="C145" s="314">
        <f>SUM(C146:C151)</f>
        <v>11096961</v>
      </c>
      <c r="D145" s="314">
        <f>SUM(D146:D151)</f>
        <v>52400</v>
      </c>
    </row>
    <row r="146" spans="1:4" x14ac:dyDescent="0.2">
      <c r="A146" s="315" t="s">
        <v>88</v>
      </c>
      <c r="B146" s="316"/>
      <c r="C146" s="316"/>
      <c r="D146" s="316"/>
    </row>
    <row r="147" spans="1:4" x14ac:dyDescent="0.2">
      <c r="A147" s="315" t="s">
        <v>89</v>
      </c>
      <c r="B147" s="316"/>
      <c r="C147" s="316"/>
      <c r="D147" s="316"/>
    </row>
    <row r="148" spans="1:4" x14ac:dyDescent="0.2">
      <c r="A148" s="315" t="s">
        <v>90</v>
      </c>
      <c r="B148" s="316">
        <v>470.07</v>
      </c>
      <c r="C148" s="316"/>
      <c r="D148" s="316"/>
    </row>
    <row r="149" spans="1:4" x14ac:dyDescent="0.2">
      <c r="A149" s="315" t="s">
        <v>91</v>
      </c>
      <c r="B149" s="316">
        <v>12613704.17</v>
      </c>
      <c r="C149" s="316">
        <v>10901244</v>
      </c>
      <c r="D149" s="316">
        <v>52400</v>
      </c>
    </row>
    <row r="150" spans="1:4" x14ac:dyDescent="0.2">
      <c r="A150" s="315" t="s">
        <v>118</v>
      </c>
      <c r="B150" s="316"/>
      <c r="C150" s="316"/>
      <c r="D150" s="316"/>
    </row>
    <row r="151" spans="1:4" x14ac:dyDescent="0.2">
      <c r="A151" s="315" t="s">
        <v>119</v>
      </c>
      <c r="B151" s="316">
        <v>280656</v>
      </c>
      <c r="C151" s="316">
        <v>195717</v>
      </c>
      <c r="D151" s="316"/>
    </row>
    <row r="152" spans="1:4" x14ac:dyDescent="0.2">
      <c r="A152" s="313" t="s">
        <v>87</v>
      </c>
      <c r="B152" s="314">
        <f>SUM(B153:B158)</f>
        <v>1697275.48</v>
      </c>
      <c r="C152" s="314">
        <f>SUM(C153:C158)</f>
        <v>2057515</v>
      </c>
      <c r="D152" s="314">
        <f>SUM(D153:D158)</f>
        <v>0</v>
      </c>
    </row>
    <row r="153" spans="1:4" x14ac:dyDescent="0.2">
      <c r="A153" s="315" t="s">
        <v>117</v>
      </c>
      <c r="B153" s="316"/>
      <c r="C153" s="316"/>
      <c r="D153" s="316"/>
    </row>
    <row r="154" spans="1:4" x14ac:dyDescent="0.2">
      <c r="A154" s="315" t="s">
        <v>120</v>
      </c>
      <c r="B154" s="316"/>
      <c r="C154" s="316"/>
      <c r="D154" s="316"/>
    </row>
    <row r="155" spans="1:4" x14ac:dyDescent="0.2">
      <c r="A155" s="315" t="s">
        <v>96</v>
      </c>
      <c r="B155" s="316">
        <v>1697275.48</v>
      </c>
      <c r="C155" s="316">
        <v>2057515</v>
      </c>
      <c r="D155" s="316"/>
    </row>
    <row r="156" spans="1:4" x14ac:dyDescent="0.2">
      <c r="A156" s="315" t="s">
        <v>97</v>
      </c>
      <c r="B156" s="316"/>
      <c r="C156" s="316"/>
      <c r="D156" s="316"/>
    </row>
    <row r="157" spans="1:4" x14ac:dyDescent="0.2">
      <c r="A157" s="313" t="s">
        <v>75</v>
      </c>
      <c r="B157" s="314"/>
      <c r="C157" s="314"/>
      <c r="D157" s="314"/>
    </row>
    <row r="158" spans="1:4" x14ac:dyDescent="0.2">
      <c r="A158" s="315" t="s">
        <v>98</v>
      </c>
      <c r="B158" s="316"/>
      <c r="C158" s="316"/>
      <c r="D158" s="316"/>
    </row>
    <row r="159" spans="1:4" s="319" customFormat="1" ht="18" customHeight="1" x14ac:dyDescent="0.2">
      <c r="A159" s="317" t="s">
        <v>311</v>
      </c>
      <c r="B159" s="318">
        <f>+B152+B145</f>
        <v>14592105.720000001</v>
      </c>
      <c r="C159" s="318">
        <f t="shared" ref="C159:D159" si="17">+C152+C145</f>
        <v>13154476</v>
      </c>
      <c r="D159" s="318">
        <f t="shared" si="17"/>
        <v>52400</v>
      </c>
    </row>
    <row r="163" spans="1:4" x14ac:dyDescent="0.2">
      <c r="A163" s="309" t="s">
        <v>477</v>
      </c>
    </row>
    <row r="164" spans="1:4" s="312" customFormat="1" ht="28.35" customHeight="1" x14ac:dyDescent="0.2">
      <c r="A164" s="310" t="s">
        <v>314</v>
      </c>
      <c r="B164" s="311">
        <v>2020</v>
      </c>
      <c r="C164" s="311">
        <v>2021</v>
      </c>
      <c r="D164" s="311">
        <v>2022</v>
      </c>
    </row>
    <row r="165" spans="1:4" x14ac:dyDescent="0.2">
      <c r="A165" s="313" t="s">
        <v>99</v>
      </c>
      <c r="B165" s="314">
        <f>SUM(B166:B171)</f>
        <v>1537747</v>
      </c>
      <c r="C165" s="314">
        <f t="shared" ref="C165:D165" si="18">SUM(C166:C171)</f>
        <v>962003</v>
      </c>
      <c r="D165" s="314">
        <f t="shared" si="18"/>
        <v>6214692</v>
      </c>
    </row>
    <row r="166" spans="1:4" x14ac:dyDescent="0.2">
      <c r="A166" s="315" t="s">
        <v>88</v>
      </c>
      <c r="B166" s="316"/>
      <c r="C166" s="316"/>
      <c r="D166" s="316"/>
    </row>
    <row r="167" spans="1:4" x14ac:dyDescent="0.2">
      <c r="A167" s="315" t="s">
        <v>89</v>
      </c>
      <c r="B167" s="316"/>
      <c r="C167" s="316"/>
      <c r="D167" s="316"/>
    </row>
    <row r="168" spans="1:4" x14ac:dyDescent="0.2">
      <c r="A168" s="315" t="s">
        <v>90</v>
      </c>
      <c r="B168" s="316"/>
      <c r="C168" s="316"/>
      <c r="D168" s="316"/>
    </row>
    <row r="169" spans="1:4" x14ac:dyDescent="0.2">
      <c r="A169" s="315" t="s">
        <v>91</v>
      </c>
      <c r="B169" s="316">
        <v>1537747</v>
      </c>
      <c r="C169" s="316">
        <v>962003</v>
      </c>
      <c r="D169" s="316">
        <v>6214692</v>
      </c>
    </row>
    <row r="170" spans="1:4" x14ac:dyDescent="0.2">
      <c r="A170" s="315" t="s">
        <v>118</v>
      </c>
      <c r="B170" s="316"/>
      <c r="C170" s="316"/>
      <c r="D170" s="316"/>
    </row>
    <row r="171" spans="1:4" x14ac:dyDescent="0.2">
      <c r="A171" s="315" t="s">
        <v>119</v>
      </c>
      <c r="B171" s="316"/>
      <c r="C171" s="316"/>
      <c r="D171" s="316"/>
    </row>
    <row r="172" spans="1:4" x14ac:dyDescent="0.2">
      <c r="A172" s="313" t="s">
        <v>87</v>
      </c>
      <c r="B172" s="314">
        <f>SUM(B173:B176)</f>
        <v>15180510</v>
      </c>
      <c r="C172" s="314">
        <f t="shared" ref="C172:D172" si="19">SUM(C173:C176)</f>
        <v>18866463</v>
      </c>
      <c r="D172" s="314">
        <f t="shared" si="19"/>
        <v>73863100</v>
      </c>
    </row>
    <row r="173" spans="1:4" x14ac:dyDescent="0.2">
      <c r="A173" s="315" t="s">
        <v>117</v>
      </c>
      <c r="B173" s="316"/>
      <c r="C173" s="316"/>
      <c r="D173" s="316"/>
    </row>
    <row r="174" spans="1:4" x14ac:dyDescent="0.2">
      <c r="A174" s="315" t="s">
        <v>120</v>
      </c>
      <c r="B174" s="316"/>
      <c r="C174" s="316"/>
      <c r="D174" s="316"/>
    </row>
    <row r="175" spans="1:4" x14ac:dyDescent="0.2">
      <c r="A175" s="315" t="s">
        <v>96</v>
      </c>
      <c r="B175" s="316">
        <v>15180510</v>
      </c>
      <c r="C175" s="316">
        <v>18866463</v>
      </c>
      <c r="D175" s="316">
        <v>73863100</v>
      </c>
    </row>
    <row r="176" spans="1:4" x14ac:dyDescent="0.2">
      <c r="A176" s="315" t="s">
        <v>97</v>
      </c>
      <c r="B176" s="316"/>
      <c r="C176" s="316"/>
      <c r="D176" s="316"/>
    </row>
    <row r="177" spans="1:4" x14ac:dyDescent="0.2">
      <c r="A177" s="313" t="s">
        <v>75</v>
      </c>
      <c r="B177" s="314">
        <f>+B178</f>
        <v>0</v>
      </c>
      <c r="C177" s="314">
        <f t="shared" ref="C177:D177" si="20">+C178</f>
        <v>0</v>
      </c>
      <c r="D177" s="314">
        <f t="shared" si="20"/>
        <v>0</v>
      </c>
    </row>
    <row r="178" spans="1:4" x14ac:dyDescent="0.2">
      <c r="A178" s="315" t="s">
        <v>98</v>
      </c>
      <c r="B178" s="316"/>
      <c r="C178" s="316"/>
      <c r="D178" s="316"/>
    </row>
    <row r="179" spans="1:4" s="319" customFormat="1" ht="18" customHeight="1" x14ac:dyDescent="0.2">
      <c r="A179" s="317" t="s">
        <v>309</v>
      </c>
      <c r="B179" s="318">
        <f>+B177+B172+B165</f>
        <v>16718257</v>
      </c>
      <c r="C179" s="318">
        <f t="shared" ref="C179:D179" si="21">+C177+C172+C165</f>
        <v>19828466</v>
      </c>
      <c r="D179" s="318">
        <f t="shared" si="21"/>
        <v>80077792</v>
      </c>
    </row>
    <row r="181" spans="1:4" s="312" customFormat="1" ht="28.35" customHeight="1" x14ac:dyDescent="0.2">
      <c r="A181" s="310" t="s">
        <v>313</v>
      </c>
      <c r="B181" s="311">
        <v>2020</v>
      </c>
      <c r="C181" s="311">
        <v>2021</v>
      </c>
      <c r="D181" s="311">
        <v>2022</v>
      </c>
    </row>
    <row r="182" spans="1:4" x14ac:dyDescent="0.2">
      <c r="A182" s="313" t="s">
        <v>99</v>
      </c>
      <c r="B182" s="314">
        <f>SUM(B183:B188)</f>
        <v>3635821</v>
      </c>
      <c r="C182" s="314">
        <f>SUM(C183:C188)</f>
        <v>2689009</v>
      </c>
      <c r="D182" s="314">
        <f>SUM(D183:D188)</f>
        <v>6214692</v>
      </c>
    </row>
    <row r="183" spans="1:4" x14ac:dyDescent="0.2">
      <c r="A183" s="315" t="s">
        <v>88</v>
      </c>
      <c r="B183" s="316"/>
      <c r="C183" s="316"/>
      <c r="D183" s="316"/>
    </row>
    <row r="184" spans="1:4" x14ac:dyDescent="0.2">
      <c r="A184" s="315" t="s">
        <v>89</v>
      </c>
      <c r="B184" s="316"/>
      <c r="C184" s="316"/>
      <c r="D184" s="316"/>
    </row>
    <row r="185" spans="1:4" x14ac:dyDescent="0.2">
      <c r="A185" s="315" t="s">
        <v>90</v>
      </c>
      <c r="B185" s="316"/>
      <c r="C185" s="316"/>
      <c r="D185" s="316"/>
    </row>
    <row r="186" spans="1:4" x14ac:dyDescent="0.2">
      <c r="A186" s="315" t="s">
        <v>91</v>
      </c>
      <c r="B186" s="316">
        <v>3635821</v>
      </c>
      <c r="C186" s="316">
        <v>2689009</v>
      </c>
      <c r="D186" s="316">
        <v>6214692</v>
      </c>
    </row>
    <row r="187" spans="1:4" x14ac:dyDescent="0.2">
      <c r="A187" s="315" t="s">
        <v>118</v>
      </c>
      <c r="B187" s="316"/>
      <c r="C187" s="316"/>
      <c r="D187" s="316"/>
    </row>
    <row r="188" spans="1:4" x14ac:dyDescent="0.2">
      <c r="A188" s="315" t="s">
        <v>119</v>
      </c>
      <c r="B188" s="316"/>
      <c r="C188" s="316"/>
      <c r="D188" s="316"/>
    </row>
    <row r="189" spans="1:4" x14ac:dyDescent="0.2">
      <c r="A189" s="313" t="s">
        <v>87</v>
      </c>
      <c r="B189" s="314">
        <f>SUM(B190:B193)</f>
        <v>14818128</v>
      </c>
      <c r="C189" s="314">
        <f>SUM(C190:C193)</f>
        <v>51787418</v>
      </c>
      <c r="D189" s="314">
        <f>SUM(D190:D193)</f>
        <v>73863100</v>
      </c>
    </row>
    <row r="190" spans="1:4" x14ac:dyDescent="0.2">
      <c r="A190" s="315" t="s">
        <v>117</v>
      </c>
      <c r="B190" s="316"/>
      <c r="C190" s="316"/>
      <c r="D190" s="316"/>
    </row>
    <row r="191" spans="1:4" x14ac:dyDescent="0.2">
      <c r="A191" s="315" t="s">
        <v>120</v>
      </c>
      <c r="B191" s="316"/>
      <c r="C191" s="316"/>
      <c r="D191" s="316"/>
    </row>
    <row r="192" spans="1:4" x14ac:dyDescent="0.2">
      <c r="A192" s="315" t="s">
        <v>96</v>
      </c>
      <c r="B192" s="316">
        <v>14818128</v>
      </c>
      <c r="C192" s="316">
        <v>51787418</v>
      </c>
      <c r="D192" s="316">
        <v>73863100</v>
      </c>
    </row>
    <row r="193" spans="1:4" x14ac:dyDescent="0.2">
      <c r="A193" s="315" t="s">
        <v>97</v>
      </c>
      <c r="B193" s="316"/>
      <c r="C193" s="316"/>
      <c r="D193" s="316"/>
    </row>
    <row r="194" spans="1:4" x14ac:dyDescent="0.2">
      <c r="A194" s="313" t="s">
        <v>75</v>
      </c>
      <c r="B194" s="314"/>
      <c r="C194" s="314"/>
      <c r="D194" s="314"/>
    </row>
    <row r="195" spans="1:4" x14ac:dyDescent="0.2">
      <c r="A195" s="315" t="s">
        <v>98</v>
      </c>
      <c r="B195" s="316"/>
      <c r="C195" s="316"/>
      <c r="D195" s="316"/>
    </row>
    <row r="196" spans="1:4" s="319" customFormat="1" ht="18" customHeight="1" x14ac:dyDescent="0.2">
      <c r="A196" s="317" t="s">
        <v>310</v>
      </c>
      <c r="B196" s="318">
        <f>+B189+B182</f>
        <v>18453949</v>
      </c>
      <c r="C196" s="318">
        <f t="shared" ref="C196:D196" si="22">+C189+C182</f>
        <v>54476427</v>
      </c>
      <c r="D196" s="318">
        <f t="shared" si="22"/>
        <v>80077792</v>
      </c>
    </row>
    <row r="198" spans="1:4" s="312" customFormat="1" ht="28.35" customHeight="1" x14ac:dyDescent="0.2">
      <c r="A198" s="310" t="s">
        <v>312</v>
      </c>
      <c r="B198" s="311">
        <v>2020</v>
      </c>
      <c r="C198" s="311">
        <v>2021</v>
      </c>
      <c r="D198" s="311">
        <v>2022</v>
      </c>
    </row>
    <row r="199" spans="1:4" x14ac:dyDescent="0.2">
      <c r="A199" s="313" t="s">
        <v>99</v>
      </c>
      <c r="B199" s="314">
        <f>SUM(B200:B205)</f>
        <v>1842116.11</v>
      </c>
      <c r="C199" s="314">
        <f>SUM(C200:C205)</f>
        <v>2689009</v>
      </c>
      <c r="D199" s="314">
        <f>SUM(D200:D205)</f>
        <v>6214692</v>
      </c>
    </row>
    <row r="200" spans="1:4" x14ac:dyDescent="0.2">
      <c r="A200" s="315" t="s">
        <v>88</v>
      </c>
      <c r="B200" s="316"/>
      <c r="C200" s="316"/>
      <c r="D200" s="316"/>
    </row>
    <row r="201" spans="1:4" x14ac:dyDescent="0.2">
      <c r="A201" s="315" t="s">
        <v>89</v>
      </c>
      <c r="B201" s="316"/>
      <c r="C201" s="316"/>
      <c r="D201" s="316"/>
    </row>
    <row r="202" spans="1:4" x14ac:dyDescent="0.2">
      <c r="A202" s="315" t="s">
        <v>90</v>
      </c>
      <c r="B202" s="316"/>
      <c r="C202" s="316"/>
      <c r="D202" s="316"/>
    </row>
    <row r="203" spans="1:4" x14ac:dyDescent="0.2">
      <c r="A203" s="315" t="s">
        <v>91</v>
      </c>
      <c r="B203" s="316">
        <v>1842116.11</v>
      </c>
      <c r="C203" s="316">
        <v>2689009</v>
      </c>
      <c r="D203" s="316">
        <v>6214692</v>
      </c>
    </row>
    <row r="204" spans="1:4" x14ac:dyDescent="0.2">
      <c r="A204" s="315" t="s">
        <v>118</v>
      </c>
      <c r="B204" s="316"/>
      <c r="C204" s="316"/>
      <c r="D204" s="316"/>
    </row>
    <row r="205" spans="1:4" x14ac:dyDescent="0.2">
      <c r="A205" s="315" t="s">
        <v>119</v>
      </c>
      <c r="B205" s="316"/>
      <c r="C205" s="316"/>
      <c r="D205" s="316"/>
    </row>
    <row r="206" spans="1:4" x14ac:dyDescent="0.2">
      <c r="A206" s="313" t="s">
        <v>87</v>
      </c>
      <c r="B206" s="314">
        <f>SUM(B207:B212)</f>
        <v>5344555.8899999997</v>
      </c>
      <c r="C206" s="314">
        <f>SUM(C207:C212)</f>
        <v>51787418</v>
      </c>
      <c r="D206" s="314">
        <f>SUM(D207:D212)</f>
        <v>73863100</v>
      </c>
    </row>
    <row r="207" spans="1:4" x14ac:dyDescent="0.2">
      <c r="A207" s="315" t="s">
        <v>117</v>
      </c>
      <c r="B207" s="316"/>
      <c r="C207" s="316"/>
      <c r="D207" s="316"/>
    </row>
    <row r="208" spans="1:4" x14ac:dyDescent="0.2">
      <c r="A208" s="315" t="s">
        <v>120</v>
      </c>
      <c r="B208" s="316"/>
      <c r="C208" s="316"/>
      <c r="D208" s="316"/>
    </row>
    <row r="209" spans="1:4" x14ac:dyDescent="0.2">
      <c r="A209" s="315" t="s">
        <v>96</v>
      </c>
      <c r="B209" s="316">
        <v>5344555.8899999997</v>
      </c>
      <c r="C209" s="316">
        <v>51787418</v>
      </c>
      <c r="D209" s="316">
        <v>73863100</v>
      </c>
    </row>
    <row r="210" spans="1:4" x14ac:dyDescent="0.2">
      <c r="A210" s="315" t="s">
        <v>97</v>
      </c>
      <c r="B210" s="316"/>
      <c r="C210" s="316"/>
      <c r="D210" s="316"/>
    </row>
    <row r="211" spans="1:4" x14ac:dyDescent="0.2">
      <c r="A211" s="313" t="s">
        <v>75</v>
      </c>
      <c r="B211" s="314"/>
      <c r="C211" s="314"/>
      <c r="D211" s="314"/>
    </row>
    <row r="212" spans="1:4" x14ac:dyDescent="0.2">
      <c r="A212" s="315" t="s">
        <v>98</v>
      </c>
      <c r="B212" s="316"/>
      <c r="C212" s="316"/>
      <c r="D212" s="316"/>
    </row>
    <row r="213" spans="1:4" s="319" customFormat="1" ht="18" customHeight="1" x14ac:dyDescent="0.2">
      <c r="A213" s="317" t="s">
        <v>311</v>
      </c>
      <c r="B213" s="318">
        <f>+B206+B199</f>
        <v>7186672</v>
      </c>
      <c r="C213" s="318">
        <f t="shared" ref="C213:D213" si="23">+C206+C199</f>
        <v>54476427</v>
      </c>
      <c r="D213" s="318">
        <f t="shared" si="23"/>
        <v>80077792</v>
      </c>
    </row>
    <row r="217" spans="1:4" x14ac:dyDescent="0.2">
      <c r="A217" s="309" t="s">
        <v>478</v>
      </c>
    </row>
    <row r="218" spans="1:4" s="312" customFormat="1" ht="28.35" customHeight="1" x14ac:dyDescent="0.2">
      <c r="A218" s="310" t="s">
        <v>314</v>
      </c>
      <c r="B218" s="311">
        <v>2020</v>
      </c>
      <c r="C218" s="311">
        <v>2021</v>
      </c>
      <c r="D218" s="311">
        <v>2022</v>
      </c>
    </row>
    <row r="219" spans="1:4" x14ac:dyDescent="0.2">
      <c r="A219" s="313" t="s">
        <v>99</v>
      </c>
      <c r="B219" s="314">
        <f>SUM(B220:B225)</f>
        <v>0</v>
      </c>
      <c r="C219" s="314">
        <f t="shared" ref="C219:D219" si="24">SUM(C220:C225)</f>
        <v>0</v>
      </c>
      <c r="D219" s="314">
        <f t="shared" si="24"/>
        <v>3959163</v>
      </c>
    </row>
    <row r="220" spans="1:4" x14ac:dyDescent="0.2">
      <c r="A220" s="315" t="s">
        <v>88</v>
      </c>
      <c r="B220" s="316"/>
      <c r="C220" s="316"/>
      <c r="D220" s="316"/>
    </row>
    <row r="221" spans="1:4" x14ac:dyDescent="0.2">
      <c r="A221" s="315" t="s">
        <v>89</v>
      </c>
      <c r="B221" s="316"/>
      <c r="C221" s="316"/>
      <c r="D221" s="316"/>
    </row>
    <row r="222" spans="1:4" x14ac:dyDescent="0.2">
      <c r="A222" s="315" t="s">
        <v>90</v>
      </c>
      <c r="B222" s="316"/>
      <c r="C222" s="316"/>
      <c r="D222" s="316"/>
    </row>
    <row r="223" spans="1:4" x14ac:dyDescent="0.2">
      <c r="A223" s="315" t="s">
        <v>91</v>
      </c>
      <c r="B223" s="316"/>
      <c r="C223" s="316"/>
      <c r="D223" s="316">
        <v>3959163</v>
      </c>
    </row>
    <row r="224" spans="1:4" x14ac:dyDescent="0.2">
      <c r="A224" s="315" t="s">
        <v>118</v>
      </c>
      <c r="B224" s="316"/>
      <c r="C224" s="316"/>
      <c r="D224" s="316"/>
    </row>
    <row r="225" spans="1:4" x14ac:dyDescent="0.2">
      <c r="A225" s="315" t="s">
        <v>119</v>
      </c>
      <c r="B225" s="316"/>
      <c r="C225" s="316"/>
      <c r="D225" s="316"/>
    </row>
    <row r="226" spans="1:4" x14ac:dyDescent="0.2">
      <c r="A226" s="313" t="s">
        <v>87</v>
      </c>
      <c r="B226" s="314">
        <f>SUM(B227:B230)</f>
        <v>0</v>
      </c>
      <c r="C226" s="314">
        <f t="shared" ref="C226:D226" si="25">SUM(C227:C230)</f>
        <v>90351410</v>
      </c>
      <c r="D226" s="314">
        <f t="shared" si="25"/>
        <v>0</v>
      </c>
    </row>
    <row r="227" spans="1:4" x14ac:dyDescent="0.2">
      <c r="A227" s="315" t="s">
        <v>117</v>
      </c>
      <c r="B227" s="316"/>
      <c r="C227" s="316"/>
      <c r="D227" s="316"/>
    </row>
    <row r="228" spans="1:4" x14ac:dyDescent="0.2">
      <c r="A228" s="315" t="s">
        <v>120</v>
      </c>
      <c r="B228" s="316"/>
      <c r="C228" s="316"/>
      <c r="D228" s="316"/>
    </row>
    <row r="229" spans="1:4" x14ac:dyDescent="0.2">
      <c r="A229" s="315" t="s">
        <v>96</v>
      </c>
      <c r="B229" s="316"/>
      <c r="C229" s="316">
        <v>90351410</v>
      </c>
      <c r="D229" s="316"/>
    </row>
    <row r="230" spans="1:4" x14ac:dyDescent="0.2">
      <c r="A230" s="315" t="s">
        <v>97</v>
      </c>
      <c r="B230" s="316"/>
      <c r="C230" s="316"/>
      <c r="D230" s="316"/>
    </row>
    <row r="231" spans="1:4" x14ac:dyDescent="0.2">
      <c r="A231" s="313" t="s">
        <v>75</v>
      </c>
      <c r="B231" s="314">
        <f>+B232</f>
        <v>0</v>
      </c>
      <c r="C231" s="314">
        <f t="shared" ref="C231:D231" si="26">+C232</f>
        <v>0</v>
      </c>
      <c r="D231" s="314">
        <f t="shared" si="26"/>
        <v>0</v>
      </c>
    </row>
    <row r="232" spans="1:4" x14ac:dyDescent="0.2">
      <c r="A232" s="315" t="s">
        <v>98</v>
      </c>
      <c r="B232" s="316"/>
      <c r="C232" s="316"/>
      <c r="D232" s="316"/>
    </row>
    <row r="233" spans="1:4" s="319" customFormat="1" ht="18" customHeight="1" x14ac:dyDescent="0.2">
      <c r="A233" s="317" t="s">
        <v>309</v>
      </c>
      <c r="B233" s="318">
        <f>+B231+B226+B219</f>
        <v>0</v>
      </c>
      <c r="C233" s="318">
        <f t="shared" ref="C233:D233" si="27">+C231+C226+C219</f>
        <v>90351410</v>
      </c>
      <c r="D233" s="318">
        <f t="shared" si="27"/>
        <v>3959163</v>
      </c>
    </row>
    <row r="235" spans="1:4" s="312" customFormat="1" ht="28.35" customHeight="1" x14ac:dyDescent="0.2">
      <c r="A235" s="310" t="s">
        <v>313</v>
      </c>
      <c r="B235" s="311">
        <v>2020</v>
      </c>
      <c r="C235" s="311">
        <v>2021</v>
      </c>
      <c r="D235" s="311">
        <v>2022</v>
      </c>
    </row>
    <row r="236" spans="1:4" x14ac:dyDescent="0.2">
      <c r="A236" s="313" t="s">
        <v>99</v>
      </c>
      <c r="B236" s="314">
        <f>SUM(B237:B242)</f>
        <v>11453968</v>
      </c>
      <c r="C236" s="314">
        <f>SUM(C237:C242)</f>
        <v>10840806</v>
      </c>
      <c r="D236" s="314">
        <f>SUM(D237:D242)</f>
        <v>3959163</v>
      </c>
    </row>
    <row r="237" spans="1:4" x14ac:dyDescent="0.2">
      <c r="A237" s="315" t="s">
        <v>88</v>
      </c>
      <c r="B237" s="316"/>
      <c r="C237" s="316"/>
      <c r="D237" s="316"/>
    </row>
    <row r="238" spans="1:4" x14ac:dyDescent="0.2">
      <c r="A238" s="315" t="s">
        <v>89</v>
      </c>
      <c r="B238" s="316">
        <v>5625340</v>
      </c>
      <c r="C238" s="316">
        <v>2399814</v>
      </c>
      <c r="D238" s="316"/>
    </row>
    <row r="239" spans="1:4" x14ac:dyDescent="0.2">
      <c r="A239" s="315" t="s">
        <v>90</v>
      </c>
      <c r="B239" s="316"/>
      <c r="C239" s="316"/>
      <c r="D239" s="316"/>
    </row>
    <row r="240" spans="1:4" x14ac:dyDescent="0.2">
      <c r="A240" s="315" t="s">
        <v>91</v>
      </c>
      <c r="B240" s="316">
        <v>5828628</v>
      </c>
      <c r="C240" s="316">
        <v>8440992</v>
      </c>
      <c r="D240" s="316">
        <v>3959163</v>
      </c>
    </row>
    <row r="241" spans="1:4" x14ac:dyDescent="0.2">
      <c r="A241" s="315" t="s">
        <v>118</v>
      </c>
      <c r="B241" s="316"/>
      <c r="C241" s="316"/>
      <c r="D241" s="316"/>
    </row>
    <row r="242" spans="1:4" x14ac:dyDescent="0.2">
      <c r="A242" s="315" t="s">
        <v>119</v>
      </c>
      <c r="B242" s="316"/>
      <c r="C242" s="316"/>
      <c r="D242" s="316"/>
    </row>
    <row r="243" spans="1:4" x14ac:dyDescent="0.2">
      <c r="A243" s="313" t="s">
        <v>87</v>
      </c>
      <c r="B243" s="314">
        <f>SUM(B244:B247)</f>
        <v>7779935</v>
      </c>
      <c r="C243" s="314">
        <f>SUM(C244:C247)</f>
        <v>95712862</v>
      </c>
      <c r="D243" s="314">
        <f>SUM(D244:D247)</f>
        <v>0</v>
      </c>
    </row>
    <row r="244" spans="1:4" x14ac:dyDescent="0.2">
      <c r="A244" s="315" t="s">
        <v>117</v>
      </c>
      <c r="B244" s="316"/>
      <c r="C244" s="316">
        <v>1080360</v>
      </c>
      <c r="D244" s="316"/>
    </row>
    <row r="245" spans="1:4" x14ac:dyDescent="0.2">
      <c r="A245" s="315" t="s">
        <v>120</v>
      </c>
      <c r="B245" s="316"/>
      <c r="C245" s="316"/>
      <c r="D245" s="316"/>
    </row>
    <row r="246" spans="1:4" x14ac:dyDescent="0.2">
      <c r="A246" s="315" t="s">
        <v>96</v>
      </c>
      <c r="B246" s="316">
        <v>7779935</v>
      </c>
      <c r="C246" s="316">
        <v>94632502</v>
      </c>
      <c r="D246" s="316"/>
    </row>
    <row r="247" spans="1:4" x14ac:dyDescent="0.2">
      <c r="A247" s="315" t="s">
        <v>97</v>
      </c>
      <c r="B247" s="316"/>
      <c r="C247" s="316"/>
      <c r="D247" s="316"/>
    </row>
    <row r="248" spans="1:4" x14ac:dyDescent="0.2">
      <c r="A248" s="313" t="s">
        <v>75</v>
      </c>
      <c r="B248" s="314"/>
      <c r="C248" s="314"/>
      <c r="D248" s="314"/>
    </row>
    <row r="249" spans="1:4" x14ac:dyDescent="0.2">
      <c r="A249" s="315" t="s">
        <v>98</v>
      </c>
      <c r="B249" s="316"/>
      <c r="C249" s="316"/>
      <c r="D249" s="316"/>
    </row>
    <row r="250" spans="1:4" s="319" customFormat="1" ht="18" customHeight="1" x14ac:dyDescent="0.2">
      <c r="A250" s="317" t="s">
        <v>310</v>
      </c>
      <c r="B250" s="318">
        <f>+B243+B236</f>
        <v>19233903</v>
      </c>
      <c r="C250" s="318">
        <f t="shared" ref="C250:D250" si="28">+C243+C236</f>
        <v>106553668</v>
      </c>
      <c r="D250" s="318">
        <f t="shared" si="28"/>
        <v>3959163</v>
      </c>
    </row>
    <row r="252" spans="1:4" s="312" customFormat="1" ht="28.35" customHeight="1" x14ac:dyDescent="0.2">
      <c r="A252" s="310" t="s">
        <v>312</v>
      </c>
      <c r="B252" s="311">
        <v>2020</v>
      </c>
      <c r="C252" s="311">
        <v>2021</v>
      </c>
      <c r="D252" s="311">
        <v>2022</v>
      </c>
    </row>
    <row r="253" spans="1:4" x14ac:dyDescent="0.2">
      <c r="A253" s="313" t="s">
        <v>99</v>
      </c>
      <c r="B253" s="314">
        <f>SUM(B254:B259)</f>
        <v>11312971.51</v>
      </c>
      <c r="C253" s="314">
        <f>SUM(C254:C259)</f>
        <v>10840806</v>
      </c>
      <c r="D253" s="314">
        <f>SUM(D254:D259)</f>
        <v>3959163</v>
      </c>
    </row>
    <row r="254" spans="1:4" x14ac:dyDescent="0.2">
      <c r="A254" s="315" t="s">
        <v>88</v>
      </c>
      <c r="B254" s="316"/>
      <c r="C254" s="316"/>
      <c r="D254" s="316"/>
    </row>
    <row r="255" spans="1:4" x14ac:dyDescent="0.2">
      <c r="A255" s="315" t="s">
        <v>89</v>
      </c>
      <c r="B255" s="316">
        <v>5590420</v>
      </c>
      <c r="C255" s="316">
        <v>2399814</v>
      </c>
      <c r="D255" s="316"/>
    </row>
    <row r="256" spans="1:4" x14ac:dyDescent="0.2">
      <c r="A256" s="315" t="s">
        <v>90</v>
      </c>
      <c r="B256" s="316"/>
      <c r="C256" s="316"/>
      <c r="D256" s="316"/>
    </row>
    <row r="257" spans="1:4" x14ac:dyDescent="0.2">
      <c r="A257" s="315" t="s">
        <v>91</v>
      </c>
      <c r="B257" s="316">
        <v>5722551.5099999998</v>
      </c>
      <c r="C257" s="316">
        <v>8440992</v>
      </c>
      <c r="D257" s="316">
        <v>3959163</v>
      </c>
    </row>
    <row r="258" spans="1:4" x14ac:dyDescent="0.2">
      <c r="A258" s="315" t="s">
        <v>118</v>
      </c>
      <c r="B258" s="316"/>
      <c r="C258" s="316"/>
      <c r="D258" s="316"/>
    </row>
    <row r="259" spans="1:4" x14ac:dyDescent="0.2">
      <c r="A259" s="315" t="s">
        <v>119</v>
      </c>
      <c r="B259" s="316"/>
      <c r="C259" s="316"/>
      <c r="D259" s="316"/>
    </row>
    <row r="260" spans="1:4" x14ac:dyDescent="0.2">
      <c r="A260" s="313" t="s">
        <v>87</v>
      </c>
      <c r="B260" s="314">
        <f>SUM(B261:B266)</f>
        <v>4816289.4000000004</v>
      </c>
      <c r="C260" s="314">
        <f>SUM(C261:C266)</f>
        <v>95712862</v>
      </c>
      <c r="D260" s="314">
        <f>SUM(D261:D266)</f>
        <v>0</v>
      </c>
    </row>
    <row r="261" spans="1:4" x14ac:dyDescent="0.2">
      <c r="A261" s="315" t="s">
        <v>117</v>
      </c>
      <c r="B261" s="316"/>
      <c r="C261" s="316">
        <v>1080360</v>
      </c>
      <c r="D261" s="316"/>
    </row>
    <row r="262" spans="1:4" x14ac:dyDescent="0.2">
      <c r="A262" s="315" t="s">
        <v>120</v>
      </c>
      <c r="B262" s="316"/>
      <c r="C262" s="316"/>
      <c r="D262" s="316"/>
    </row>
    <row r="263" spans="1:4" x14ac:dyDescent="0.2">
      <c r="A263" s="315" t="s">
        <v>96</v>
      </c>
      <c r="B263" s="316">
        <v>4816289.4000000004</v>
      </c>
      <c r="C263" s="316">
        <v>94632502</v>
      </c>
      <c r="D263" s="316"/>
    </row>
    <row r="264" spans="1:4" x14ac:dyDescent="0.2">
      <c r="A264" s="315" t="s">
        <v>97</v>
      </c>
      <c r="B264" s="316"/>
      <c r="C264" s="316"/>
      <c r="D264" s="316"/>
    </row>
    <row r="265" spans="1:4" x14ac:dyDescent="0.2">
      <c r="A265" s="313" t="s">
        <v>75</v>
      </c>
      <c r="B265" s="314"/>
      <c r="C265" s="314"/>
      <c r="D265" s="314"/>
    </row>
    <row r="266" spans="1:4" x14ac:dyDescent="0.2">
      <c r="A266" s="315" t="s">
        <v>98</v>
      </c>
      <c r="B266" s="316"/>
      <c r="C266" s="316"/>
      <c r="D266" s="316"/>
    </row>
    <row r="267" spans="1:4" s="319" customFormat="1" ht="18" customHeight="1" x14ac:dyDescent="0.2">
      <c r="A267" s="317" t="s">
        <v>311</v>
      </c>
      <c r="B267" s="318">
        <f>+B260+B253</f>
        <v>16129260.91</v>
      </c>
      <c r="C267" s="318">
        <f t="shared" ref="C267:D267" si="29">+C260+C253</f>
        <v>106553668</v>
      </c>
      <c r="D267" s="318">
        <f t="shared" si="29"/>
        <v>3959163</v>
      </c>
    </row>
  </sheetData>
  <pageMargins left="0.70866141732283472" right="0.51181102362204722" top="0.74803149606299213" bottom="0.74803149606299213" header="0.31496062992125984" footer="0.31496062992125984"/>
  <pageSetup paperSize="9" orientation="portrait" r:id="rId1"/>
  <headerFooter>
    <oddHeader xml:space="preserve">&amp;C&amp;"Arial,Negrita"&amp;18PROYECTO DE PRESUPUESTO 2022
</oddHeader>
    <oddFooter>&amp;L&amp;"Arial,Negrita"&amp;8PROYECTO DE PRESUPUESTO PARA EL AÑO FISCAL 2022
INFORMACIÓN PARA LA COMISIÓN DE PRESUPUESTO Y CUENTA GENERAL DE LA REPÚBLICA DEL CONGRESO DE LA REPÚBLICA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8">
    <tabColor theme="9" tint="-0.249977111117893"/>
  </sheetPr>
  <dimension ref="A1:W80"/>
  <sheetViews>
    <sheetView view="pageBreakPreview" zoomScaleNormal="115" zoomScaleSheetLayoutView="100" workbookViewId="0">
      <selection activeCell="B5" sqref="B5:E5"/>
    </sheetView>
  </sheetViews>
  <sheetFormatPr baseColWidth="10" defaultColWidth="11.28515625" defaultRowHeight="11.25" x14ac:dyDescent="0.2"/>
  <cols>
    <col min="1" max="1" width="25.5703125" style="108" customWidth="1"/>
    <col min="2" max="2" width="41" style="108" bestFit="1" customWidth="1"/>
    <col min="3" max="3" width="3" style="108" bestFit="1" customWidth="1"/>
    <col min="4" max="4" width="9.5703125" style="108" bestFit="1" customWidth="1"/>
    <col min="5" max="5" width="7.85546875" style="108" bestFit="1" customWidth="1"/>
    <col min="6" max="6" width="8.7109375" style="108" bestFit="1" customWidth="1"/>
    <col min="7" max="7" width="5.140625" style="108" bestFit="1" customWidth="1"/>
    <col min="8" max="8" width="7.85546875" style="108" bestFit="1" customWidth="1"/>
    <col min="9" max="9" width="9.5703125" style="108" bestFit="1" customWidth="1"/>
    <col min="10" max="10" width="5.140625" style="108" bestFit="1" customWidth="1"/>
    <col min="11" max="11" width="3" style="108" bestFit="1" customWidth="1"/>
    <col min="12" max="12" width="8.7109375" style="108" bestFit="1" customWidth="1"/>
    <col min="13" max="13" width="5.140625" style="108" bestFit="1" customWidth="1"/>
    <col min="14" max="14" width="8.7109375" style="108" bestFit="1" customWidth="1"/>
    <col min="15" max="15" width="3" style="108" bestFit="1" customWidth="1"/>
    <col min="16" max="16" width="5.140625" style="108" bestFit="1" customWidth="1"/>
    <col min="17" max="17" width="9.5703125" style="108" bestFit="1" customWidth="1"/>
    <col min="18" max="18" width="6.5703125" style="108" bestFit="1" customWidth="1"/>
    <col min="19" max="16384" width="11.28515625" style="108"/>
  </cols>
  <sheetData>
    <row r="1" spans="1:23" s="107" customFormat="1" x14ac:dyDescent="0.2">
      <c r="A1" s="97" t="s">
        <v>374</v>
      </c>
      <c r="B1" s="97"/>
      <c r="C1" s="176"/>
      <c r="D1" s="176"/>
      <c r="E1" s="176"/>
      <c r="F1" s="176"/>
      <c r="G1" s="176"/>
      <c r="H1" s="177"/>
      <c r="I1" s="177"/>
      <c r="J1" s="177"/>
      <c r="K1" s="177"/>
      <c r="L1" s="177"/>
      <c r="M1" s="177"/>
      <c r="N1" s="177"/>
      <c r="O1" s="177"/>
      <c r="P1" s="177"/>
      <c r="Q1" s="177"/>
      <c r="R1" s="177"/>
    </row>
    <row r="2" spans="1:23" s="107" customFormat="1" x14ac:dyDescent="0.2">
      <c r="A2" s="97" t="s">
        <v>473</v>
      </c>
      <c r="B2" s="97"/>
      <c r="C2" s="176"/>
      <c r="D2" s="176"/>
      <c r="E2" s="176"/>
      <c r="F2" s="176"/>
      <c r="G2" s="176"/>
      <c r="H2" s="177"/>
      <c r="I2" s="177"/>
      <c r="J2" s="177"/>
      <c r="K2" s="177"/>
      <c r="L2" s="177"/>
      <c r="M2" s="177"/>
      <c r="N2" s="177"/>
      <c r="O2" s="177"/>
      <c r="P2" s="177"/>
      <c r="Q2" s="177"/>
      <c r="R2" s="177"/>
    </row>
    <row r="3" spans="1:23" s="107" customFormat="1" ht="12" thickBot="1" x14ac:dyDescent="0.25">
      <c r="A3" s="97" t="s">
        <v>480</v>
      </c>
      <c r="B3" s="98"/>
      <c r="C3" s="98"/>
      <c r="D3" s="98"/>
      <c r="E3" s="98"/>
      <c r="F3" s="98"/>
      <c r="G3" s="98"/>
      <c r="H3" s="98"/>
      <c r="I3" s="98"/>
      <c r="J3" s="98"/>
      <c r="K3" s="98"/>
      <c r="L3" s="98"/>
      <c r="M3" s="98"/>
      <c r="N3" s="98"/>
      <c r="O3" s="98"/>
      <c r="P3" s="98"/>
      <c r="Q3" s="98"/>
      <c r="R3" s="98"/>
      <c r="S3" s="106"/>
      <c r="T3" s="106"/>
      <c r="U3" s="106"/>
      <c r="V3" s="106"/>
      <c r="W3" s="106"/>
    </row>
    <row r="4" spans="1:23" s="111" customFormat="1" ht="28.35" customHeight="1" thickBot="1" x14ac:dyDescent="0.25">
      <c r="A4" s="584" t="s">
        <v>278</v>
      </c>
      <c r="B4" s="584" t="s">
        <v>263</v>
      </c>
      <c r="C4" s="582" t="s">
        <v>99</v>
      </c>
      <c r="D4" s="586"/>
      <c r="E4" s="586"/>
      <c r="F4" s="586"/>
      <c r="G4" s="586"/>
      <c r="H4" s="586"/>
      <c r="I4" s="583"/>
      <c r="J4" s="582" t="s">
        <v>87</v>
      </c>
      <c r="K4" s="586"/>
      <c r="L4" s="586"/>
      <c r="M4" s="586"/>
      <c r="N4" s="583"/>
      <c r="O4" s="582" t="s">
        <v>75</v>
      </c>
      <c r="P4" s="583"/>
      <c r="Q4" s="582" t="s">
        <v>0</v>
      </c>
      <c r="R4" s="583"/>
    </row>
    <row r="5" spans="1:23" s="112" customFormat="1" ht="109.5" customHeight="1" thickBot="1" x14ac:dyDescent="0.25">
      <c r="A5" s="585"/>
      <c r="B5" s="585"/>
      <c r="C5" s="178" t="s">
        <v>88</v>
      </c>
      <c r="D5" s="179" t="s">
        <v>89</v>
      </c>
      <c r="E5" s="179" t="s">
        <v>90</v>
      </c>
      <c r="F5" s="179" t="s">
        <v>91</v>
      </c>
      <c r="G5" s="179" t="s">
        <v>92</v>
      </c>
      <c r="H5" s="179" t="s">
        <v>93</v>
      </c>
      <c r="I5" s="322" t="s">
        <v>84</v>
      </c>
      <c r="J5" s="178" t="s">
        <v>94</v>
      </c>
      <c r="K5" s="179" t="s">
        <v>95</v>
      </c>
      <c r="L5" s="179" t="s">
        <v>96</v>
      </c>
      <c r="M5" s="179" t="s">
        <v>97</v>
      </c>
      <c r="N5" s="322" t="s">
        <v>85</v>
      </c>
      <c r="O5" s="178" t="s">
        <v>98</v>
      </c>
      <c r="P5" s="180" t="s">
        <v>86</v>
      </c>
      <c r="Q5" s="181" t="s">
        <v>121</v>
      </c>
      <c r="R5" s="182" t="s">
        <v>73</v>
      </c>
    </row>
    <row r="6" spans="1:23" x14ac:dyDescent="0.2">
      <c r="A6" s="183" t="s">
        <v>479</v>
      </c>
      <c r="B6" s="183" t="s">
        <v>481</v>
      </c>
      <c r="C6" s="323"/>
      <c r="D6" s="324">
        <v>5207649</v>
      </c>
      <c r="E6" s="324">
        <v>742998</v>
      </c>
      <c r="F6" s="324">
        <v>7782828</v>
      </c>
      <c r="G6" s="324"/>
      <c r="H6" s="324">
        <v>54915</v>
      </c>
      <c r="I6" s="325">
        <f>SUM(C6:H6)</f>
        <v>13788390</v>
      </c>
      <c r="J6" s="326"/>
      <c r="K6" s="327"/>
      <c r="L6" s="324">
        <v>36483009</v>
      </c>
      <c r="M6" s="327"/>
      <c r="N6" s="325">
        <f>SUM(J6:M6)</f>
        <v>36483009</v>
      </c>
      <c r="O6" s="326"/>
      <c r="P6" s="325">
        <f t="shared" ref="P6:P13" si="0">+O6</f>
        <v>0</v>
      </c>
      <c r="Q6" s="326">
        <f>+I6+N6+P6</f>
        <v>50271399</v>
      </c>
      <c r="R6" s="269">
        <f>+Q6/Q14*100</f>
        <v>17.608713018099369</v>
      </c>
    </row>
    <row r="7" spans="1:23" x14ac:dyDescent="0.2">
      <c r="A7" s="184" t="s">
        <v>479</v>
      </c>
      <c r="B7" s="184" t="s">
        <v>482</v>
      </c>
      <c r="C7" s="328"/>
      <c r="D7" s="263">
        <v>277702</v>
      </c>
      <c r="E7" s="263">
        <v>3000</v>
      </c>
      <c r="F7" s="263">
        <v>1020149</v>
      </c>
      <c r="G7" s="263"/>
      <c r="H7" s="263"/>
      <c r="I7" s="267">
        <f t="shared" ref="I7:I13" si="1">SUM(C7:H7)</f>
        <v>1300851</v>
      </c>
      <c r="J7" s="268"/>
      <c r="K7" s="329"/>
      <c r="L7" s="263"/>
      <c r="M7" s="329"/>
      <c r="N7" s="267">
        <f t="shared" ref="N7:N13" si="2">SUM(J7:M7)</f>
        <v>0</v>
      </c>
      <c r="O7" s="268"/>
      <c r="P7" s="267">
        <f t="shared" si="0"/>
        <v>0</v>
      </c>
      <c r="Q7" s="268">
        <f t="shared" ref="Q7:Q13" si="3">+I7+N7+P7</f>
        <v>1300851</v>
      </c>
      <c r="R7" s="270">
        <f>+Q7/Q14*100</f>
        <v>0.45565296359282903</v>
      </c>
    </row>
    <row r="8" spans="1:23" x14ac:dyDescent="0.2">
      <c r="A8" s="184" t="s">
        <v>479</v>
      </c>
      <c r="B8" s="184" t="s">
        <v>483</v>
      </c>
      <c r="C8" s="328"/>
      <c r="D8" s="263"/>
      <c r="E8" s="263"/>
      <c r="F8" s="263"/>
      <c r="G8" s="263"/>
      <c r="H8" s="263"/>
      <c r="I8" s="267">
        <f t="shared" si="1"/>
        <v>0</v>
      </c>
      <c r="J8" s="268"/>
      <c r="K8" s="329"/>
      <c r="L8" s="263">
        <v>6331401</v>
      </c>
      <c r="M8" s="329"/>
      <c r="N8" s="267">
        <f t="shared" si="2"/>
        <v>6331401</v>
      </c>
      <c r="O8" s="328"/>
      <c r="P8" s="267">
        <f t="shared" si="0"/>
        <v>0</v>
      </c>
      <c r="Q8" s="268">
        <f t="shared" si="3"/>
        <v>6331401</v>
      </c>
      <c r="R8" s="273">
        <f>+Q8/Q14*100</f>
        <v>2.2177187313109661</v>
      </c>
    </row>
    <row r="9" spans="1:23" x14ac:dyDescent="0.2">
      <c r="A9" s="184" t="s">
        <v>479</v>
      </c>
      <c r="B9" s="184" t="s">
        <v>484</v>
      </c>
      <c r="C9" s="328"/>
      <c r="D9" s="263">
        <v>1264051</v>
      </c>
      <c r="E9" s="263">
        <v>154497</v>
      </c>
      <c r="F9" s="263">
        <v>1818696</v>
      </c>
      <c r="G9" s="263"/>
      <c r="H9" s="263"/>
      <c r="I9" s="267">
        <f t="shared" si="1"/>
        <v>3237244</v>
      </c>
      <c r="J9" s="268"/>
      <c r="K9" s="329"/>
      <c r="L9" s="263">
        <v>3576482</v>
      </c>
      <c r="M9" s="329"/>
      <c r="N9" s="267">
        <f t="shared" si="2"/>
        <v>3576482</v>
      </c>
      <c r="O9" s="328"/>
      <c r="P9" s="267">
        <f t="shared" si="0"/>
        <v>0</v>
      </c>
      <c r="Q9" s="268">
        <f t="shared" si="3"/>
        <v>6813726</v>
      </c>
      <c r="R9" s="273">
        <f>+Q9/Q14*100</f>
        <v>2.3866641490912586</v>
      </c>
    </row>
    <row r="10" spans="1:23" x14ac:dyDescent="0.2">
      <c r="A10" s="184" t="s">
        <v>479</v>
      </c>
      <c r="B10" s="184" t="s">
        <v>485</v>
      </c>
      <c r="C10" s="328"/>
      <c r="D10" s="263">
        <v>1184462</v>
      </c>
      <c r="E10" s="263">
        <v>116857</v>
      </c>
      <c r="F10" s="263">
        <v>8788349</v>
      </c>
      <c r="G10" s="263"/>
      <c r="H10" s="263"/>
      <c r="I10" s="267">
        <f t="shared" si="1"/>
        <v>10089668</v>
      </c>
      <c r="J10" s="268"/>
      <c r="K10" s="329"/>
      <c r="L10" s="263">
        <v>38943</v>
      </c>
      <c r="M10" s="329"/>
      <c r="N10" s="267">
        <f t="shared" si="2"/>
        <v>38943</v>
      </c>
      <c r="O10" s="268"/>
      <c r="P10" s="267">
        <f t="shared" si="0"/>
        <v>0</v>
      </c>
      <c r="Q10" s="268">
        <f t="shared" si="3"/>
        <v>10128611</v>
      </c>
      <c r="R10" s="270">
        <f>+Q10/Q14*100</f>
        <v>3.5477788149672236</v>
      </c>
    </row>
    <row r="11" spans="1:23" x14ac:dyDescent="0.2">
      <c r="A11" s="184" t="s">
        <v>479</v>
      </c>
      <c r="B11" s="184" t="s">
        <v>486</v>
      </c>
      <c r="C11" s="328"/>
      <c r="D11" s="263">
        <v>114803789</v>
      </c>
      <c r="E11" s="263">
        <v>3781861</v>
      </c>
      <c r="F11" s="263">
        <v>7439267</v>
      </c>
      <c r="G11" s="263"/>
      <c r="H11" s="263"/>
      <c r="I11" s="267">
        <f t="shared" si="1"/>
        <v>126024917</v>
      </c>
      <c r="J11" s="268"/>
      <c r="K11" s="329"/>
      <c r="L11" s="263">
        <v>138672</v>
      </c>
      <c r="M11" s="329"/>
      <c r="N11" s="267">
        <f t="shared" si="2"/>
        <v>138672</v>
      </c>
      <c r="O11" s="328"/>
      <c r="P11" s="267">
        <f t="shared" si="0"/>
        <v>0</v>
      </c>
      <c r="Q11" s="268">
        <f t="shared" si="3"/>
        <v>126163589</v>
      </c>
      <c r="R11" s="270">
        <f>+Q11/Q14*100</f>
        <v>44.191696993243376</v>
      </c>
    </row>
    <row r="12" spans="1:23" x14ac:dyDescent="0.2">
      <c r="A12" s="184" t="s">
        <v>479</v>
      </c>
      <c r="B12" s="184" t="s">
        <v>487</v>
      </c>
      <c r="C12" s="328"/>
      <c r="D12" s="263">
        <v>40209140</v>
      </c>
      <c r="E12" s="263">
        <v>496349</v>
      </c>
      <c r="F12" s="263">
        <v>17285239</v>
      </c>
      <c r="G12" s="263"/>
      <c r="H12" s="263">
        <v>1343630</v>
      </c>
      <c r="I12" s="267">
        <f t="shared" si="1"/>
        <v>59334358</v>
      </c>
      <c r="J12" s="268"/>
      <c r="K12" s="329"/>
      <c r="L12" s="263">
        <v>958800</v>
      </c>
      <c r="M12" s="329"/>
      <c r="N12" s="267">
        <f t="shared" si="2"/>
        <v>958800</v>
      </c>
      <c r="O12" s="328"/>
      <c r="P12" s="267">
        <f t="shared" si="0"/>
        <v>0</v>
      </c>
      <c r="Q12" s="268">
        <f t="shared" si="3"/>
        <v>60293158</v>
      </c>
      <c r="R12" s="270">
        <f>+Q12/Q14*100</f>
        <v>21.119064464009092</v>
      </c>
    </row>
    <row r="13" spans="1:23" ht="12" thickBot="1" x14ac:dyDescent="0.25">
      <c r="A13" s="185" t="s">
        <v>479</v>
      </c>
      <c r="B13" s="185" t="s">
        <v>488</v>
      </c>
      <c r="C13" s="330"/>
      <c r="D13" s="331">
        <v>18463079</v>
      </c>
      <c r="E13" s="331">
        <v>40826</v>
      </c>
      <c r="F13" s="331">
        <v>5684974</v>
      </c>
      <c r="G13" s="331"/>
      <c r="H13" s="331"/>
      <c r="I13" s="332">
        <f t="shared" si="1"/>
        <v>24188879</v>
      </c>
      <c r="J13" s="333"/>
      <c r="K13" s="334"/>
      <c r="L13" s="331"/>
      <c r="M13" s="334"/>
      <c r="N13" s="332">
        <f t="shared" si="2"/>
        <v>0</v>
      </c>
      <c r="O13" s="333"/>
      <c r="P13" s="332">
        <f t="shared" si="0"/>
        <v>0</v>
      </c>
      <c r="Q13" s="333">
        <f t="shared" si="3"/>
        <v>24188879</v>
      </c>
      <c r="R13" s="271">
        <f>+Q13/Q14*100</f>
        <v>8.4727108656858832</v>
      </c>
    </row>
    <row r="14" spans="1:23" ht="12" thickBot="1" x14ac:dyDescent="0.25">
      <c r="A14" s="186" t="s">
        <v>66</v>
      </c>
      <c r="B14" s="186" t="s">
        <v>66</v>
      </c>
      <c r="C14" s="264">
        <f>SUM(C6:C13)</f>
        <v>0</v>
      </c>
      <c r="D14" s="265">
        <f t="shared" ref="D14:I14" si="4">SUM(D6:D13)</f>
        <v>181409872</v>
      </c>
      <c r="E14" s="265">
        <f t="shared" si="4"/>
        <v>5336388</v>
      </c>
      <c r="F14" s="265">
        <f t="shared" si="4"/>
        <v>49819502</v>
      </c>
      <c r="G14" s="265">
        <f t="shared" si="4"/>
        <v>0</v>
      </c>
      <c r="H14" s="265">
        <f t="shared" si="4"/>
        <v>1398545</v>
      </c>
      <c r="I14" s="266">
        <f t="shared" si="4"/>
        <v>237964307</v>
      </c>
      <c r="J14" s="264"/>
      <c r="K14" s="265"/>
      <c r="L14" s="265">
        <f t="shared" ref="L14" si="5">SUM(L6:L13)</f>
        <v>47527307</v>
      </c>
      <c r="M14" s="265"/>
      <c r="N14" s="266">
        <f t="shared" ref="N14" si="6">SUM(N6:N13)</f>
        <v>47527307</v>
      </c>
      <c r="O14" s="264">
        <f>SUM(O6:O13)</f>
        <v>0</v>
      </c>
      <c r="P14" s="266">
        <f>SUM(P6:P13)</f>
        <v>0</v>
      </c>
      <c r="Q14" s="264">
        <f>SUM(Q6:Q13)</f>
        <v>285491614</v>
      </c>
      <c r="R14" s="272"/>
    </row>
    <row r="15" spans="1:23" x14ac:dyDescent="0.2">
      <c r="A15" s="113"/>
      <c r="B15" s="113"/>
      <c r="C15" s="114"/>
      <c r="D15" s="115"/>
      <c r="E15" s="116"/>
      <c r="F15" s="116"/>
      <c r="G15" s="116"/>
      <c r="H15" s="116"/>
      <c r="I15" s="116"/>
      <c r="J15" s="116"/>
      <c r="K15" s="116"/>
      <c r="L15" s="116"/>
      <c r="M15" s="116"/>
      <c r="N15" s="116"/>
      <c r="O15" s="116"/>
      <c r="P15" s="116"/>
      <c r="Q15" s="116"/>
      <c r="R15" s="116"/>
    </row>
    <row r="18" spans="1:23" s="107" customFormat="1" ht="12" thickBot="1" x14ac:dyDescent="0.25">
      <c r="A18" s="97" t="s">
        <v>489</v>
      </c>
      <c r="B18" s="98"/>
      <c r="C18" s="98"/>
      <c r="D18" s="98"/>
      <c r="E18" s="98"/>
      <c r="F18" s="98"/>
      <c r="G18" s="98"/>
      <c r="H18" s="98"/>
      <c r="I18" s="98"/>
      <c r="J18" s="98"/>
      <c r="K18" s="98"/>
      <c r="L18" s="98"/>
      <c r="M18" s="98"/>
      <c r="N18" s="98"/>
      <c r="O18" s="98"/>
      <c r="P18" s="98"/>
      <c r="Q18" s="98"/>
      <c r="R18" s="98"/>
      <c r="S18" s="106"/>
      <c r="T18" s="106"/>
      <c r="U18" s="106"/>
      <c r="V18" s="106"/>
      <c r="W18" s="106"/>
    </row>
    <row r="19" spans="1:23" s="111" customFormat="1" ht="28.35" customHeight="1" thickBot="1" x14ac:dyDescent="0.25">
      <c r="A19" s="584" t="s">
        <v>278</v>
      </c>
      <c r="B19" s="584" t="s">
        <v>263</v>
      </c>
      <c r="C19" s="582" t="s">
        <v>99</v>
      </c>
      <c r="D19" s="586"/>
      <c r="E19" s="586"/>
      <c r="F19" s="586"/>
      <c r="G19" s="586"/>
      <c r="H19" s="586"/>
      <c r="I19" s="583"/>
      <c r="J19" s="582" t="s">
        <v>87</v>
      </c>
      <c r="K19" s="586"/>
      <c r="L19" s="586"/>
      <c r="M19" s="586"/>
      <c r="N19" s="583"/>
      <c r="O19" s="582" t="s">
        <v>75</v>
      </c>
      <c r="P19" s="583"/>
      <c r="Q19" s="582" t="s">
        <v>0</v>
      </c>
      <c r="R19" s="583"/>
    </row>
    <row r="20" spans="1:23" s="112" customFormat="1" ht="109.5" customHeight="1" thickBot="1" x14ac:dyDescent="0.25">
      <c r="A20" s="585"/>
      <c r="B20" s="585"/>
      <c r="C20" s="178" t="s">
        <v>88</v>
      </c>
      <c r="D20" s="179" t="s">
        <v>89</v>
      </c>
      <c r="E20" s="179" t="s">
        <v>90</v>
      </c>
      <c r="F20" s="179" t="s">
        <v>91</v>
      </c>
      <c r="G20" s="179" t="s">
        <v>92</v>
      </c>
      <c r="H20" s="179" t="s">
        <v>93</v>
      </c>
      <c r="I20" s="322" t="s">
        <v>84</v>
      </c>
      <c r="J20" s="178" t="s">
        <v>94</v>
      </c>
      <c r="K20" s="179" t="s">
        <v>95</v>
      </c>
      <c r="L20" s="179" t="s">
        <v>96</v>
      </c>
      <c r="M20" s="179" t="s">
        <v>97</v>
      </c>
      <c r="N20" s="322" t="s">
        <v>85</v>
      </c>
      <c r="O20" s="178" t="s">
        <v>98</v>
      </c>
      <c r="P20" s="180" t="s">
        <v>86</v>
      </c>
      <c r="Q20" s="181" t="s">
        <v>121</v>
      </c>
      <c r="R20" s="182" t="s">
        <v>73</v>
      </c>
    </row>
    <row r="21" spans="1:23" s="132" customFormat="1" x14ac:dyDescent="0.2">
      <c r="A21" s="183" t="s">
        <v>479</v>
      </c>
      <c r="B21" s="183" t="s">
        <v>481</v>
      </c>
      <c r="C21" s="323"/>
      <c r="D21" s="324"/>
      <c r="E21" s="324"/>
      <c r="F21" s="324">
        <v>3337852</v>
      </c>
      <c r="G21" s="324"/>
      <c r="H21" s="324"/>
      <c r="I21" s="325">
        <f>SUM(C21:H21)</f>
        <v>3337852</v>
      </c>
      <c r="J21" s="326"/>
      <c r="K21" s="327"/>
      <c r="L21" s="324"/>
      <c r="M21" s="327"/>
      <c r="N21" s="325">
        <f>SUM(J21:M21)</f>
        <v>0</v>
      </c>
      <c r="O21" s="326"/>
      <c r="P21" s="325">
        <f t="shared" ref="P21:P28" si="7">+O21</f>
        <v>0</v>
      </c>
      <c r="Q21" s="326">
        <f>+I21+N21+P21</f>
        <v>3337852</v>
      </c>
      <c r="R21" s="269">
        <f>+Q21/Q29*100</f>
        <v>43.467353632367605</v>
      </c>
    </row>
    <row r="22" spans="1:23" s="132" customFormat="1" x14ac:dyDescent="0.2">
      <c r="A22" s="184" t="s">
        <v>479</v>
      </c>
      <c r="B22" s="184" t="s">
        <v>482</v>
      </c>
      <c r="C22" s="328"/>
      <c r="D22" s="263"/>
      <c r="E22" s="263"/>
      <c r="F22" s="263">
        <v>20300</v>
      </c>
      <c r="G22" s="263"/>
      <c r="H22" s="263"/>
      <c r="I22" s="267">
        <f t="shared" ref="I22:I28" si="8">SUM(C22:H22)</f>
        <v>20300</v>
      </c>
      <c r="J22" s="268"/>
      <c r="K22" s="329"/>
      <c r="L22" s="263"/>
      <c r="M22" s="329"/>
      <c r="N22" s="267">
        <f t="shared" ref="N22:N28" si="9">SUM(J22:M22)</f>
        <v>0</v>
      </c>
      <c r="O22" s="268"/>
      <c r="P22" s="267">
        <f t="shared" si="7"/>
        <v>0</v>
      </c>
      <c r="Q22" s="268">
        <f t="shared" ref="Q22:Q28" si="10">+I22+N22+P22</f>
        <v>20300</v>
      </c>
      <c r="R22" s="270">
        <f>+Q22/Q29*100</f>
        <v>0.26435782016010967</v>
      </c>
    </row>
    <row r="23" spans="1:23" s="132" customFormat="1" x14ac:dyDescent="0.2">
      <c r="A23" s="184" t="s">
        <v>479</v>
      </c>
      <c r="B23" s="184" t="s">
        <v>483</v>
      </c>
      <c r="C23" s="328"/>
      <c r="D23" s="263"/>
      <c r="E23" s="263"/>
      <c r="F23" s="263"/>
      <c r="G23" s="263"/>
      <c r="H23" s="263"/>
      <c r="I23" s="267">
        <f t="shared" si="8"/>
        <v>0</v>
      </c>
      <c r="J23" s="268"/>
      <c r="K23" s="329"/>
      <c r="L23" s="263"/>
      <c r="M23" s="329"/>
      <c r="N23" s="267">
        <f t="shared" si="9"/>
        <v>0</v>
      </c>
      <c r="O23" s="328"/>
      <c r="P23" s="267">
        <f t="shared" si="7"/>
        <v>0</v>
      </c>
      <c r="Q23" s="268">
        <f t="shared" si="10"/>
        <v>0</v>
      </c>
      <c r="R23" s="273">
        <f>+Q23/Q29*100</f>
        <v>0</v>
      </c>
    </row>
    <row r="24" spans="1:23" s="132" customFormat="1" x14ac:dyDescent="0.2">
      <c r="A24" s="184" t="s">
        <v>479</v>
      </c>
      <c r="B24" s="184" t="s">
        <v>484</v>
      </c>
      <c r="C24" s="328"/>
      <c r="D24" s="263"/>
      <c r="E24" s="263"/>
      <c r="F24" s="263">
        <v>452380</v>
      </c>
      <c r="G24" s="263"/>
      <c r="H24" s="263"/>
      <c r="I24" s="267">
        <f t="shared" si="8"/>
        <v>452380</v>
      </c>
      <c r="J24" s="268"/>
      <c r="K24" s="329"/>
      <c r="L24" s="263"/>
      <c r="M24" s="329"/>
      <c r="N24" s="267">
        <f t="shared" si="9"/>
        <v>0</v>
      </c>
      <c r="O24" s="328"/>
      <c r="P24" s="267">
        <f t="shared" si="7"/>
        <v>0</v>
      </c>
      <c r="Q24" s="268">
        <f t="shared" si="10"/>
        <v>452380</v>
      </c>
      <c r="R24" s="273">
        <f>+Q24/Q29*100</f>
        <v>5.8911423982280997</v>
      </c>
    </row>
    <row r="25" spans="1:23" s="132" customFormat="1" x14ac:dyDescent="0.2">
      <c r="A25" s="184" t="s">
        <v>479</v>
      </c>
      <c r="B25" s="184" t="s">
        <v>485</v>
      </c>
      <c r="C25" s="328"/>
      <c r="D25" s="263"/>
      <c r="E25" s="263"/>
      <c r="F25" s="263">
        <v>298785</v>
      </c>
      <c r="G25" s="263"/>
      <c r="H25" s="263"/>
      <c r="I25" s="267">
        <f t="shared" si="8"/>
        <v>298785</v>
      </c>
      <c r="J25" s="268"/>
      <c r="K25" s="329"/>
      <c r="L25" s="263"/>
      <c r="M25" s="329"/>
      <c r="N25" s="267">
        <f t="shared" si="9"/>
        <v>0</v>
      </c>
      <c r="O25" s="268"/>
      <c r="P25" s="267">
        <f t="shared" si="7"/>
        <v>0</v>
      </c>
      <c r="Q25" s="268">
        <f t="shared" si="10"/>
        <v>298785</v>
      </c>
      <c r="R25" s="270">
        <f>+Q25/Q29*100</f>
        <v>3.8909434136225802</v>
      </c>
    </row>
    <row r="26" spans="1:23" s="132" customFormat="1" x14ac:dyDescent="0.2">
      <c r="A26" s="184" t="s">
        <v>479</v>
      </c>
      <c r="B26" s="184" t="s">
        <v>486</v>
      </c>
      <c r="C26" s="328"/>
      <c r="D26" s="263"/>
      <c r="E26" s="263"/>
      <c r="F26" s="263">
        <v>240000</v>
      </c>
      <c r="G26" s="263"/>
      <c r="H26" s="263"/>
      <c r="I26" s="267">
        <f t="shared" si="8"/>
        <v>240000</v>
      </c>
      <c r="J26" s="268"/>
      <c r="K26" s="329"/>
      <c r="L26" s="263"/>
      <c r="M26" s="329"/>
      <c r="N26" s="267">
        <f t="shared" si="9"/>
        <v>0</v>
      </c>
      <c r="O26" s="328"/>
      <c r="P26" s="267">
        <f t="shared" si="7"/>
        <v>0</v>
      </c>
      <c r="Q26" s="268">
        <f t="shared" si="10"/>
        <v>240000</v>
      </c>
      <c r="R26" s="270">
        <f>+Q26/Q29*100</f>
        <v>3.1254126521392278</v>
      </c>
    </row>
    <row r="27" spans="1:23" s="132" customFormat="1" x14ac:dyDescent="0.2">
      <c r="A27" s="184" t="s">
        <v>479</v>
      </c>
      <c r="B27" s="184" t="s">
        <v>487</v>
      </c>
      <c r="C27" s="328"/>
      <c r="D27" s="263"/>
      <c r="E27" s="263"/>
      <c r="F27" s="263">
        <v>608000</v>
      </c>
      <c r="G27" s="263"/>
      <c r="H27" s="263"/>
      <c r="I27" s="267">
        <f t="shared" si="8"/>
        <v>608000</v>
      </c>
      <c r="J27" s="268"/>
      <c r="K27" s="329"/>
      <c r="L27" s="263"/>
      <c r="M27" s="329"/>
      <c r="N27" s="267">
        <f t="shared" si="9"/>
        <v>0</v>
      </c>
      <c r="O27" s="328"/>
      <c r="P27" s="267">
        <f t="shared" si="7"/>
        <v>0</v>
      </c>
      <c r="Q27" s="268">
        <f t="shared" si="10"/>
        <v>608000</v>
      </c>
      <c r="R27" s="270">
        <f>+Q27/Q29*100</f>
        <v>7.9177120520860438</v>
      </c>
    </row>
    <row r="28" spans="1:23" s="132" customFormat="1" ht="12" thickBot="1" x14ac:dyDescent="0.25">
      <c r="A28" s="185" t="s">
        <v>479</v>
      </c>
      <c r="B28" s="185" t="s">
        <v>488</v>
      </c>
      <c r="C28" s="330"/>
      <c r="D28" s="331"/>
      <c r="E28" s="331"/>
      <c r="F28" s="331">
        <v>2721669</v>
      </c>
      <c r="G28" s="331"/>
      <c r="H28" s="331"/>
      <c r="I28" s="332">
        <f t="shared" si="8"/>
        <v>2721669</v>
      </c>
      <c r="J28" s="333"/>
      <c r="K28" s="334"/>
      <c r="L28" s="331"/>
      <c r="M28" s="334"/>
      <c r="N28" s="332">
        <f t="shared" si="9"/>
        <v>0</v>
      </c>
      <c r="O28" s="333"/>
      <c r="P28" s="332">
        <f t="shared" si="7"/>
        <v>0</v>
      </c>
      <c r="Q28" s="333">
        <f t="shared" si="10"/>
        <v>2721669</v>
      </c>
      <c r="R28" s="271">
        <f>+Q28/Q29*100</f>
        <v>35.443078031396333</v>
      </c>
    </row>
    <row r="29" spans="1:23" s="132" customFormat="1" ht="12" thickBot="1" x14ac:dyDescent="0.25">
      <c r="A29" s="186" t="s">
        <v>66</v>
      </c>
      <c r="B29" s="186" t="s">
        <v>66</v>
      </c>
      <c r="C29" s="264">
        <f>SUM(C21:C28)</f>
        <v>0</v>
      </c>
      <c r="D29" s="265">
        <f t="shared" ref="D29:I29" si="11">SUM(D21:D28)</f>
        <v>0</v>
      </c>
      <c r="E29" s="265">
        <f t="shared" si="11"/>
        <v>0</v>
      </c>
      <c r="F29" s="265">
        <f t="shared" si="11"/>
        <v>7678986</v>
      </c>
      <c r="G29" s="265">
        <f t="shared" si="11"/>
        <v>0</v>
      </c>
      <c r="H29" s="265">
        <f t="shared" si="11"/>
        <v>0</v>
      </c>
      <c r="I29" s="266">
        <f t="shared" si="11"/>
        <v>7678986</v>
      </c>
      <c r="J29" s="264"/>
      <c r="K29" s="265"/>
      <c r="L29" s="265">
        <f t="shared" ref="L29" si="12">SUM(L21:L28)</f>
        <v>0</v>
      </c>
      <c r="M29" s="265"/>
      <c r="N29" s="266">
        <f t="shared" ref="N29" si="13">SUM(N21:N28)</f>
        <v>0</v>
      </c>
      <c r="O29" s="264">
        <f>SUM(O21:O28)</f>
        <v>0</v>
      </c>
      <c r="P29" s="266">
        <f>SUM(P21:P28)</f>
        <v>0</v>
      </c>
      <c r="Q29" s="264">
        <f>SUM(Q21:Q28)</f>
        <v>7678986</v>
      </c>
      <c r="R29" s="272"/>
    </row>
    <row r="32" spans="1:23" s="132" customFormat="1" x14ac:dyDescent="0.2"/>
    <row r="33" spans="1:23" s="132" customFormat="1" x14ac:dyDescent="0.2"/>
    <row r="35" spans="1:23" s="107" customFormat="1" ht="12" thickBot="1" x14ac:dyDescent="0.25">
      <c r="A35" s="97" t="s">
        <v>490</v>
      </c>
      <c r="B35" s="98"/>
      <c r="C35" s="98"/>
      <c r="D35" s="98"/>
      <c r="E35" s="98"/>
      <c r="F35" s="98"/>
      <c r="G35" s="98"/>
      <c r="H35" s="98"/>
      <c r="I35" s="98"/>
      <c r="J35" s="98"/>
      <c r="K35" s="98"/>
      <c r="L35" s="98"/>
      <c r="M35" s="98"/>
      <c r="N35" s="98"/>
      <c r="O35" s="98"/>
      <c r="P35" s="98"/>
      <c r="Q35" s="98"/>
      <c r="R35" s="98"/>
      <c r="S35" s="106"/>
      <c r="T35" s="106"/>
      <c r="U35" s="106"/>
      <c r="V35" s="106"/>
      <c r="W35" s="106"/>
    </row>
    <row r="36" spans="1:23" s="111" customFormat="1" ht="28.35" customHeight="1" thickBot="1" x14ac:dyDescent="0.25">
      <c r="A36" s="584" t="s">
        <v>278</v>
      </c>
      <c r="B36" s="584" t="s">
        <v>263</v>
      </c>
      <c r="C36" s="582" t="s">
        <v>99</v>
      </c>
      <c r="D36" s="586"/>
      <c r="E36" s="586"/>
      <c r="F36" s="586"/>
      <c r="G36" s="586"/>
      <c r="H36" s="586"/>
      <c r="I36" s="583"/>
      <c r="J36" s="582" t="s">
        <v>87</v>
      </c>
      <c r="K36" s="586"/>
      <c r="L36" s="586"/>
      <c r="M36" s="586"/>
      <c r="N36" s="583"/>
      <c r="O36" s="582" t="s">
        <v>75</v>
      </c>
      <c r="P36" s="583"/>
      <c r="Q36" s="582" t="s">
        <v>0</v>
      </c>
      <c r="R36" s="583"/>
    </row>
    <row r="37" spans="1:23" s="112" customFormat="1" ht="109.5" customHeight="1" thickBot="1" x14ac:dyDescent="0.25">
      <c r="A37" s="585"/>
      <c r="B37" s="585"/>
      <c r="C37" s="178" t="s">
        <v>88</v>
      </c>
      <c r="D37" s="179" t="s">
        <v>89</v>
      </c>
      <c r="E37" s="179" t="s">
        <v>90</v>
      </c>
      <c r="F37" s="179" t="s">
        <v>91</v>
      </c>
      <c r="G37" s="179" t="s">
        <v>92</v>
      </c>
      <c r="H37" s="179" t="s">
        <v>93</v>
      </c>
      <c r="I37" s="322" t="s">
        <v>84</v>
      </c>
      <c r="J37" s="178" t="s">
        <v>94</v>
      </c>
      <c r="K37" s="179" t="s">
        <v>95</v>
      </c>
      <c r="L37" s="179" t="s">
        <v>96</v>
      </c>
      <c r="M37" s="179" t="s">
        <v>97</v>
      </c>
      <c r="N37" s="322" t="s">
        <v>85</v>
      </c>
      <c r="O37" s="178" t="s">
        <v>98</v>
      </c>
      <c r="P37" s="180" t="s">
        <v>86</v>
      </c>
      <c r="Q37" s="181" t="s">
        <v>121</v>
      </c>
      <c r="R37" s="182" t="s">
        <v>73</v>
      </c>
    </row>
    <row r="38" spans="1:23" s="132" customFormat="1" x14ac:dyDescent="0.2">
      <c r="A38" s="183" t="s">
        <v>479</v>
      </c>
      <c r="B38" s="183" t="s">
        <v>481</v>
      </c>
      <c r="C38" s="323"/>
      <c r="D38" s="324"/>
      <c r="E38" s="324"/>
      <c r="F38" s="324"/>
      <c r="G38" s="324"/>
      <c r="H38" s="324"/>
      <c r="I38" s="325">
        <f>SUM(C38:H38)</f>
        <v>0</v>
      </c>
      <c r="J38" s="326"/>
      <c r="K38" s="327"/>
      <c r="L38" s="324"/>
      <c r="M38" s="327"/>
      <c r="N38" s="325">
        <f>SUM(J38:M38)</f>
        <v>0</v>
      </c>
      <c r="O38" s="326"/>
      <c r="P38" s="325">
        <f t="shared" ref="P38:P45" si="14">+O38</f>
        <v>0</v>
      </c>
      <c r="Q38" s="326">
        <f>+I38+N38+P38</f>
        <v>0</v>
      </c>
      <c r="R38" s="269">
        <f>+Q38/Q46*100</f>
        <v>0</v>
      </c>
    </row>
    <row r="39" spans="1:23" s="132" customFormat="1" x14ac:dyDescent="0.2">
      <c r="A39" s="184" t="s">
        <v>479</v>
      </c>
      <c r="B39" s="184" t="s">
        <v>482</v>
      </c>
      <c r="C39" s="328"/>
      <c r="D39" s="263"/>
      <c r="E39" s="263"/>
      <c r="F39" s="263"/>
      <c r="G39" s="263"/>
      <c r="H39" s="263"/>
      <c r="I39" s="267">
        <f t="shared" ref="I39:I45" si="15">SUM(C39:H39)</f>
        <v>0</v>
      </c>
      <c r="J39" s="268"/>
      <c r="K39" s="329"/>
      <c r="L39" s="263"/>
      <c r="M39" s="329"/>
      <c r="N39" s="267">
        <f t="shared" ref="N39:N45" si="16">SUM(J39:M39)</f>
        <v>0</v>
      </c>
      <c r="O39" s="268"/>
      <c r="P39" s="267">
        <f t="shared" si="14"/>
        <v>0</v>
      </c>
      <c r="Q39" s="268">
        <f t="shared" ref="Q39:Q45" si="17">+I39+N39+P39</f>
        <v>0</v>
      </c>
      <c r="R39" s="270">
        <f>+Q39/Q46*100</f>
        <v>0</v>
      </c>
    </row>
    <row r="40" spans="1:23" s="132" customFormat="1" x14ac:dyDescent="0.2">
      <c r="A40" s="184" t="s">
        <v>479</v>
      </c>
      <c r="B40" s="184" t="s">
        <v>483</v>
      </c>
      <c r="C40" s="328"/>
      <c r="D40" s="263"/>
      <c r="E40" s="263"/>
      <c r="F40" s="263"/>
      <c r="G40" s="263"/>
      <c r="H40" s="263"/>
      <c r="I40" s="267">
        <f t="shared" si="15"/>
        <v>0</v>
      </c>
      <c r="J40" s="268"/>
      <c r="K40" s="329"/>
      <c r="L40" s="263"/>
      <c r="M40" s="329"/>
      <c r="N40" s="267">
        <f t="shared" si="16"/>
        <v>0</v>
      </c>
      <c r="O40" s="328"/>
      <c r="P40" s="267">
        <f t="shared" si="14"/>
        <v>0</v>
      </c>
      <c r="Q40" s="268">
        <f t="shared" si="17"/>
        <v>0</v>
      </c>
      <c r="R40" s="273">
        <f>+Q40/Q46*100</f>
        <v>0</v>
      </c>
    </row>
    <row r="41" spans="1:23" s="132" customFormat="1" x14ac:dyDescent="0.2">
      <c r="A41" s="184" t="s">
        <v>479</v>
      </c>
      <c r="B41" s="184" t="s">
        <v>484</v>
      </c>
      <c r="C41" s="328"/>
      <c r="D41" s="263"/>
      <c r="E41" s="263"/>
      <c r="F41" s="263"/>
      <c r="G41" s="263"/>
      <c r="H41" s="263"/>
      <c r="I41" s="267">
        <f t="shared" si="15"/>
        <v>0</v>
      </c>
      <c r="J41" s="268"/>
      <c r="K41" s="329"/>
      <c r="L41" s="263"/>
      <c r="M41" s="329"/>
      <c r="N41" s="267">
        <f t="shared" si="16"/>
        <v>0</v>
      </c>
      <c r="O41" s="328"/>
      <c r="P41" s="267">
        <f t="shared" si="14"/>
        <v>0</v>
      </c>
      <c r="Q41" s="268">
        <f t="shared" si="17"/>
        <v>0</v>
      </c>
      <c r="R41" s="273">
        <f>+Q41/Q46*100</f>
        <v>0</v>
      </c>
    </row>
    <row r="42" spans="1:23" s="132" customFormat="1" x14ac:dyDescent="0.2">
      <c r="A42" s="184" t="s">
        <v>479</v>
      </c>
      <c r="B42" s="184" t="s">
        <v>485</v>
      </c>
      <c r="C42" s="328"/>
      <c r="D42" s="263"/>
      <c r="E42" s="263"/>
      <c r="F42" s="263"/>
      <c r="G42" s="263"/>
      <c r="H42" s="263"/>
      <c r="I42" s="267">
        <f t="shared" si="15"/>
        <v>0</v>
      </c>
      <c r="J42" s="268"/>
      <c r="K42" s="329"/>
      <c r="L42" s="263"/>
      <c r="M42" s="329"/>
      <c r="N42" s="267">
        <f t="shared" si="16"/>
        <v>0</v>
      </c>
      <c r="O42" s="268"/>
      <c r="P42" s="267">
        <f t="shared" si="14"/>
        <v>0</v>
      </c>
      <c r="Q42" s="268">
        <f t="shared" si="17"/>
        <v>0</v>
      </c>
      <c r="R42" s="270">
        <f>+Q42/Q46*100</f>
        <v>0</v>
      </c>
    </row>
    <row r="43" spans="1:23" s="132" customFormat="1" x14ac:dyDescent="0.2">
      <c r="A43" s="184" t="s">
        <v>479</v>
      </c>
      <c r="B43" s="184" t="s">
        <v>486</v>
      </c>
      <c r="C43" s="328"/>
      <c r="D43" s="263"/>
      <c r="E43" s="263"/>
      <c r="F43" s="263"/>
      <c r="G43" s="263"/>
      <c r="H43" s="263"/>
      <c r="I43" s="267">
        <f t="shared" si="15"/>
        <v>0</v>
      </c>
      <c r="J43" s="268"/>
      <c r="K43" s="329"/>
      <c r="L43" s="263"/>
      <c r="M43" s="329"/>
      <c r="N43" s="267">
        <f t="shared" si="16"/>
        <v>0</v>
      </c>
      <c r="O43" s="328"/>
      <c r="P43" s="267">
        <f t="shared" si="14"/>
        <v>0</v>
      </c>
      <c r="Q43" s="268">
        <f t="shared" si="17"/>
        <v>0</v>
      </c>
      <c r="R43" s="270">
        <f>+Q43/Q46*100</f>
        <v>0</v>
      </c>
    </row>
    <row r="44" spans="1:23" s="132" customFormat="1" x14ac:dyDescent="0.2">
      <c r="A44" s="184" t="s">
        <v>479</v>
      </c>
      <c r="B44" s="184" t="s">
        <v>487</v>
      </c>
      <c r="C44" s="328"/>
      <c r="D44" s="263"/>
      <c r="E44" s="263"/>
      <c r="F44" s="263">
        <v>1252521</v>
      </c>
      <c r="G44" s="263"/>
      <c r="H44" s="263"/>
      <c r="I44" s="267">
        <f t="shared" si="15"/>
        <v>1252521</v>
      </c>
      <c r="J44" s="268"/>
      <c r="K44" s="329"/>
      <c r="L44" s="263"/>
      <c r="M44" s="329"/>
      <c r="N44" s="267">
        <f t="shared" si="16"/>
        <v>0</v>
      </c>
      <c r="O44" s="328"/>
      <c r="P44" s="267">
        <f t="shared" si="14"/>
        <v>0</v>
      </c>
      <c r="Q44" s="268">
        <f t="shared" si="17"/>
        <v>1252521</v>
      </c>
      <c r="R44" s="270">
        <f>+Q44/Q46*100</f>
        <v>31.636004882850237</v>
      </c>
    </row>
    <row r="45" spans="1:23" s="132" customFormat="1" ht="12" thickBot="1" x14ac:dyDescent="0.25">
      <c r="A45" s="185" t="s">
        <v>479</v>
      </c>
      <c r="B45" s="185" t="s">
        <v>488</v>
      </c>
      <c r="C45" s="330"/>
      <c r="D45" s="331"/>
      <c r="E45" s="331"/>
      <c r="F45" s="331">
        <v>2706642</v>
      </c>
      <c r="G45" s="331"/>
      <c r="H45" s="331"/>
      <c r="I45" s="332">
        <f t="shared" si="15"/>
        <v>2706642</v>
      </c>
      <c r="J45" s="333"/>
      <c r="K45" s="334"/>
      <c r="L45" s="331"/>
      <c r="M45" s="334"/>
      <c r="N45" s="332">
        <f t="shared" si="16"/>
        <v>0</v>
      </c>
      <c r="O45" s="333"/>
      <c r="P45" s="332">
        <f t="shared" si="14"/>
        <v>0</v>
      </c>
      <c r="Q45" s="333">
        <f t="shared" si="17"/>
        <v>2706642</v>
      </c>
      <c r="R45" s="271">
        <f>+Q45/Q46*100</f>
        <v>68.363995117149756</v>
      </c>
    </row>
    <row r="46" spans="1:23" s="132" customFormat="1" ht="12" thickBot="1" x14ac:dyDescent="0.25">
      <c r="A46" s="186" t="s">
        <v>66</v>
      </c>
      <c r="B46" s="186" t="s">
        <v>66</v>
      </c>
      <c r="C46" s="264">
        <f>SUM(C38:C45)</f>
        <v>0</v>
      </c>
      <c r="D46" s="265">
        <f t="shared" ref="D46:I46" si="18">SUM(D38:D45)</f>
        <v>0</v>
      </c>
      <c r="E46" s="265">
        <f t="shared" si="18"/>
        <v>0</v>
      </c>
      <c r="F46" s="265">
        <f t="shared" si="18"/>
        <v>3959163</v>
      </c>
      <c r="G46" s="265">
        <f t="shared" si="18"/>
        <v>0</v>
      </c>
      <c r="H46" s="265">
        <f t="shared" si="18"/>
        <v>0</v>
      </c>
      <c r="I46" s="266">
        <f t="shared" si="18"/>
        <v>3959163</v>
      </c>
      <c r="J46" s="264"/>
      <c r="K46" s="265"/>
      <c r="L46" s="265">
        <f t="shared" ref="L46" si="19">SUM(L38:L45)</f>
        <v>0</v>
      </c>
      <c r="M46" s="265"/>
      <c r="N46" s="266">
        <f t="shared" ref="N46" si="20">SUM(N38:N45)</f>
        <v>0</v>
      </c>
      <c r="O46" s="264">
        <f>SUM(O38:O45)</f>
        <v>0</v>
      </c>
      <c r="P46" s="266">
        <f>SUM(P38:P45)</f>
        <v>0</v>
      </c>
      <c r="Q46" s="264">
        <f>SUM(Q38:Q45)</f>
        <v>3959163</v>
      </c>
      <c r="R46" s="272"/>
    </row>
    <row r="50" spans="1:23" s="107" customFormat="1" ht="12" thickBot="1" x14ac:dyDescent="0.25">
      <c r="A50" s="97" t="s">
        <v>491</v>
      </c>
      <c r="B50" s="98"/>
      <c r="C50" s="98"/>
      <c r="D50" s="98"/>
      <c r="E50" s="98"/>
      <c r="F50" s="98"/>
      <c r="G50" s="98"/>
      <c r="H50" s="98"/>
      <c r="I50" s="98"/>
      <c r="J50" s="98"/>
      <c r="K50" s="98"/>
      <c r="L50" s="98"/>
      <c r="M50" s="98"/>
      <c r="N50" s="98"/>
      <c r="O50" s="98"/>
      <c r="P50" s="98"/>
      <c r="Q50" s="98"/>
      <c r="R50" s="98"/>
      <c r="S50" s="106"/>
      <c r="T50" s="106"/>
      <c r="U50" s="106"/>
      <c r="V50" s="106"/>
      <c r="W50" s="106"/>
    </row>
    <row r="51" spans="1:23" s="111" customFormat="1" ht="28.35" customHeight="1" thickBot="1" x14ac:dyDescent="0.25">
      <c r="A51" s="584" t="s">
        <v>278</v>
      </c>
      <c r="B51" s="584" t="s">
        <v>263</v>
      </c>
      <c r="C51" s="582" t="s">
        <v>99</v>
      </c>
      <c r="D51" s="586"/>
      <c r="E51" s="586"/>
      <c r="F51" s="586"/>
      <c r="G51" s="586"/>
      <c r="H51" s="586"/>
      <c r="I51" s="583"/>
      <c r="J51" s="582" t="s">
        <v>87</v>
      </c>
      <c r="K51" s="586"/>
      <c r="L51" s="586"/>
      <c r="M51" s="586"/>
      <c r="N51" s="583"/>
      <c r="O51" s="582" t="s">
        <v>75</v>
      </c>
      <c r="P51" s="583"/>
      <c r="Q51" s="582" t="s">
        <v>0</v>
      </c>
      <c r="R51" s="583"/>
    </row>
    <row r="52" spans="1:23" s="112" customFormat="1" ht="109.5" customHeight="1" thickBot="1" x14ac:dyDescent="0.25">
      <c r="A52" s="585"/>
      <c r="B52" s="585"/>
      <c r="C52" s="178" t="s">
        <v>88</v>
      </c>
      <c r="D52" s="179" t="s">
        <v>89</v>
      </c>
      <c r="E52" s="179" t="s">
        <v>90</v>
      </c>
      <c r="F52" s="179" t="s">
        <v>91</v>
      </c>
      <c r="G52" s="179" t="s">
        <v>92</v>
      </c>
      <c r="H52" s="179" t="s">
        <v>93</v>
      </c>
      <c r="I52" s="322" t="s">
        <v>84</v>
      </c>
      <c r="J52" s="178" t="s">
        <v>94</v>
      </c>
      <c r="K52" s="179" t="s">
        <v>95</v>
      </c>
      <c r="L52" s="179" t="s">
        <v>96</v>
      </c>
      <c r="M52" s="179" t="s">
        <v>97</v>
      </c>
      <c r="N52" s="322" t="s">
        <v>85</v>
      </c>
      <c r="O52" s="178" t="s">
        <v>98</v>
      </c>
      <c r="P52" s="180" t="s">
        <v>86</v>
      </c>
      <c r="Q52" s="181" t="s">
        <v>121</v>
      </c>
      <c r="R52" s="182" t="s">
        <v>73</v>
      </c>
    </row>
    <row r="53" spans="1:23" s="132" customFormat="1" x14ac:dyDescent="0.2">
      <c r="A53" s="183" t="s">
        <v>479</v>
      </c>
      <c r="B53" s="183" t="s">
        <v>481</v>
      </c>
      <c r="C53" s="323"/>
      <c r="D53" s="324"/>
      <c r="E53" s="324"/>
      <c r="F53" s="324"/>
      <c r="G53" s="324"/>
      <c r="H53" s="324"/>
      <c r="I53" s="325">
        <f>SUM(C53:H53)</f>
        <v>0</v>
      </c>
      <c r="J53" s="326"/>
      <c r="K53" s="327"/>
      <c r="L53" s="324"/>
      <c r="M53" s="327"/>
      <c r="N53" s="325">
        <f>SUM(J53:M53)</f>
        <v>0</v>
      </c>
      <c r="O53" s="326"/>
      <c r="P53" s="325">
        <f t="shared" ref="P53:P60" si="21">+O53</f>
        <v>0</v>
      </c>
      <c r="Q53" s="326">
        <f>+I53+N53+P53</f>
        <v>0</v>
      </c>
      <c r="R53" s="269">
        <f>+Q53/Q61*100</f>
        <v>0</v>
      </c>
    </row>
    <row r="54" spans="1:23" s="132" customFormat="1" x14ac:dyDescent="0.2">
      <c r="A54" s="184" t="s">
        <v>479</v>
      </c>
      <c r="B54" s="184" t="s">
        <v>482</v>
      </c>
      <c r="C54" s="328"/>
      <c r="D54" s="263"/>
      <c r="E54" s="263"/>
      <c r="F54" s="263"/>
      <c r="G54" s="263"/>
      <c r="H54" s="263"/>
      <c r="I54" s="267">
        <f t="shared" ref="I54:I60" si="22">SUM(C54:H54)</f>
        <v>0</v>
      </c>
      <c r="J54" s="268"/>
      <c r="K54" s="329"/>
      <c r="L54" s="263"/>
      <c r="M54" s="329"/>
      <c r="N54" s="267">
        <f t="shared" ref="N54:N60" si="23">SUM(J54:M54)</f>
        <v>0</v>
      </c>
      <c r="O54" s="268"/>
      <c r="P54" s="267">
        <f t="shared" si="21"/>
        <v>0</v>
      </c>
      <c r="Q54" s="268">
        <f t="shared" ref="Q54:Q60" si="24">+I54+N54+P54</f>
        <v>0</v>
      </c>
      <c r="R54" s="270">
        <f>+Q54/Q61*100</f>
        <v>0</v>
      </c>
    </row>
    <row r="55" spans="1:23" s="132" customFormat="1" x14ac:dyDescent="0.2">
      <c r="A55" s="184" t="s">
        <v>479</v>
      </c>
      <c r="B55" s="184" t="s">
        <v>483</v>
      </c>
      <c r="C55" s="328"/>
      <c r="D55" s="263"/>
      <c r="E55" s="263"/>
      <c r="F55" s="263"/>
      <c r="G55" s="263"/>
      <c r="H55" s="263"/>
      <c r="I55" s="267">
        <f t="shared" si="22"/>
        <v>0</v>
      </c>
      <c r="J55" s="268"/>
      <c r="K55" s="329"/>
      <c r="L55" s="263"/>
      <c r="M55" s="329"/>
      <c r="N55" s="267">
        <f t="shared" si="23"/>
        <v>0</v>
      </c>
      <c r="O55" s="328"/>
      <c r="P55" s="267">
        <f t="shared" si="21"/>
        <v>0</v>
      </c>
      <c r="Q55" s="268">
        <f t="shared" si="24"/>
        <v>0</v>
      </c>
      <c r="R55" s="273">
        <f>+Q55/Q61*100</f>
        <v>0</v>
      </c>
    </row>
    <row r="56" spans="1:23" s="132" customFormat="1" x14ac:dyDescent="0.2">
      <c r="A56" s="184" t="s">
        <v>479</v>
      </c>
      <c r="B56" s="184" t="s">
        <v>484</v>
      </c>
      <c r="C56" s="328"/>
      <c r="D56" s="263"/>
      <c r="E56" s="263"/>
      <c r="F56" s="263"/>
      <c r="G56" s="263"/>
      <c r="H56" s="263"/>
      <c r="I56" s="267">
        <f t="shared" si="22"/>
        <v>0</v>
      </c>
      <c r="J56" s="268"/>
      <c r="K56" s="329"/>
      <c r="L56" s="263"/>
      <c r="M56" s="329"/>
      <c r="N56" s="267">
        <f t="shared" si="23"/>
        <v>0</v>
      </c>
      <c r="O56" s="328"/>
      <c r="P56" s="267">
        <f t="shared" si="21"/>
        <v>0</v>
      </c>
      <c r="Q56" s="268">
        <f t="shared" si="24"/>
        <v>0</v>
      </c>
      <c r="R56" s="273">
        <f>+Q56/Q61*100</f>
        <v>0</v>
      </c>
    </row>
    <row r="57" spans="1:23" s="132" customFormat="1" x14ac:dyDescent="0.2">
      <c r="A57" s="184" t="s">
        <v>479</v>
      </c>
      <c r="B57" s="184" t="s">
        <v>485</v>
      </c>
      <c r="C57" s="328"/>
      <c r="D57" s="263"/>
      <c r="E57" s="263"/>
      <c r="F57" s="263"/>
      <c r="G57" s="263"/>
      <c r="H57" s="263"/>
      <c r="I57" s="267">
        <f t="shared" si="22"/>
        <v>0</v>
      </c>
      <c r="J57" s="268"/>
      <c r="K57" s="329"/>
      <c r="L57" s="263"/>
      <c r="M57" s="329"/>
      <c r="N57" s="267">
        <f t="shared" si="23"/>
        <v>0</v>
      </c>
      <c r="O57" s="268"/>
      <c r="P57" s="267">
        <f t="shared" si="21"/>
        <v>0</v>
      </c>
      <c r="Q57" s="268">
        <f t="shared" si="24"/>
        <v>0</v>
      </c>
      <c r="R57" s="270">
        <f>+Q57/Q61*100</f>
        <v>0</v>
      </c>
    </row>
    <row r="58" spans="1:23" s="132" customFormat="1" x14ac:dyDescent="0.2">
      <c r="A58" s="184" t="s">
        <v>479</v>
      </c>
      <c r="B58" s="184" t="s">
        <v>486</v>
      </c>
      <c r="C58" s="328"/>
      <c r="D58" s="263"/>
      <c r="E58" s="263"/>
      <c r="F58" s="263"/>
      <c r="G58" s="263"/>
      <c r="H58" s="263"/>
      <c r="I58" s="267">
        <f t="shared" si="22"/>
        <v>0</v>
      </c>
      <c r="J58" s="268"/>
      <c r="K58" s="329"/>
      <c r="L58" s="263"/>
      <c r="M58" s="329"/>
      <c r="N58" s="267">
        <f t="shared" si="23"/>
        <v>0</v>
      </c>
      <c r="O58" s="328"/>
      <c r="P58" s="267">
        <f t="shared" si="21"/>
        <v>0</v>
      </c>
      <c r="Q58" s="268">
        <f t="shared" si="24"/>
        <v>0</v>
      </c>
      <c r="R58" s="270">
        <f>+Q58/Q61*100</f>
        <v>0</v>
      </c>
    </row>
    <row r="59" spans="1:23" s="132" customFormat="1" x14ac:dyDescent="0.2">
      <c r="A59" s="184" t="s">
        <v>479</v>
      </c>
      <c r="B59" s="184" t="s">
        <v>487</v>
      </c>
      <c r="C59" s="328"/>
      <c r="D59" s="263"/>
      <c r="E59" s="263"/>
      <c r="F59" s="263">
        <v>52400</v>
      </c>
      <c r="G59" s="263"/>
      <c r="H59" s="263"/>
      <c r="I59" s="267">
        <f t="shared" si="22"/>
        <v>52400</v>
      </c>
      <c r="J59" s="268"/>
      <c r="K59" s="329"/>
      <c r="L59" s="263"/>
      <c r="M59" s="329"/>
      <c r="N59" s="267">
        <f t="shared" si="23"/>
        <v>0</v>
      </c>
      <c r="O59" s="328"/>
      <c r="P59" s="267">
        <f t="shared" si="21"/>
        <v>0</v>
      </c>
      <c r="Q59" s="268">
        <f t="shared" si="24"/>
        <v>52400</v>
      </c>
      <c r="R59" s="270">
        <f>+Q59/Q61*100</f>
        <v>100</v>
      </c>
    </row>
    <row r="60" spans="1:23" s="132" customFormat="1" ht="12" thickBot="1" x14ac:dyDescent="0.25">
      <c r="A60" s="185" t="s">
        <v>479</v>
      </c>
      <c r="B60" s="185" t="s">
        <v>488</v>
      </c>
      <c r="C60" s="330"/>
      <c r="D60" s="331"/>
      <c r="E60" s="331"/>
      <c r="F60" s="331"/>
      <c r="G60" s="331"/>
      <c r="H60" s="331"/>
      <c r="I60" s="332">
        <f t="shared" si="22"/>
        <v>0</v>
      </c>
      <c r="J60" s="333"/>
      <c r="K60" s="334"/>
      <c r="L60" s="331"/>
      <c r="M60" s="334"/>
      <c r="N60" s="332">
        <f t="shared" si="23"/>
        <v>0</v>
      </c>
      <c r="O60" s="333"/>
      <c r="P60" s="332">
        <f t="shared" si="21"/>
        <v>0</v>
      </c>
      <c r="Q60" s="333">
        <f t="shared" si="24"/>
        <v>0</v>
      </c>
      <c r="R60" s="271">
        <f>+Q60/Q61*100</f>
        <v>0</v>
      </c>
    </row>
    <row r="61" spans="1:23" s="132" customFormat="1" ht="12" thickBot="1" x14ac:dyDescent="0.25">
      <c r="A61" s="186" t="s">
        <v>66</v>
      </c>
      <c r="B61" s="186" t="s">
        <v>66</v>
      </c>
      <c r="C61" s="264">
        <f>SUM(C53:C60)</f>
        <v>0</v>
      </c>
      <c r="D61" s="265">
        <f t="shared" ref="D61:I61" si="25">SUM(D53:D60)</f>
        <v>0</v>
      </c>
      <c r="E61" s="265">
        <f t="shared" si="25"/>
        <v>0</v>
      </c>
      <c r="F61" s="265">
        <f t="shared" si="25"/>
        <v>52400</v>
      </c>
      <c r="G61" s="265">
        <f t="shared" si="25"/>
        <v>0</v>
      </c>
      <c r="H61" s="265">
        <f t="shared" si="25"/>
        <v>0</v>
      </c>
      <c r="I61" s="266">
        <f t="shared" si="25"/>
        <v>52400</v>
      </c>
      <c r="J61" s="264"/>
      <c r="K61" s="265"/>
      <c r="L61" s="265">
        <f t="shared" ref="L61" si="26">SUM(L53:L60)</f>
        <v>0</v>
      </c>
      <c r="M61" s="265"/>
      <c r="N61" s="266">
        <f t="shared" ref="N61" si="27">SUM(N53:N60)</f>
        <v>0</v>
      </c>
      <c r="O61" s="264">
        <f>SUM(O53:O60)</f>
        <v>0</v>
      </c>
      <c r="P61" s="266">
        <f>SUM(P53:P60)</f>
        <v>0</v>
      </c>
      <c r="Q61" s="264">
        <f>SUM(Q53:Q60)</f>
        <v>52400</v>
      </c>
      <c r="R61" s="272"/>
    </row>
    <row r="64" spans="1:23" s="132" customFormat="1" x14ac:dyDescent="0.2"/>
    <row r="65" spans="1:23" s="132" customFormat="1" x14ac:dyDescent="0.2"/>
    <row r="66" spans="1:23" s="132" customFormat="1" x14ac:dyDescent="0.2"/>
    <row r="67" spans="1:23" s="132" customFormat="1" x14ac:dyDescent="0.2"/>
    <row r="69" spans="1:23" s="107" customFormat="1" ht="12" thickBot="1" x14ac:dyDescent="0.25">
      <c r="A69" s="97" t="s">
        <v>492</v>
      </c>
      <c r="B69" s="98"/>
      <c r="C69" s="98"/>
      <c r="D69" s="98"/>
      <c r="E69" s="98"/>
      <c r="F69" s="98"/>
      <c r="G69" s="98"/>
      <c r="H69" s="98"/>
      <c r="I69" s="98"/>
      <c r="J69" s="98"/>
      <c r="K69" s="98"/>
      <c r="L69" s="98"/>
      <c r="M69" s="98"/>
      <c r="N69" s="98"/>
      <c r="O69" s="98"/>
      <c r="P69" s="98"/>
      <c r="Q69" s="98"/>
      <c r="R69" s="98"/>
      <c r="S69" s="106"/>
      <c r="T69" s="106"/>
      <c r="U69" s="106"/>
      <c r="V69" s="106"/>
      <c r="W69" s="106"/>
    </row>
    <row r="70" spans="1:23" s="111" customFormat="1" ht="28.35" customHeight="1" thickBot="1" x14ac:dyDescent="0.25">
      <c r="A70" s="584" t="s">
        <v>278</v>
      </c>
      <c r="B70" s="584" t="s">
        <v>263</v>
      </c>
      <c r="C70" s="582" t="s">
        <v>99</v>
      </c>
      <c r="D70" s="586"/>
      <c r="E70" s="586"/>
      <c r="F70" s="586"/>
      <c r="G70" s="586"/>
      <c r="H70" s="586"/>
      <c r="I70" s="583"/>
      <c r="J70" s="582" t="s">
        <v>87</v>
      </c>
      <c r="K70" s="586"/>
      <c r="L70" s="586"/>
      <c r="M70" s="586"/>
      <c r="N70" s="583"/>
      <c r="O70" s="582" t="s">
        <v>75</v>
      </c>
      <c r="P70" s="583"/>
      <c r="Q70" s="582" t="s">
        <v>0</v>
      </c>
      <c r="R70" s="583"/>
    </row>
    <row r="71" spans="1:23" s="112" customFormat="1" ht="109.5" customHeight="1" thickBot="1" x14ac:dyDescent="0.25">
      <c r="A71" s="585"/>
      <c r="B71" s="585"/>
      <c r="C71" s="178" t="s">
        <v>88</v>
      </c>
      <c r="D71" s="179" t="s">
        <v>89</v>
      </c>
      <c r="E71" s="179" t="s">
        <v>90</v>
      </c>
      <c r="F71" s="179" t="s">
        <v>91</v>
      </c>
      <c r="G71" s="179" t="s">
        <v>92</v>
      </c>
      <c r="H71" s="179" t="s">
        <v>93</v>
      </c>
      <c r="I71" s="322" t="s">
        <v>84</v>
      </c>
      <c r="J71" s="178" t="s">
        <v>94</v>
      </c>
      <c r="K71" s="179" t="s">
        <v>95</v>
      </c>
      <c r="L71" s="179" t="s">
        <v>96</v>
      </c>
      <c r="M71" s="179" t="s">
        <v>97</v>
      </c>
      <c r="N71" s="322" t="s">
        <v>85</v>
      </c>
      <c r="O71" s="178" t="s">
        <v>98</v>
      </c>
      <c r="P71" s="180" t="s">
        <v>86</v>
      </c>
      <c r="Q71" s="181" t="s">
        <v>121</v>
      </c>
      <c r="R71" s="182" t="s">
        <v>73</v>
      </c>
    </row>
    <row r="72" spans="1:23" s="132" customFormat="1" x14ac:dyDescent="0.2">
      <c r="A72" s="183" t="s">
        <v>479</v>
      </c>
      <c r="B72" s="183" t="s">
        <v>481</v>
      </c>
      <c r="C72" s="323"/>
      <c r="D72" s="324"/>
      <c r="E72" s="324"/>
      <c r="F72" s="324">
        <v>296879</v>
      </c>
      <c r="G72" s="324"/>
      <c r="H72" s="324"/>
      <c r="I72" s="325">
        <f>SUM(C72:H72)</f>
        <v>296879</v>
      </c>
      <c r="J72" s="326"/>
      <c r="K72" s="327"/>
      <c r="L72" s="324">
        <v>40358767</v>
      </c>
      <c r="M72" s="327"/>
      <c r="N72" s="325">
        <f>SUM(J72:M72)</f>
        <v>40358767</v>
      </c>
      <c r="O72" s="326"/>
      <c r="P72" s="325">
        <f t="shared" ref="P72:P79" si="28">+O72</f>
        <v>0</v>
      </c>
      <c r="Q72" s="326">
        <f>+I72+N72+P72</f>
        <v>40655646</v>
      </c>
      <c r="R72" s="269">
        <f>+Q72/Q80*100</f>
        <v>50.770188568635852</v>
      </c>
    </row>
    <row r="73" spans="1:23" s="132" customFormat="1" x14ac:dyDescent="0.2">
      <c r="A73" s="184" t="s">
        <v>479</v>
      </c>
      <c r="B73" s="184" t="s">
        <v>482</v>
      </c>
      <c r="C73" s="328"/>
      <c r="D73" s="263"/>
      <c r="E73" s="263"/>
      <c r="F73" s="263"/>
      <c r="G73" s="263"/>
      <c r="H73" s="263"/>
      <c r="I73" s="267">
        <f t="shared" ref="I73:I79" si="29">SUM(C73:H73)</f>
        <v>0</v>
      </c>
      <c r="J73" s="268"/>
      <c r="K73" s="329"/>
      <c r="L73" s="263">
        <v>13536931</v>
      </c>
      <c r="M73" s="329"/>
      <c r="N73" s="267">
        <f t="shared" ref="N73:N79" si="30">SUM(J73:M73)</f>
        <v>13536931</v>
      </c>
      <c r="O73" s="268"/>
      <c r="P73" s="267">
        <f t="shared" si="28"/>
        <v>0</v>
      </c>
      <c r="Q73" s="268">
        <f t="shared" ref="Q73:Q79" si="31">+I73+N73+P73</f>
        <v>13536931</v>
      </c>
      <c r="R73" s="270">
        <f>+Q73/Q80*100</f>
        <v>16.904725594831586</v>
      </c>
    </row>
    <row r="74" spans="1:23" s="132" customFormat="1" x14ac:dyDescent="0.2">
      <c r="A74" s="184" t="s">
        <v>479</v>
      </c>
      <c r="B74" s="184" t="s">
        <v>483</v>
      </c>
      <c r="C74" s="328"/>
      <c r="D74" s="263"/>
      <c r="E74" s="263"/>
      <c r="F74" s="263"/>
      <c r="G74" s="263"/>
      <c r="H74" s="263"/>
      <c r="I74" s="267">
        <f t="shared" si="29"/>
        <v>0</v>
      </c>
      <c r="J74" s="268"/>
      <c r="K74" s="329"/>
      <c r="L74" s="263">
        <v>5100000</v>
      </c>
      <c r="M74" s="329"/>
      <c r="N74" s="267">
        <f t="shared" si="30"/>
        <v>5100000</v>
      </c>
      <c r="O74" s="328"/>
      <c r="P74" s="267">
        <f t="shared" si="28"/>
        <v>0</v>
      </c>
      <c r="Q74" s="268">
        <f t="shared" si="31"/>
        <v>5100000</v>
      </c>
      <c r="R74" s="273">
        <f>+Q74/Q80*100</f>
        <v>6.3688069721003302</v>
      </c>
    </row>
    <row r="75" spans="1:23" s="132" customFormat="1" x14ac:dyDescent="0.2">
      <c r="A75" s="184" t="s">
        <v>479</v>
      </c>
      <c r="B75" s="184" t="s">
        <v>484</v>
      </c>
      <c r="C75" s="328"/>
      <c r="D75" s="263"/>
      <c r="E75" s="263"/>
      <c r="F75" s="263"/>
      <c r="G75" s="263"/>
      <c r="H75" s="263"/>
      <c r="I75" s="267">
        <f t="shared" si="29"/>
        <v>0</v>
      </c>
      <c r="J75" s="268"/>
      <c r="K75" s="329"/>
      <c r="L75" s="263">
        <v>4367402</v>
      </c>
      <c r="M75" s="329"/>
      <c r="N75" s="267">
        <f t="shared" si="30"/>
        <v>4367402</v>
      </c>
      <c r="O75" s="328"/>
      <c r="P75" s="267">
        <f t="shared" si="28"/>
        <v>0</v>
      </c>
      <c r="Q75" s="268">
        <f t="shared" si="31"/>
        <v>4367402</v>
      </c>
      <c r="R75" s="273">
        <f>+Q75/Q80*100</f>
        <v>5.4539490799146915</v>
      </c>
    </row>
    <row r="76" spans="1:23" s="132" customFormat="1" x14ac:dyDescent="0.2">
      <c r="A76" s="184" t="s">
        <v>479</v>
      </c>
      <c r="B76" s="184" t="s">
        <v>485</v>
      </c>
      <c r="C76" s="328"/>
      <c r="D76" s="263"/>
      <c r="E76" s="263"/>
      <c r="F76" s="263"/>
      <c r="G76" s="263"/>
      <c r="H76" s="263"/>
      <c r="I76" s="267">
        <f t="shared" si="29"/>
        <v>0</v>
      </c>
      <c r="J76" s="268"/>
      <c r="K76" s="329"/>
      <c r="L76" s="263">
        <v>10000000</v>
      </c>
      <c r="M76" s="329"/>
      <c r="N76" s="267">
        <f t="shared" si="30"/>
        <v>10000000</v>
      </c>
      <c r="O76" s="268"/>
      <c r="P76" s="267">
        <f t="shared" si="28"/>
        <v>0</v>
      </c>
      <c r="Q76" s="268">
        <f t="shared" si="31"/>
        <v>10000000</v>
      </c>
      <c r="R76" s="270">
        <f>+Q76/Q80*100</f>
        <v>12.487856808039862</v>
      </c>
    </row>
    <row r="77" spans="1:23" s="132" customFormat="1" x14ac:dyDescent="0.2">
      <c r="A77" s="184" t="s">
        <v>479</v>
      </c>
      <c r="B77" s="184" t="s">
        <v>486</v>
      </c>
      <c r="C77" s="328"/>
      <c r="D77" s="263"/>
      <c r="E77" s="263"/>
      <c r="F77" s="263">
        <v>200000</v>
      </c>
      <c r="G77" s="263"/>
      <c r="H77" s="263"/>
      <c r="I77" s="267">
        <f t="shared" si="29"/>
        <v>200000</v>
      </c>
      <c r="J77" s="268"/>
      <c r="K77" s="329"/>
      <c r="L77" s="263"/>
      <c r="M77" s="329"/>
      <c r="N77" s="267">
        <f t="shared" si="30"/>
        <v>0</v>
      </c>
      <c r="O77" s="328"/>
      <c r="P77" s="267">
        <f t="shared" si="28"/>
        <v>0</v>
      </c>
      <c r="Q77" s="268">
        <f t="shared" si="31"/>
        <v>200000</v>
      </c>
      <c r="R77" s="270">
        <f>+Q77/Q80*100</f>
        <v>0.24975713616079723</v>
      </c>
    </row>
    <row r="78" spans="1:23" s="132" customFormat="1" x14ac:dyDescent="0.2">
      <c r="A78" s="184" t="s">
        <v>479</v>
      </c>
      <c r="B78" s="184" t="s">
        <v>487</v>
      </c>
      <c r="C78" s="328"/>
      <c r="D78" s="263"/>
      <c r="E78" s="263"/>
      <c r="F78" s="263">
        <v>2141532</v>
      </c>
      <c r="G78" s="263"/>
      <c r="H78" s="263"/>
      <c r="I78" s="267">
        <f t="shared" si="29"/>
        <v>2141532</v>
      </c>
      <c r="J78" s="268"/>
      <c r="K78" s="329"/>
      <c r="L78" s="263">
        <v>500000</v>
      </c>
      <c r="M78" s="329"/>
      <c r="N78" s="267">
        <f t="shared" si="30"/>
        <v>500000</v>
      </c>
      <c r="O78" s="328"/>
      <c r="P78" s="267">
        <f t="shared" si="28"/>
        <v>0</v>
      </c>
      <c r="Q78" s="268">
        <f t="shared" si="31"/>
        <v>2641532</v>
      </c>
      <c r="R78" s="270">
        <f>+Q78/Q80*100</f>
        <v>3.2987073369855153</v>
      </c>
    </row>
    <row r="79" spans="1:23" s="132" customFormat="1" ht="12" thickBot="1" x14ac:dyDescent="0.25">
      <c r="A79" s="185" t="s">
        <v>479</v>
      </c>
      <c r="B79" s="185" t="s">
        <v>488</v>
      </c>
      <c r="C79" s="330"/>
      <c r="D79" s="331"/>
      <c r="E79" s="331"/>
      <c r="F79" s="331">
        <v>3576281</v>
      </c>
      <c r="G79" s="331"/>
      <c r="H79" s="331"/>
      <c r="I79" s="332">
        <f t="shared" si="29"/>
        <v>3576281</v>
      </c>
      <c r="J79" s="333"/>
      <c r="K79" s="334"/>
      <c r="L79" s="331"/>
      <c r="M79" s="334"/>
      <c r="N79" s="332">
        <f t="shared" si="30"/>
        <v>0</v>
      </c>
      <c r="O79" s="333"/>
      <c r="P79" s="332">
        <f t="shared" si="28"/>
        <v>0</v>
      </c>
      <c r="Q79" s="333">
        <f t="shared" si="31"/>
        <v>3576281</v>
      </c>
      <c r="R79" s="271">
        <f>+Q79/Q80*100</f>
        <v>4.4660085033313601</v>
      </c>
    </row>
    <row r="80" spans="1:23" s="132" customFormat="1" ht="12" thickBot="1" x14ac:dyDescent="0.25">
      <c r="A80" s="186" t="s">
        <v>66</v>
      </c>
      <c r="B80" s="186" t="s">
        <v>66</v>
      </c>
      <c r="C80" s="264">
        <f>SUM(C72:C79)</f>
        <v>0</v>
      </c>
      <c r="D80" s="265">
        <f t="shared" ref="D80:I80" si="32">SUM(D72:D79)</f>
        <v>0</v>
      </c>
      <c r="E80" s="265">
        <f t="shared" si="32"/>
        <v>0</v>
      </c>
      <c r="F80" s="265">
        <f t="shared" si="32"/>
        <v>6214692</v>
      </c>
      <c r="G80" s="265">
        <f t="shared" si="32"/>
        <v>0</v>
      </c>
      <c r="H80" s="265">
        <f t="shared" si="32"/>
        <v>0</v>
      </c>
      <c r="I80" s="266">
        <f t="shared" si="32"/>
        <v>6214692</v>
      </c>
      <c r="J80" s="264"/>
      <c r="K80" s="265"/>
      <c r="L80" s="265">
        <f t="shared" ref="L80" si="33">SUM(L72:L79)</f>
        <v>73863100</v>
      </c>
      <c r="M80" s="265"/>
      <c r="N80" s="266">
        <f t="shared" ref="N80" si="34">SUM(N72:N79)</f>
        <v>73863100</v>
      </c>
      <c r="O80" s="264">
        <f>SUM(O72:O79)</f>
        <v>0</v>
      </c>
      <c r="P80" s="266">
        <f>SUM(P72:P79)</f>
        <v>0</v>
      </c>
      <c r="Q80" s="264">
        <f>SUM(Q72:Q79)</f>
        <v>80077792</v>
      </c>
      <c r="R80" s="272"/>
    </row>
  </sheetData>
  <mergeCells count="30">
    <mergeCell ref="A4:A5"/>
    <mergeCell ref="J4:N4"/>
    <mergeCell ref="O4:P4"/>
    <mergeCell ref="Q4:R4"/>
    <mergeCell ref="C4:I4"/>
    <mergeCell ref="B4:B5"/>
    <mergeCell ref="Q19:R19"/>
    <mergeCell ref="A36:A37"/>
    <mergeCell ref="B36:B37"/>
    <mergeCell ref="C36:I36"/>
    <mergeCell ref="J36:N36"/>
    <mergeCell ref="O36:P36"/>
    <mergeCell ref="Q36:R36"/>
    <mergeCell ref="A19:A20"/>
    <mergeCell ref="B19:B20"/>
    <mergeCell ref="C19:I19"/>
    <mergeCell ref="J19:N19"/>
    <mergeCell ref="O19:P19"/>
    <mergeCell ref="Q51:R51"/>
    <mergeCell ref="A70:A71"/>
    <mergeCell ref="B70:B71"/>
    <mergeCell ref="C70:I70"/>
    <mergeCell ref="J70:N70"/>
    <mergeCell ref="O70:P70"/>
    <mergeCell ref="Q70:R70"/>
    <mergeCell ref="A51:A52"/>
    <mergeCell ref="B51:B52"/>
    <mergeCell ref="C51:I51"/>
    <mergeCell ref="J51:N51"/>
    <mergeCell ref="O51:P51"/>
  </mergeCells>
  <phoneticPr fontId="0" type="noConversion"/>
  <printOptions horizontalCentered="1"/>
  <pageMargins left="0.23622047244094491" right="0.23622047244094491" top="0.74803149606299213" bottom="0.74803149606299213" header="0.31496062992125984" footer="0.31496062992125984"/>
  <pageSetup paperSize="9" scale="80" orientation="landscape" r:id="rId1"/>
  <headerFooter alignWithMargins="0">
    <oddHeader xml:space="preserve">&amp;C&amp;"Arial,Negrita"&amp;18PROYECTO DE PRESUPUESTO 2022
</oddHeader>
    <oddFooter>&amp;L&amp;"Arial,Negrita"&amp;8PROYECTO DE PRESUPUESTO PARA EL AÑO FISCAL 2022
INFORMACIÓN PARA LA COMISIÓN DE PRESUPUESTO Y CUENTA GENERAL DE LA REPÚBLICA DEL CONGRESO DE LA REPÚBLICA</oddFooter>
  </headerFooter>
  <colBreaks count="1" manualBreakCount="1">
    <brk id="1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D102"/>
  <sheetViews>
    <sheetView zoomScaleNormal="100" zoomScaleSheetLayoutView="100" workbookViewId="0">
      <selection activeCell="B5" sqref="B5:E5"/>
    </sheetView>
  </sheetViews>
  <sheetFormatPr baseColWidth="10" defaultColWidth="11.28515625" defaultRowHeight="12.75" x14ac:dyDescent="0.2"/>
  <cols>
    <col min="1" max="1" width="68.7109375" customWidth="1"/>
    <col min="2" max="2" width="12.7109375" customWidth="1"/>
    <col min="3" max="4" width="11.140625" bestFit="1" customWidth="1"/>
  </cols>
  <sheetData>
    <row r="1" spans="1:4" x14ac:dyDescent="0.2">
      <c r="A1" s="97" t="s">
        <v>375</v>
      </c>
    </row>
    <row r="2" spans="1:4" x14ac:dyDescent="0.2">
      <c r="A2" s="98" t="s">
        <v>473</v>
      </c>
    </row>
    <row r="3" spans="1:4" s="127" customFormat="1" ht="28.35" customHeight="1" x14ac:dyDescent="0.2">
      <c r="A3" s="133" t="s">
        <v>321</v>
      </c>
      <c r="B3" s="134">
        <v>2020</v>
      </c>
      <c r="C3" s="134">
        <v>2021</v>
      </c>
      <c r="D3" s="134">
        <v>2022</v>
      </c>
    </row>
    <row r="4" spans="1:4" ht="13.5" x14ac:dyDescent="0.25">
      <c r="A4" s="306" t="s">
        <v>468</v>
      </c>
      <c r="B4" s="274">
        <v>6905181</v>
      </c>
      <c r="C4" s="274">
        <v>8659222</v>
      </c>
      <c r="D4" s="274">
        <v>10215409</v>
      </c>
    </row>
    <row r="5" spans="1:4" s="129" customFormat="1" ht="13.5" x14ac:dyDescent="0.25">
      <c r="A5" s="306" t="s">
        <v>467</v>
      </c>
      <c r="B5" s="260">
        <v>6446738</v>
      </c>
      <c r="C5" s="260">
        <v>6855304</v>
      </c>
      <c r="D5" s="260">
        <v>8971662</v>
      </c>
    </row>
    <row r="6" spans="1:4" s="129" customFormat="1" ht="13.5" x14ac:dyDescent="0.25">
      <c r="A6" s="306" t="s">
        <v>466</v>
      </c>
      <c r="B6" s="260">
        <v>5257828</v>
      </c>
      <c r="C6" s="260">
        <v>6390832</v>
      </c>
      <c r="D6" s="260">
        <v>7078541</v>
      </c>
    </row>
    <row r="7" spans="1:4" s="129" customFormat="1" ht="13.5" x14ac:dyDescent="0.25">
      <c r="A7" s="306" t="s">
        <v>465</v>
      </c>
      <c r="B7" s="260">
        <v>4011132</v>
      </c>
      <c r="C7" s="260">
        <v>5359130</v>
      </c>
      <c r="D7" s="260">
        <v>11706097</v>
      </c>
    </row>
    <row r="8" spans="1:4" s="129" customFormat="1" ht="13.5" x14ac:dyDescent="0.25">
      <c r="A8" s="306" t="s">
        <v>464</v>
      </c>
      <c r="B8" s="260">
        <v>1882173</v>
      </c>
      <c r="C8" s="260">
        <v>2267996</v>
      </c>
      <c r="D8" s="260">
        <v>3256928</v>
      </c>
    </row>
    <row r="9" spans="1:4" s="129" customFormat="1" ht="13.5" x14ac:dyDescent="0.25">
      <c r="A9" s="306" t="s">
        <v>463</v>
      </c>
      <c r="B9" s="260">
        <v>1210541</v>
      </c>
      <c r="C9" s="260">
        <v>1285145</v>
      </c>
      <c r="D9" s="260">
        <v>1203741</v>
      </c>
    </row>
    <row r="10" spans="1:4" s="129" customFormat="1" ht="13.5" x14ac:dyDescent="0.25">
      <c r="A10" s="306" t="s">
        <v>441</v>
      </c>
      <c r="B10" s="260">
        <v>60000</v>
      </c>
      <c r="C10" s="260">
        <v>285077</v>
      </c>
      <c r="D10" s="260">
        <v>0</v>
      </c>
    </row>
    <row r="11" spans="1:4" s="129" customFormat="1" ht="13.5" x14ac:dyDescent="0.25">
      <c r="A11" s="306" t="s">
        <v>462</v>
      </c>
      <c r="B11" s="260">
        <v>571117</v>
      </c>
      <c r="C11" s="260">
        <v>570359</v>
      </c>
      <c r="D11" s="260">
        <v>534408</v>
      </c>
    </row>
    <row r="12" spans="1:4" s="129" customFormat="1" ht="13.5" x14ac:dyDescent="0.25">
      <c r="A12" s="306" t="s">
        <v>461</v>
      </c>
      <c r="B12" s="260">
        <v>3394447</v>
      </c>
      <c r="C12" s="260">
        <v>3125993</v>
      </c>
      <c r="D12" s="260">
        <v>4107660</v>
      </c>
    </row>
    <row r="13" spans="1:4" s="129" customFormat="1" ht="13.5" x14ac:dyDescent="0.25">
      <c r="A13" s="306" t="s">
        <v>457</v>
      </c>
      <c r="B13" s="260">
        <v>1415116</v>
      </c>
      <c r="C13" s="260">
        <v>1239570</v>
      </c>
      <c r="D13" s="260">
        <v>5026597</v>
      </c>
    </row>
    <row r="14" spans="1:4" s="129" customFormat="1" ht="13.5" x14ac:dyDescent="0.25">
      <c r="A14" s="306" t="s">
        <v>456</v>
      </c>
      <c r="B14" s="260">
        <v>129629102</v>
      </c>
      <c r="C14" s="260">
        <v>136102752</v>
      </c>
      <c r="D14" s="260">
        <v>129291009</v>
      </c>
    </row>
    <row r="15" spans="1:4" s="129" customFormat="1" ht="13.5" x14ac:dyDescent="0.25">
      <c r="A15" s="306" t="s">
        <v>455</v>
      </c>
      <c r="B15" s="260">
        <v>1294737</v>
      </c>
      <c r="C15" s="260">
        <v>939400</v>
      </c>
      <c r="D15" s="260">
        <v>659159</v>
      </c>
    </row>
    <row r="16" spans="1:4" s="129" customFormat="1" ht="13.5" x14ac:dyDescent="0.25">
      <c r="A16" s="306" t="s">
        <v>454</v>
      </c>
      <c r="B16" s="260">
        <v>1999690</v>
      </c>
      <c r="C16" s="260">
        <v>2316499</v>
      </c>
      <c r="D16" s="260">
        <v>2506532</v>
      </c>
    </row>
    <row r="17" spans="1:4" s="129" customFormat="1" ht="27" x14ac:dyDescent="0.25">
      <c r="A17" s="306" t="s">
        <v>453</v>
      </c>
      <c r="B17" s="260">
        <v>548349</v>
      </c>
      <c r="C17" s="260">
        <v>623934</v>
      </c>
      <c r="D17" s="260">
        <v>441930</v>
      </c>
    </row>
    <row r="18" spans="1:4" s="129" customFormat="1" ht="27" x14ac:dyDescent="0.25">
      <c r="A18" s="306" t="s">
        <v>452</v>
      </c>
      <c r="B18" s="260">
        <v>959135</v>
      </c>
      <c r="C18" s="260">
        <v>888418</v>
      </c>
      <c r="D18" s="260">
        <v>2454532</v>
      </c>
    </row>
    <row r="19" spans="1:4" s="129" customFormat="1" ht="13.5" x14ac:dyDescent="0.25">
      <c r="A19" s="306" t="s">
        <v>450</v>
      </c>
      <c r="B19" s="260">
        <v>9744179</v>
      </c>
      <c r="C19" s="260">
        <v>18431260</v>
      </c>
      <c r="D19" s="260">
        <v>8589555</v>
      </c>
    </row>
    <row r="20" spans="1:4" s="129" customFormat="1" ht="27" x14ac:dyDescent="0.25">
      <c r="A20" s="306" t="s">
        <v>448</v>
      </c>
      <c r="B20" s="260">
        <v>472301</v>
      </c>
      <c r="C20" s="260">
        <v>439258</v>
      </c>
      <c r="D20" s="260">
        <v>562863</v>
      </c>
    </row>
    <row r="21" spans="1:4" s="129" customFormat="1" ht="27" x14ac:dyDescent="0.25">
      <c r="A21" s="306" t="s">
        <v>447</v>
      </c>
      <c r="B21" s="260">
        <v>5643889</v>
      </c>
      <c r="C21" s="260">
        <v>1745361</v>
      </c>
      <c r="D21" s="260">
        <v>1774692</v>
      </c>
    </row>
    <row r="22" spans="1:4" s="129" customFormat="1" ht="13.5" x14ac:dyDescent="0.25">
      <c r="A22" s="306" t="s">
        <v>446</v>
      </c>
      <c r="B22" s="260">
        <v>2612772</v>
      </c>
      <c r="C22" s="260">
        <v>3739260</v>
      </c>
      <c r="D22" s="260">
        <v>2597103</v>
      </c>
    </row>
    <row r="23" spans="1:4" s="129" customFormat="1" ht="13.5" x14ac:dyDescent="0.25">
      <c r="A23" s="306" t="s">
        <v>445</v>
      </c>
      <c r="B23" s="260">
        <v>38116000</v>
      </c>
      <c r="C23" s="260">
        <v>30910923</v>
      </c>
      <c r="D23" s="260">
        <v>31261783</v>
      </c>
    </row>
    <row r="24" spans="1:4" s="129" customFormat="1" ht="27" x14ac:dyDescent="0.25">
      <c r="A24" s="306" t="s">
        <v>443</v>
      </c>
      <c r="B24" s="260">
        <v>98426</v>
      </c>
      <c r="C24" s="260">
        <v>98426</v>
      </c>
      <c r="D24" s="260">
        <v>98426</v>
      </c>
    </row>
    <row r="25" spans="1:4" s="129" customFormat="1" ht="13.5" x14ac:dyDescent="0.25">
      <c r="A25" s="306" t="s">
        <v>469</v>
      </c>
      <c r="B25" s="260">
        <v>98371</v>
      </c>
      <c r="C25" s="260">
        <v>133190</v>
      </c>
      <c r="D25" s="260">
        <v>87196</v>
      </c>
    </row>
    <row r="26" spans="1:4" s="129" customFormat="1" ht="27" x14ac:dyDescent="0.25">
      <c r="A26" s="306" t="s">
        <v>470</v>
      </c>
      <c r="B26" s="260">
        <v>11650621</v>
      </c>
      <c r="C26" s="260">
        <v>27627503</v>
      </c>
      <c r="D26" s="260">
        <v>17018309</v>
      </c>
    </row>
    <row r="27" spans="1:4" s="129" customFormat="1" ht="27" x14ac:dyDescent="0.25">
      <c r="A27" s="306" t="s">
        <v>442</v>
      </c>
      <c r="B27" s="260">
        <v>221615</v>
      </c>
      <c r="C27" s="260">
        <v>94632</v>
      </c>
      <c r="D27" s="260">
        <v>24804</v>
      </c>
    </row>
    <row r="28" spans="1:4" s="129" customFormat="1" ht="13.5" x14ac:dyDescent="0.25">
      <c r="A28" s="306" t="s">
        <v>472</v>
      </c>
      <c r="B28" s="260"/>
      <c r="C28" s="260"/>
      <c r="D28" s="260">
        <v>5635372</v>
      </c>
    </row>
    <row r="29" spans="1:4" s="129" customFormat="1" ht="13.5" x14ac:dyDescent="0.25">
      <c r="A29" s="306" t="s">
        <v>471</v>
      </c>
      <c r="B29" s="260"/>
      <c r="C29" s="260">
        <v>124080</v>
      </c>
      <c r="D29" s="260">
        <v>8904</v>
      </c>
    </row>
    <row r="30" spans="1:4" s="130" customFormat="1" ht="22.5" customHeight="1" x14ac:dyDescent="0.2">
      <c r="A30" s="131" t="s">
        <v>309</v>
      </c>
      <c r="B30" s="261">
        <f>SUM(B4:B29)</f>
        <v>234243460</v>
      </c>
      <c r="C30" s="261">
        <f>SUM(C4:C29)</f>
        <v>260253524</v>
      </c>
      <c r="D30" s="261">
        <f>SUM(D4:D29)</f>
        <v>255113212</v>
      </c>
    </row>
    <row r="32" spans="1:4" s="127" customFormat="1" ht="28.35" customHeight="1" x14ac:dyDescent="0.2">
      <c r="A32" s="133" t="s">
        <v>322</v>
      </c>
      <c r="B32" s="134">
        <v>2020</v>
      </c>
      <c r="C32" s="134" t="s">
        <v>369</v>
      </c>
      <c r="D32" s="134" t="s">
        <v>370</v>
      </c>
    </row>
    <row r="33" spans="1:4" s="129" customFormat="1" ht="13.5" x14ac:dyDescent="0.25">
      <c r="A33" s="306" t="s">
        <v>468</v>
      </c>
      <c r="B33" s="260">
        <v>12560931</v>
      </c>
      <c r="C33" s="260">
        <v>12642515</v>
      </c>
      <c r="D33" s="260">
        <v>10215409</v>
      </c>
    </row>
    <row r="34" spans="1:4" s="129" customFormat="1" ht="13.5" x14ac:dyDescent="0.25">
      <c r="A34" s="306" t="s">
        <v>467</v>
      </c>
      <c r="B34" s="260">
        <v>12651011</v>
      </c>
      <c r="C34" s="260">
        <v>8566191</v>
      </c>
      <c r="D34" s="260">
        <v>8971662</v>
      </c>
    </row>
    <row r="35" spans="1:4" s="129" customFormat="1" ht="13.5" x14ac:dyDescent="0.25">
      <c r="A35" s="306" t="s">
        <v>466</v>
      </c>
      <c r="B35" s="260">
        <v>7525936</v>
      </c>
      <c r="C35" s="260">
        <v>7178588</v>
      </c>
      <c r="D35" s="260">
        <v>7078541</v>
      </c>
    </row>
    <row r="36" spans="1:4" s="129" customFormat="1" ht="13.5" x14ac:dyDescent="0.25">
      <c r="A36" s="306" t="s">
        <v>465</v>
      </c>
      <c r="B36" s="260">
        <v>7717269</v>
      </c>
      <c r="C36" s="260">
        <v>5891798</v>
      </c>
      <c r="D36" s="260">
        <v>11706097</v>
      </c>
    </row>
    <row r="37" spans="1:4" s="129" customFormat="1" ht="13.5" x14ac:dyDescent="0.25">
      <c r="A37" s="306" t="s">
        <v>464</v>
      </c>
      <c r="B37" s="260">
        <v>3099661</v>
      </c>
      <c r="C37" s="260">
        <v>3682162</v>
      </c>
      <c r="D37" s="260">
        <v>3256928</v>
      </c>
    </row>
    <row r="38" spans="1:4" s="129" customFormat="1" ht="13.5" x14ac:dyDescent="0.25">
      <c r="A38" s="306" t="s">
        <v>463</v>
      </c>
      <c r="B38" s="260">
        <v>1422674</v>
      </c>
      <c r="C38" s="260">
        <v>1432116</v>
      </c>
      <c r="D38" s="260">
        <v>1203741</v>
      </c>
    </row>
    <row r="39" spans="1:4" s="129" customFormat="1" ht="13.5" x14ac:dyDescent="0.25">
      <c r="A39" s="306" t="s">
        <v>441</v>
      </c>
      <c r="B39" s="260">
        <v>59753</v>
      </c>
      <c r="C39" s="260">
        <v>217698</v>
      </c>
      <c r="D39" s="260">
        <v>0</v>
      </c>
    </row>
    <row r="40" spans="1:4" s="129" customFormat="1" ht="13.5" x14ac:dyDescent="0.25">
      <c r="A40" s="306" t="s">
        <v>462</v>
      </c>
      <c r="B40" s="260">
        <v>378364</v>
      </c>
      <c r="C40" s="260">
        <v>570359</v>
      </c>
      <c r="D40" s="260">
        <v>534408</v>
      </c>
    </row>
    <row r="41" spans="1:4" s="129" customFormat="1" ht="13.5" x14ac:dyDescent="0.25">
      <c r="A41" s="306" t="s">
        <v>461</v>
      </c>
      <c r="B41" s="260">
        <v>2947806</v>
      </c>
      <c r="C41" s="260">
        <v>3126593</v>
      </c>
      <c r="D41" s="260">
        <v>4107660</v>
      </c>
    </row>
    <row r="42" spans="1:4" s="129" customFormat="1" ht="13.5" x14ac:dyDescent="0.25">
      <c r="A42" s="306" t="s">
        <v>460</v>
      </c>
      <c r="B42" s="260">
        <v>3021920</v>
      </c>
      <c r="C42" s="260">
        <v>1764909</v>
      </c>
      <c r="D42" s="260">
        <v>0</v>
      </c>
    </row>
    <row r="43" spans="1:4" s="129" customFormat="1" ht="13.5" x14ac:dyDescent="0.25">
      <c r="A43" s="306" t="s">
        <v>459</v>
      </c>
      <c r="B43" s="260">
        <v>750614</v>
      </c>
      <c r="C43" s="260">
        <v>0</v>
      </c>
      <c r="D43" s="260">
        <v>0</v>
      </c>
    </row>
    <row r="44" spans="1:4" s="129" customFormat="1" ht="13.5" x14ac:dyDescent="0.25">
      <c r="A44" s="306" t="s">
        <v>458</v>
      </c>
      <c r="B44" s="260">
        <v>1406055</v>
      </c>
      <c r="C44" s="260">
        <v>956256</v>
      </c>
      <c r="D44" s="260">
        <v>0</v>
      </c>
    </row>
    <row r="45" spans="1:4" s="129" customFormat="1" ht="13.5" x14ac:dyDescent="0.25">
      <c r="A45" s="306" t="s">
        <v>457</v>
      </c>
      <c r="B45" s="260">
        <v>5438685</v>
      </c>
      <c r="C45" s="260">
        <v>3523832</v>
      </c>
      <c r="D45" s="260">
        <v>5026597</v>
      </c>
    </row>
    <row r="46" spans="1:4" s="129" customFormat="1" ht="13.5" x14ac:dyDescent="0.25">
      <c r="A46" s="306" t="s">
        <v>456</v>
      </c>
      <c r="B46" s="260">
        <v>129002983</v>
      </c>
      <c r="C46" s="260">
        <v>139719649</v>
      </c>
      <c r="D46" s="260">
        <v>129291009</v>
      </c>
    </row>
    <row r="47" spans="1:4" s="129" customFormat="1" ht="13.5" x14ac:dyDescent="0.25">
      <c r="A47" s="306" t="s">
        <v>455</v>
      </c>
      <c r="B47" s="260">
        <v>1322554</v>
      </c>
      <c r="C47" s="260">
        <v>1219585</v>
      </c>
      <c r="D47" s="260">
        <v>659159</v>
      </c>
    </row>
    <row r="48" spans="1:4" s="129" customFormat="1" ht="13.5" x14ac:dyDescent="0.25">
      <c r="A48" s="306" t="s">
        <v>454</v>
      </c>
      <c r="B48" s="260">
        <v>2596508</v>
      </c>
      <c r="C48" s="260">
        <v>2446218</v>
      </c>
      <c r="D48" s="260">
        <v>2506532</v>
      </c>
    </row>
    <row r="49" spans="1:4" s="129" customFormat="1" ht="27" x14ac:dyDescent="0.25">
      <c r="A49" s="306" t="s">
        <v>453</v>
      </c>
      <c r="B49" s="260">
        <v>646070</v>
      </c>
      <c r="C49" s="260">
        <v>746607</v>
      </c>
      <c r="D49" s="260">
        <v>441930</v>
      </c>
    </row>
    <row r="50" spans="1:4" s="129" customFormat="1" ht="27" x14ac:dyDescent="0.25">
      <c r="A50" s="306" t="s">
        <v>452</v>
      </c>
      <c r="B50" s="260">
        <v>973521</v>
      </c>
      <c r="C50" s="260">
        <v>1096327</v>
      </c>
      <c r="D50" s="260">
        <v>2454532</v>
      </c>
    </row>
    <row r="51" spans="1:4" s="129" customFormat="1" ht="13.5" x14ac:dyDescent="0.25">
      <c r="A51" s="306" t="s">
        <v>451</v>
      </c>
      <c r="B51" s="260">
        <v>73101</v>
      </c>
      <c r="C51" s="260">
        <v>0</v>
      </c>
      <c r="D51" s="260"/>
    </row>
    <row r="52" spans="1:4" s="129" customFormat="1" ht="13.5" x14ac:dyDescent="0.25">
      <c r="A52" s="306" t="s">
        <v>450</v>
      </c>
      <c r="B52" s="260">
        <v>7356652</v>
      </c>
      <c r="C52" s="260">
        <v>15566860</v>
      </c>
      <c r="D52" s="260">
        <v>8589555</v>
      </c>
    </row>
    <row r="53" spans="1:4" s="129" customFormat="1" ht="13.5" x14ac:dyDescent="0.25">
      <c r="A53" s="306" t="s">
        <v>449</v>
      </c>
      <c r="B53" s="260">
        <v>834770</v>
      </c>
      <c r="C53" s="260">
        <v>790050</v>
      </c>
      <c r="D53" s="260">
        <v>0</v>
      </c>
    </row>
    <row r="54" spans="1:4" s="129" customFormat="1" ht="27" x14ac:dyDescent="0.25">
      <c r="A54" s="306" t="s">
        <v>448</v>
      </c>
      <c r="B54" s="260">
        <v>368799</v>
      </c>
      <c r="C54" s="260">
        <v>439258</v>
      </c>
      <c r="D54" s="260">
        <v>562863</v>
      </c>
    </row>
    <row r="55" spans="1:4" s="129" customFormat="1" ht="27" x14ac:dyDescent="0.25">
      <c r="A55" s="306" t="s">
        <v>447</v>
      </c>
      <c r="B55" s="260">
        <v>5811849</v>
      </c>
      <c r="C55" s="260">
        <v>10610283</v>
      </c>
      <c r="D55" s="260">
        <v>1774692</v>
      </c>
    </row>
    <row r="56" spans="1:4" s="129" customFormat="1" ht="13.5" x14ac:dyDescent="0.25">
      <c r="A56" s="306" t="s">
        <v>446</v>
      </c>
      <c r="B56" s="260">
        <v>2804776</v>
      </c>
      <c r="C56" s="260">
        <v>4708222</v>
      </c>
      <c r="D56" s="260">
        <v>2597103</v>
      </c>
    </row>
    <row r="57" spans="1:4" s="129" customFormat="1" ht="13.5" x14ac:dyDescent="0.25">
      <c r="A57" s="306" t="s">
        <v>445</v>
      </c>
      <c r="B57" s="260">
        <v>37617144</v>
      </c>
      <c r="C57" s="260">
        <v>38138530</v>
      </c>
      <c r="D57" s="260">
        <v>31261783</v>
      </c>
    </row>
    <row r="58" spans="1:4" s="129" customFormat="1" ht="13.5" x14ac:dyDescent="0.25">
      <c r="A58" s="306" t="s">
        <v>444</v>
      </c>
      <c r="B58" s="260">
        <v>30000</v>
      </c>
      <c r="C58" s="260">
        <v>0</v>
      </c>
      <c r="D58" s="260">
        <v>0</v>
      </c>
    </row>
    <row r="59" spans="1:4" s="129" customFormat="1" ht="27" x14ac:dyDescent="0.25">
      <c r="A59" s="306" t="s">
        <v>443</v>
      </c>
      <c r="B59" s="260">
        <v>104926</v>
      </c>
      <c r="C59" s="260">
        <v>98426</v>
      </c>
      <c r="D59" s="260">
        <v>98426</v>
      </c>
    </row>
    <row r="60" spans="1:4" s="129" customFormat="1" ht="13.5" x14ac:dyDescent="0.25">
      <c r="A60" s="306" t="s">
        <v>469</v>
      </c>
      <c r="B60" s="260">
        <v>146102</v>
      </c>
      <c r="C60" s="260">
        <v>158478</v>
      </c>
      <c r="D60" s="260">
        <v>87196</v>
      </c>
    </row>
    <row r="61" spans="1:4" s="129" customFormat="1" ht="27" x14ac:dyDescent="0.25">
      <c r="A61" s="306" t="s">
        <v>470</v>
      </c>
      <c r="B61" s="260">
        <v>12602562</v>
      </c>
      <c r="C61" s="260">
        <v>17756506</v>
      </c>
      <c r="D61" s="260">
        <v>17018309</v>
      </c>
    </row>
    <row r="62" spans="1:4" s="129" customFormat="1" ht="27" x14ac:dyDescent="0.25">
      <c r="A62" s="306" t="s">
        <v>442</v>
      </c>
      <c r="B62" s="260">
        <v>402282</v>
      </c>
      <c r="C62" s="260">
        <v>324194</v>
      </c>
      <c r="D62" s="260">
        <v>24804</v>
      </c>
    </row>
    <row r="63" spans="1:4" s="129" customFormat="1" ht="13.5" x14ac:dyDescent="0.25">
      <c r="A63" s="306" t="s">
        <v>472</v>
      </c>
      <c r="B63" s="260"/>
      <c r="C63" s="260"/>
      <c r="D63" s="260">
        <v>5635372</v>
      </c>
    </row>
    <row r="64" spans="1:4" s="129" customFormat="1" ht="13.5" x14ac:dyDescent="0.25">
      <c r="A64" s="306" t="s">
        <v>471</v>
      </c>
      <c r="B64" s="260"/>
      <c r="C64" s="260">
        <v>412617</v>
      </c>
      <c r="D64" s="260">
        <v>8904</v>
      </c>
    </row>
    <row r="65" spans="1:4" s="130" customFormat="1" ht="22.5" customHeight="1" x14ac:dyDescent="0.2">
      <c r="A65" s="131" t="s">
        <v>309</v>
      </c>
      <c r="B65" s="261">
        <f>SUM(B33:B64)</f>
        <v>261675278</v>
      </c>
      <c r="C65" s="261">
        <f>SUM(C33:C64)</f>
        <v>283784827</v>
      </c>
      <c r="D65" s="261">
        <f>SUM(D33:D64)</f>
        <v>255113212</v>
      </c>
    </row>
    <row r="67" spans="1:4" s="127" customFormat="1" ht="28.35" customHeight="1" x14ac:dyDescent="0.2">
      <c r="A67" s="133" t="s">
        <v>323</v>
      </c>
      <c r="B67" s="134">
        <v>2020</v>
      </c>
      <c r="C67" s="134" t="s">
        <v>369</v>
      </c>
      <c r="D67" s="134" t="s">
        <v>370</v>
      </c>
    </row>
    <row r="68" spans="1:4" s="129" customFormat="1" ht="13.5" x14ac:dyDescent="0.25">
      <c r="A68" s="306" t="s">
        <v>468</v>
      </c>
      <c r="B68" s="260">
        <v>11596068</v>
      </c>
      <c r="C68" s="260">
        <v>12642515</v>
      </c>
      <c r="D68" s="260">
        <v>10215409</v>
      </c>
    </row>
    <row r="69" spans="1:4" s="129" customFormat="1" ht="13.5" x14ac:dyDescent="0.25">
      <c r="A69" s="306" t="s">
        <v>467</v>
      </c>
      <c r="B69" s="260">
        <v>12173219.699999999</v>
      </c>
      <c r="C69" s="260">
        <v>8566191</v>
      </c>
      <c r="D69" s="260">
        <v>8971662</v>
      </c>
    </row>
    <row r="70" spans="1:4" s="129" customFormat="1" ht="13.5" x14ac:dyDescent="0.25">
      <c r="A70" s="306" t="s">
        <v>466</v>
      </c>
      <c r="B70" s="260">
        <v>7470255.1200000001</v>
      </c>
      <c r="C70" s="260">
        <v>7178588</v>
      </c>
      <c r="D70" s="260">
        <v>7078541</v>
      </c>
    </row>
    <row r="71" spans="1:4" s="129" customFormat="1" ht="13.5" x14ac:dyDescent="0.25">
      <c r="A71" s="306" t="s">
        <v>465</v>
      </c>
      <c r="B71" s="260">
        <v>7455771.4400000004</v>
      </c>
      <c r="C71" s="260">
        <v>5891798</v>
      </c>
      <c r="D71" s="260">
        <v>11706097</v>
      </c>
    </row>
    <row r="72" spans="1:4" s="129" customFormat="1" ht="13.5" x14ac:dyDescent="0.25">
      <c r="A72" s="306" t="s">
        <v>464</v>
      </c>
      <c r="B72" s="260">
        <v>2965759.83</v>
      </c>
      <c r="C72" s="260">
        <v>3682162</v>
      </c>
      <c r="D72" s="260">
        <v>3256928</v>
      </c>
    </row>
    <row r="73" spans="1:4" s="129" customFormat="1" ht="13.5" x14ac:dyDescent="0.25">
      <c r="A73" s="306" t="s">
        <v>463</v>
      </c>
      <c r="B73" s="260">
        <v>1401793.96</v>
      </c>
      <c r="C73" s="260">
        <v>1432116</v>
      </c>
      <c r="D73" s="260">
        <v>1203741</v>
      </c>
    </row>
    <row r="74" spans="1:4" s="129" customFormat="1" ht="13.5" x14ac:dyDescent="0.25">
      <c r="A74" s="306" t="s">
        <v>441</v>
      </c>
      <c r="B74" s="260">
        <v>59751.83</v>
      </c>
      <c r="C74" s="260">
        <v>217698</v>
      </c>
      <c r="D74" s="260">
        <v>0</v>
      </c>
    </row>
    <row r="75" spans="1:4" s="129" customFormat="1" ht="13.5" x14ac:dyDescent="0.25">
      <c r="A75" s="306" t="s">
        <v>462</v>
      </c>
      <c r="B75" s="260">
        <v>362537.77</v>
      </c>
      <c r="C75" s="260">
        <v>570359</v>
      </c>
      <c r="D75" s="260">
        <v>534408</v>
      </c>
    </row>
    <row r="76" spans="1:4" s="129" customFormat="1" ht="13.5" x14ac:dyDescent="0.25">
      <c r="A76" s="306" t="s">
        <v>461</v>
      </c>
      <c r="B76" s="260">
        <v>2933148.97</v>
      </c>
      <c r="C76" s="260">
        <v>3126593</v>
      </c>
      <c r="D76" s="260">
        <v>4107660</v>
      </c>
    </row>
    <row r="77" spans="1:4" s="129" customFormat="1" ht="13.5" x14ac:dyDescent="0.25">
      <c r="A77" s="306" t="s">
        <v>460</v>
      </c>
      <c r="B77" s="260">
        <v>1499199</v>
      </c>
      <c r="C77" s="260">
        <v>1764909</v>
      </c>
      <c r="D77" s="260">
        <v>0</v>
      </c>
    </row>
    <row r="78" spans="1:4" s="129" customFormat="1" ht="13.5" x14ac:dyDescent="0.25">
      <c r="A78" s="306" t="s">
        <v>459</v>
      </c>
      <c r="B78" s="260">
        <v>748571.81</v>
      </c>
      <c r="C78" s="260">
        <v>0</v>
      </c>
      <c r="D78" s="260">
        <v>0</v>
      </c>
    </row>
    <row r="79" spans="1:4" s="129" customFormat="1" ht="13.5" x14ac:dyDescent="0.25">
      <c r="A79" s="306" t="s">
        <v>458</v>
      </c>
      <c r="B79" s="260">
        <v>0</v>
      </c>
      <c r="C79" s="260">
        <v>956256</v>
      </c>
      <c r="D79" s="260">
        <v>0</v>
      </c>
    </row>
    <row r="80" spans="1:4" s="129" customFormat="1" ht="13.5" x14ac:dyDescent="0.25">
      <c r="A80" s="306" t="s">
        <v>457</v>
      </c>
      <c r="B80" s="260">
        <v>3316370.86</v>
      </c>
      <c r="C80" s="260">
        <v>3523832</v>
      </c>
      <c r="D80" s="260">
        <v>5026597</v>
      </c>
    </row>
    <row r="81" spans="1:4" s="129" customFormat="1" ht="13.5" x14ac:dyDescent="0.25">
      <c r="A81" s="306" t="s">
        <v>456</v>
      </c>
      <c r="B81" s="260">
        <v>127660028.95999999</v>
      </c>
      <c r="C81" s="260">
        <v>139719649</v>
      </c>
      <c r="D81" s="260">
        <v>129291009</v>
      </c>
    </row>
    <row r="82" spans="1:4" s="129" customFormat="1" ht="13.5" x14ac:dyDescent="0.25">
      <c r="A82" s="306" t="s">
        <v>455</v>
      </c>
      <c r="B82" s="260">
        <v>969313.96</v>
      </c>
      <c r="C82" s="260">
        <v>1219585</v>
      </c>
      <c r="D82" s="260">
        <v>659159</v>
      </c>
    </row>
    <row r="83" spans="1:4" s="129" customFormat="1" ht="13.5" x14ac:dyDescent="0.25">
      <c r="A83" s="306" t="s">
        <v>454</v>
      </c>
      <c r="B83" s="260">
        <v>2466446.83</v>
      </c>
      <c r="C83" s="260">
        <v>2446218</v>
      </c>
      <c r="D83" s="260">
        <v>2506532</v>
      </c>
    </row>
    <row r="84" spans="1:4" s="129" customFormat="1" ht="27" x14ac:dyDescent="0.25">
      <c r="A84" s="306" t="s">
        <v>453</v>
      </c>
      <c r="B84" s="260">
        <v>641352.9</v>
      </c>
      <c r="C84" s="260">
        <v>746607</v>
      </c>
      <c r="D84" s="260">
        <v>441930</v>
      </c>
    </row>
    <row r="85" spans="1:4" s="129" customFormat="1" ht="27" x14ac:dyDescent="0.25">
      <c r="A85" s="306" t="s">
        <v>452</v>
      </c>
      <c r="B85" s="260">
        <v>973093.49</v>
      </c>
      <c r="C85" s="260">
        <v>1096327</v>
      </c>
      <c r="D85" s="260">
        <v>2454532</v>
      </c>
    </row>
    <row r="86" spans="1:4" s="129" customFormat="1" ht="13.5" x14ac:dyDescent="0.25">
      <c r="A86" s="306" t="s">
        <v>451</v>
      </c>
      <c r="B86" s="260">
        <v>73095.55</v>
      </c>
      <c r="C86" s="260">
        <v>0</v>
      </c>
      <c r="D86" s="260">
        <v>0</v>
      </c>
    </row>
    <row r="87" spans="1:4" s="129" customFormat="1" ht="13.5" x14ac:dyDescent="0.25">
      <c r="A87" s="306" t="s">
        <v>450</v>
      </c>
      <c r="B87" s="260">
        <v>5786528.7800000003</v>
      </c>
      <c r="C87" s="260">
        <v>15566860</v>
      </c>
      <c r="D87" s="260">
        <v>8589555</v>
      </c>
    </row>
    <row r="88" spans="1:4" s="129" customFormat="1" ht="13.5" x14ac:dyDescent="0.25">
      <c r="A88" s="306" t="s">
        <v>449</v>
      </c>
      <c r="B88" s="260">
        <v>749273.1</v>
      </c>
      <c r="C88" s="260">
        <v>790050</v>
      </c>
      <c r="D88" s="260">
        <v>0</v>
      </c>
    </row>
    <row r="89" spans="1:4" s="129" customFormat="1" ht="27" x14ac:dyDescent="0.25">
      <c r="A89" s="306" t="s">
        <v>448</v>
      </c>
      <c r="B89" s="260">
        <v>358077.09</v>
      </c>
      <c r="C89" s="260">
        <v>439258</v>
      </c>
      <c r="D89" s="260">
        <v>562863</v>
      </c>
    </row>
    <row r="90" spans="1:4" s="129" customFormat="1" ht="27" x14ac:dyDescent="0.25">
      <c r="A90" s="306" t="s">
        <v>447</v>
      </c>
      <c r="B90" s="260">
        <v>4978620.53</v>
      </c>
      <c r="C90" s="260">
        <v>10610283</v>
      </c>
      <c r="D90" s="260">
        <v>1774692</v>
      </c>
    </row>
    <row r="91" spans="1:4" s="129" customFormat="1" ht="13.5" x14ac:dyDescent="0.25">
      <c r="A91" s="306" t="s">
        <v>446</v>
      </c>
      <c r="B91" s="260">
        <v>2784751.79</v>
      </c>
      <c r="C91" s="260">
        <v>4708222</v>
      </c>
      <c r="D91" s="260">
        <v>2597103</v>
      </c>
    </row>
    <row r="92" spans="1:4" s="129" customFormat="1" ht="13.5" x14ac:dyDescent="0.25">
      <c r="A92" s="306" t="s">
        <v>445</v>
      </c>
      <c r="B92" s="260">
        <v>26993333.82</v>
      </c>
      <c r="C92" s="260">
        <v>38138530</v>
      </c>
      <c r="D92" s="260">
        <v>31261783</v>
      </c>
    </row>
    <row r="93" spans="1:4" s="129" customFormat="1" ht="13.5" x14ac:dyDescent="0.25">
      <c r="A93" s="306" t="s">
        <v>444</v>
      </c>
      <c r="B93" s="260">
        <v>30000</v>
      </c>
      <c r="C93" s="260">
        <v>0</v>
      </c>
      <c r="D93" s="260"/>
    </row>
    <row r="94" spans="1:4" s="129" customFormat="1" ht="27" x14ac:dyDescent="0.25">
      <c r="A94" s="306" t="s">
        <v>443</v>
      </c>
      <c r="B94" s="260">
        <v>104882.49</v>
      </c>
      <c r="C94" s="260">
        <v>98426</v>
      </c>
      <c r="D94" s="260">
        <v>98426</v>
      </c>
    </row>
    <row r="95" spans="1:4" s="129" customFormat="1" ht="13.5" x14ac:dyDescent="0.25">
      <c r="A95" s="306" t="s">
        <v>469</v>
      </c>
      <c r="B95" s="260">
        <v>145444.13</v>
      </c>
      <c r="C95" s="260">
        <v>158478</v>
      </c>
      <c r="D95" s="260">
        <v>87196</v>
      </c>
    </row>
    <row r="96" spans="1:4" s="129" customFormat="1" ht="27" x14ac:dyDescent="0.25">
      <c r="A96" s="306" t="s">
        <v>470</v>
      </c>
      <c r="B96" s="260">
        <v>12409553.15</v>
      </c>
      <c r="C96" s="260">
        <v>17756506</v>
      </c>
      <c r="D96" s="260">
        <v>17018309</v>
      </c>
    </row>
    <row r="97" spans="1:4" s="129" customFormat="1" ht="27" x14ac:dyDescent="0.25">
      <c r="A97" s="306" t="s">
        <v>442</v>
      </c>
      <c r="B97" s="260">
        <v>252149.93</v>
      </c>
      <c r="C97" s="260">
        <v>324194</v>
      </c>
      <c r="D97" s="260">
        <v>24804</v>
      </c>
    </row>
    <row r="98" spans="1:4" s="129" customFormat="1" ht="13.5" x14ac:dyDescent="0.25">
      <c r="A98" s="306" t="s">
        <v>472</v>
      </c>
      <c r="B98" s="260"/>
      <c r="C98" s="260"/>
      <c r="D98" s="260">
        <v>5635372</v>
      </c>
    </row>
    <row r="99" spans="1:4" s="129" customFormat="1" ht="13.5" x14ac:dyDescent="0.25">
      <c r="A99" s="306" t="s">
        <v>471</v>
      </c>
      <c r="B99" s="260"/>
      <c r="C99" s="260">
        <v>412617</v>
      </c>
      <c r="D99" s="260">
        <v>8904</v>
      </c>
    </row>
    <row r="100" spans="1:4" s="130" customFormat="1" ht="22.5" customHeight="1" x14ac:dyDescent="0.2">
      <c r="A100" s="131" t="s">
        <v>309</v>
      </c>
      <c r="B100" s="261">
        <f>SUM(B68:B99)</f>
        <v>239358394.79000005</v>
      </c>
      <c r="C100" s="261">
        <f>SUM(C68:C99)</f>
        <v>283784827</v>
      </c>
      <c r="D100" s="261">
        <f>SUM(D68:D99)</f>
        <v>255113212</v>
      </c>
    </row>
    <row r="101" spans="1:4" x14ac:dyDescent="0.2">
      <c r="A101" s="256" t="s">
        <v>371</v>
      </c>
    </row>
    <row r="102" spans="1:4" x14ac:dyDescent="0.2">
      <c r="A102" s="257" t="s">
        <v>372</v>
      </c>
    </row>
  </sheetData>
  <pageMargins left="0.38" right="0.28000000000000003" top="0.74803149606299213" bottom="0.74803149606299213" header="0.31496062992125984" footer="0.31496062992125984"/>
  <pageSetup paperSize="9" scale="95" orientation="portrait" r:id="rId1"/>
  <headerFooter>
    <oddHeader>&amp;C&amp;"Arial,Negrita"&amp;18PROYECTO DE PRESUPUESTO 2022</oddHeader>
    <oddFooter>&amp;L&amp;"Arial,Negrita"&amp;8PROYECTO DE PRESUPUESTO PARA EL AÑO FISCAL 2022
INFORMACIÓN PARA LA COMISIÓN DE PRESUPUESTO Y CUENTA GENERAL DE LA REPÚBLICA DEL CONGRESO DE LA REPÚBLICA</oddFooter>
  </headerFooter>
  <rowBreaks count="2" manualBreakCount="2">
    <brk id="31" max="16383" man="1"/>
    <brk id="6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2">
    <tabColor theme="9" tint="-0.249977111117893"/>
    <pageSetUpPr fitToPage="1"/>
  </sheetPr>
  <dimension ref="A1:N51"/>
  <sheetViews>
    <sheetView zoomScaleNormal="100" zoomScaleSheetLayoutView="70" zoomScalePageLayoutView="90" workbookViewId="0">
      <selection activeCell="B5" sqref="B5:E5"/>
    </sheetView>
  </sheetViews>
  <sheetFormatPr baseColWidth="10" defaultColWidth="11.28515625" defaultRowHeight="11.25" x14ac:dyDescent="0.2"/>
  <cols>
    <col min="1" max="1" width="30.7109375" style="108" customWidth="1"/>
    <col min="2" max="3" width="8.7109375" style="108" customWidth="1"/>
    <col min="4" max="5" width="8.7109375" style="132" customWidth="1"/>
    <col min="6" max="14" width="8.7109375" style="108" customWidth="1"/>
    <col min="15" max="16384" width="11.28515625" style="108"/>
  </cols>
  <sheetData>
    <row r="1" spans="1:14" s="104" customFormat="1" ht="14.25" customHeight="1" x14ac:dyDescent="0.2">
      <c r="A1" s="187" t="s">
        <v>376</v>
      </c>
      <c r="B1" s="188"/>
      <c r="C1" s="188"/>
      <c r="D1" s="188"/>
      <c r="E1" s="188"/>
      <c r="F1" s="188"/>
      <c r="G1" s="188"/>
      <c r="H1" s="188"/>
      <c r="I1" s="188"/>
      <c r="J1" s="188"/>
      <c r="K1" s="188"/>
      <c r="L1" s="188"/>
      <c r="M1" s="188"/>
      <c r="N1" s="188"/>
    </row>
    <row r="2" spans="1:14" s="107" customFormat="1" ht="12" thickBot="1" x14ac:dyDescent="0.25">
      <c r="A2" s="98" t="s">
        <v>141</v>
      </c>
      <c r="B2" s="98"/>
      <c r="C2" s="98"/>
      <c r="D2" s="98"/>
      <c r="E2" s="98"/>
      <c r="F2" s="98"/>
      <c r="G2" s="98"/>
      <c r="H2" s="98"/>
      <c r="I2" s="98"/>
      <c r="J2" s="98"/>
      <c r="K2" s="98"/>
      <c r="L2" s="98"/>
      <c r="M2" s="98"/>
      <c r="N2" s="98"/>
    </row>
    <row r="3" spans="1:14" s="109" customFormat="1" ht="12.75" customHeight="1" thickBot="1" x14ac:dyDescent="0.25">
      <c r="A3" s="592" t="s">
        <v>173</v>
      </c>
      <c r="B3" s="590" t="s">
        <v>206</v>
      </c>
      <c r="C3" s="591"/>
      <c r="D3" s="591"/>
      <c r="E3" s="591"/>
      <c r="F3" s="587" t="s">
        <v>207</v>
      </c>
      <c r="G3" s="588"/>
      <c r="H3" s="589"/>
      <c r="I3" s="587" t="s">
        <v>205</v>
      </c>
      <c r="J3" s="588"/>
      <c r="K3" s="588"/>
      <c r="L3" s="588"/>
      <c r="M3" s="588"/>
      <c r="N3" s="589"/>
    </row>
    <row r="4" spans="1:14" s="121" customFormat="1" ht="84.95" customHeight="1" thickBot="1" x14ac:dyDescent="0.25">
      <c r="A4" s="593"/>
      <c r="B4" s="189">
        <v>2020</v>
      </c>
      <c r="C4" s="190">
        <v>2021</v>
      </c>
      <c r="D4" s="190" t="s">
        <v>362</v>
      </c>
      <c r="E4" s="192" t="s">
        <v>377</v>
      </c>
      <c r="F4" s="189">
        <v>2020</v>
      </c>
      <c r="G4" s="190">
        <v>2021</v>
      </c>
      <c r="H4" s="190" t="s">
        <v>362</v>
      </c>
      <c r="I4" s="189">
        <v>2020</v>
      </c>
      <c r="J4" s="190" t="s">
        <v>369</v>
      </c>
      <c r="K4" s="190" t="s">
        <v>362</v>
      </c>
      <c r="L4" s="191" t="s">
        <v>378</v>
      </c>
      <c r="M4" s="191" t="s">
        <v>377</v>
      </c>
      <c r="N4" s="192" t="s">
        <v>379</v>
      </c>
    </row>
    <row r="5" spans="1:14" x14ac:dyDescent="0.2">
      <c r="A5" s="193"/>
      <c r="B5" s="194"/>
      <c r="C5" s="195"/>
      <c r="D5" s="195"/>
      <c r="E5" s="196"/>
      <c r="F5" s="194"/>
      <c r="G5" s="195"/>
      <c r="H5" s="197"/>
      <c r="I5" s="194"/>
      <c r="J5" s="195"/>
      <c r="K5" s="197"/>
      <c r="L5" s="196"/>
      <c r="M5" s="196"/>
      <c r="N5" s="197"/>
    </row>
    <row r="6" spans="1:14" ht="22.5" x14ac:dyDescent="0.2">
      <c r="A6" s="198" t="s">
        <v>204</v>
      </c>
      <c r="B6" s="199"/>
      <c r="C6" s="200"/>
      <c r="D6" s="200"/>
      <c r="E6" s="201"/>
      <c r="F6" s="199"/>
      <c r="G6" s="200"/>
      <c r="H6" s="202"/>
      <c r="I6" s="199"/>
      <c r="J6" s="200"/>
      <c r="K6" s="202"/>
      <c r="L6" s="201"/>
      <c r="M6" s="201"/>
      <c r="N6" s="202"/>
    </row>
    <row r="7" spans="1:14" x14ac:dyDescent="0.2">
      <c r="A7" s="203" t="s">
        <v>174</v>
      </c>
      <c r="B7" s="204"/>
      <c r="C7" s="205"/>
      <c r="D7" s="205"/>
      <c r="E7" s="206"/>
      <c r="F7" s="204"/>
      <c r="G7" s="205"/>
      <c r="H7" s="207"/>
      <c r="I7" s="204"/>
      <c r="J7" s="205"/>
      <c r="K7" s="207"/>
      <c r="L7" s="206"/>
      <c r="M7" s="206"/>
      <c r="N7" s="207"/>
    </row>
    <row r="8" spans="1:14" s="109" customFormat="1" x14ac:dyDescent="0.2">
      <c r="A8" s="208"/>
      <c r="B8" s="204"/>
      <c r="C8" s="205"/>
      <c r="D8" s="205"/>
      <c r="E8" s="206"/>
      <c r="F8" s="204"/>
      <c r="G8" s="205"/>
      <c r="H8" s="207"/>
      <c r="I8" s="204"/>
      <c r="J8" s="205"/>
      <c r="K8" s="207"/>
      <c r="L8" s="206"/>
      <c r="M8" s="206"/>
      <c r="N8" s="207"/>
    </row>
    <row r="9" spans="1:14" x14ac:dyDescent="0.2">
      <c r="A9" s="198" t="s">
        <v>179</v>
      </c>
      <c r="B9" s="204"/>
      <c r="C9" s="205"/>
      <c r="D9" s="205"/>
      <c r="E9" s="206"/>
      <c r="F9" s="204"/>
      <c r="G9" s="205"/>
      <c r="H9" s="207"/>
      <c r="I9" s="204"/>
      <c r="J9" s="205"/>
      <c r="K9" s="207"/>
      <c r="L9" s="206"/>
      <c r="M9" s="206"/>
      <c r="N9" s="207"/>
    </row>
    <row r="10" spans="1:14" x14ac:dyDescent="0.2">
      <c r="A10" s="209" t="s">
        <v>175</v>
      </c>
      <c r="B10" s="204"/>
      <c r="C10" s="205"/>
      <c r="D10" s="205"/>
      <c r="E10" s="206"/>
      <c r="F10" s="204"/>
      <c r="G10" s="205"/>
      <c r="H10" s="207"/>
      <c r="I10" s="204"/>
      <c r="J10" s="205"/>
      <c r="K10" s="207"/>
      <c r="L10" s="206"/>
      <c r="M10" s="206"/>
      <c r="N10" s="207"/>
    </row>
    <row r="11" spans="1:14" x14ac:dyDescent="0.2">
      <c r="A11" s="209" t="s">
        <v>176</v>
      </c>
      <c r="B11" s="204"/>
      <c r="C11" s="205"/>
      <c r="D11" s="205"/>
      <c r="E11" s="206"/>
      <c r="F11" s="204"/>
      <c r="G11" s="205"/>
      <c r="H11" s="207"/>
      <c r="I11" s="204"/>
      <c r="J11" s="205"/>
      <c r="K11" s="207"/>
      <c r="L11" s="206"/>
      <c r="M11" s="206"/>
      <c r="N11" s="207"/>
    </row>
    <row r="12" spans="1:14" x14ac:dyDescent="0.2">
      <c r="A12" s="209" t="s">
        <v>177</v>
      </c>
      <c r="B12" s="204"/>
      <c r="C12" s="205"/>
      <c r="D12" s="205"/>
      <c r="E12" s="206"/>
      <c r="F12" s="204"/>
      <c r="G12" s="205"/>
      <c r="H12" s="207"/>
      <c r="I12" s="204"/>
      <c r="J12" s="205"/>
      <c r="K12" s="207"/>
      <c r="L12" s="206"/>
      <c r="M12" s="206"/>
      <c r="N12" s="207"/>
    </row>
    <row r="13" spans="1:14" x14ac:dyDescent="0.2">
      <c r="A13" s="209" t="s">
        <v>178</v>
      </c>
      <c r="B13" s="204"/>
      <c r="C13" s="205"/>
      <c r="D13" s="205"/>
      <c r="E13" s="206"/>
      <c r="F13" s="204"/>
      <c r="G13" s="205"/>
      <c r="H13" s="207"/>
      <c r="I13" s="204"/>
      <c r="J13" s="205"/>
      <c r="K13" s="207"/>
      <c r="L13" s="206"/>
      <c r="M13" s="206"/>
      <c r="N13" s="207"/>
    </row>
    <row r="14" spans="1:14" x14ac:dyDescent="0.2">
      <c r="A14" s="209"/>
      <c r="B14" s="199"/>
      <c r="C14" s="200"/>
      <c r="D14" s="200"/>
      <c r="E14" s="201"/>
      <c r="F14" s="199"/>
      <c r="G14" s="200"/>
      <c r="H14" s="202"/>
      <c r="I14" s="199"/>
      <c r="J14" s="200"/>
      <c r="K14" s="202"/>
      <c r="L14" s="201"/>
      <c r="M14" s="201"/>
      <c r="N14" s="202"/>
    </row>
    <row r="15" spans="1:14" x14ac:dyDescent="0.2">
      <c r="A15" s="198" t="s">
        <v>198</v>
      </c>
      <c r="B15" s="204"/>
      <c r="C15" s="205"/>
      <c r="D15" s="205"/>
      <c r="E15" s="206"/>
      <c r="F15" s="204"/>
      <c r="G15" s="205"/>
      <c r="H15" s="207"/>
      <c r="I15" s="204"/>
      <c r="J15" s="205"/>
      <c r="K15" s="207"/>
      <c r="L15" s="206"/>
      <c r="M15" s="206"/>
      <c r="N15" s="207"/>
    </row>
    <row r="16" spans="1:14" x14ac:dyDescent="0.2">
      <c r="A16" s="209" t="s">
        <v>180</v>
      </c>
      <c r="B16" s="204"/>
      <c r="C16" s="205"/>
      <c r="D16" s="205"/>
      <c r="E16" s="206"/>
      <c r="F16" s="204"/>
      <c r="G16" s="205"/>
      <c r="H16" s="207"/>
      <c r="I16" s="204"/>
      <c r="J16" s="205"/>
      <c r="K16" s="207"/>
      <c r="L16" s="206"/>
      <c r="M16" s="206"/>
      <c r="N16" s="207"/>
    </row>
    <row r="17" spans="1:14" x14ac:dyDescent="0.2">
      <c r="A17" s="209" t="s">
        <v>181</v>
      </c>
      <c r="B17" s="204"/>
      <c r="C17" s="205"/>
      <c r="D17" s="205"/>
      <c r="E17" s="206"/>
      <c r="F17" s="204"/>
      <c r="G17" s="205"/>
      <c r="H17" s="207"/>
      <c r="I17" s="204"/>
      <c r="J17" s="205"/>
      <c r="K17" s="207"/>
      <c r="L17" s="206"/>
      <c r="M17" s="206"/>
      <c r="N17" s="207"/>
    </row>
    <row r="18" spans="1:14" x14ac:dyDescent="0.2">
      <c r="A18" s="209" t="s">
        <v>182</v>
      </c>
      <c r="B18" s="204"/>
      <c r="C18" s="205"/>
      <c r="D18" s="205"/>
      <c r="E18" s="206"/>
      <c r="F18" s="204"/>
      <c r="G18" s="205"/>
      <c r="H18" s="207"/>
      <c r="I18" s="204"/>
      <c r="J18" s="205"/>
      <c r="K18" s="207"/>
      <c r="L18" s="206"/>
      <c r="M18" s="206"/>
      <c r="N18" s="207"/>
    </row>
    <row r="19" spans="1:14" x14ac:dyDescent="0.2">
      <c r="A19" s="209" t="s">
        <v>183</v>
      </c>
      <c r="B19" s="204"/>
      <c r="C19" s="205"/>
      <c r="D19" s="205"/>
      <c r="E19" s="206"/>
      <c r="F19" s="204"/>
      <c r="G19" s="205"/>
      <c r="H19" s="207"/>
      <c r="I19" s="204"/>
      <c r="J19" s="205"/>
      <c r="K19" s="207"/>
      <c r="L19" s="206"/>
      <c r="M19" s="206"/>
      <c r="N19" s="207"/>
    </row>
    <row r="20" spans="1:14" ht="22.5" x14ac:dyDescent="0.2">
      <c r="A20" s="209" t="s">
        <v>184</v>
      </c>
      <c r="B20" s="204"/>
      <c r="C20" s="205"/>
      <c r="D20" s="205"/>
      <c r="E20" s="206"/>
      <c r="F20" s="204"/>
      <c r="G20" s="205"/>
      <c r="H20" s="207"/>
      <c r="I20" s="204"/>
      <c r="J20" s="205"/>
      <c r="K20" s="207"/>
      <c r="L20" s="206"/>
      <c r="M20" s="206"/>
      <c r="N20" s="207"/>
    </row>
    <row r="21" spans="1:14" x14ac:dyDescent="0.2">
      <c r="A21" s="210"/>
      <c r="B21" s="204"/>
      <c r="C21" s="205"/>
      <c r="D21" s="205"/>
      <c r="E21" s="206"/>
      <c r="F21" s="204"/>
      <c r="G21" s="205"/>
      <c r="H21" s="207"/>
      <c r="I21" s="204"/>
      <c r="J21" s="205"/>
      <c r="K21" s="207"/>
      <c r="L21" s="206"/>
      <c r="M21" s="206"/>
      <c r="N21" s="207"/>
    </row>
    <row r="22" spans="1:14" x14ac:dyDescent="0.2">
      <c r="A22" s="211" t="s">
        <v>199</v>
      </c>
      <c r="B22" s="204"/>
      <c r="C22" s="205"/>
      <c r="D22" s="205"/>
      <c r="E22" s="206"/>
      <c r="F22" s="204"/>
      <c r="G22" s="205"/>
      <c r="H22" s="207"/>
      <c r="I22" s="204"/>
      <c r="J22" s="205"/>
      <c r="K22" s="207"/>
      <c r="L22" s="206"/>
      <c r="M22" s="206"/>
      <c r="N22" s="207"/>
    </row>
    <row r="23" spans="1:14" x14ac:dyDescent="0.2">
      <c r="A23" s="209" t="s">
        <v>185</v>
      </c>
      <c r="B23" s="204"/>
      <c r="C23" s="205"/>
      <c r="D23" s="205"/>
      <c r="E23" s="206"/>
      <c r="F23" s="204"/>
      <c r="G23" s="205"/>
      <c r="H23" s="207"/>
      <c r="I23" s="204"/>
      <c r="J23" s="205"/>
      <c r="K23" s="207"/>
      <c r="L23" s="206"/>
      <c r="M23" s="206"/>
      <c r="N23" s="207"/>
    </row>
    <row r="24" spans="1:14" x14ac:dyDescent="0.2">
      <c r="A24" s="209" t="s">
        <v>186</v>
      </c>
      <c r="B24" s="204"/>
      <c r="C24" s="205"/>
      <c r="D24" s="205"/>
      <c r="E24" s="206"/>
      <c r="F24" s="204"/>
      <c r="G24" s="205"/>
      <c r="H24" s="207"/>
      <c r="I24" s="204"/>
      <c r="J24" s="205"/>
      <c r="K24" s="207"/>
      <c r="L24" s="206"/>
      <c r="M24" s="206"/>
      <c r="N24" s="207"/>
    </row>
    <row r="25" spans="1:14" x14ac:dyDescent="0.2">
      <c r="A25" s="209" t="s">
        <v>187</v>
      </c>
      <c r="B25" s="204"/>
      <c r="C25" s="205"/>
      <c r="D25" s="205"/>
      <c r="E25" s="206"/>
      <c r="F25" s="204"/>
      <c r="G25" s="205"/>
      <c r="H25" s="207"/>
      <c r="I25" s="204"/>
      <c r="J25" s="205"/>
      <c r="K25" s="207"/>
      <c r="L25" s="206"/>
      <c r="M25" s="206"/>
      <c r="N25" s="207"/>
    </row>
    <row r="26" spans="1:14" x14ac:dyDescent="0.2">
      <c r="A26" s="209"/>
      <c r="B26" s="204"/>
      <c r="C26" s="205"/>
      <c r="D26" s="205"/>
      <c r="E26" s="206"/>
      <c r="F26" s="204"/>
      <c r="G26" s="205"/>
      <c r="H26" s="207"/>
      <c r="I26" s="204"/>
      <c r="J26" s="205"/>
      <c r="K26" s="207"/>
      <c r="L26" s="206"/>
      <c r="M26" s="206"/>
      <c r="N26" s="207"/>
    </row>
    <row r="27" spans="1:14" x14ac:dyDescent="0.2">
      <c r="A27" s="211" t="s">
        <v>200</v>
      </c>
      <c r="B27" s="204"/>
      <c r="C27" s="205"/>
      <c r="D27" s="205"/>
      <c r="E27" s="206"/>
      <c r="F27" s="204"/>
      <c r="G27" s="205"/>
      <c r="H27" s="207"/>
      <c r="I27" s="204"/>
      <c r="J27" s="205"/>
      <c r="K27" s="207"/>
      <c r="L27" s="206"/>
      <c r="M27" s="206"/>
      <c r="N27" s="207"/>
    </row>
    <row r="28" spans="1:14" x14ac:dyDescent="0.2">
      <c r="A28" s="209" t="s">
        <v>188</v>
      </c>
      <c r="B28" s="204"/>
      <c r="C28" s="205"/>
      <c r="D28" s="205"/>
      <c r="E28" s="206"/>
      <c r="F28" s="204"/>
      <c r="G28" s="205"/>
      <c r="H28" s="207"/>
      <c r="I28" s="204"/>
      <c r="J28" s="205"/>
      <c r="K28" s="207"/>
      <c r="L28" s="206"/>
      <c r="M28" s="206"/>
      <c r="N28" s="207"/>
    </row>
    <row r="29" spans="1:14" x14ac:dyDescent="0.2">
      <c r="A29" s="209" t="s">
        <v>186</v>
      </c>
      <c r="B29" s="204"/>
      <c r="C29" s="205"/>
      <c r="D29" s="205"/>
      <c r="E29" s="206"/>
      <c r="F29" s="204"/>
      <c r="G29" s="205"/>
      <c r="H29" s="207"/>
      <c r="I29" s="204"/>
      <c r="J29" s="205"/>
      <c r="K29" s="207"/>
      <c r="L29" s="206"/>
      <c r="M29" s="206"/>
      <c r="N29" s="207"/>
    </row>
    <row r="30" spans="1:14" x14ac:dyDescent="0.2">
      <c r="A30" s="209"/>
      <c r="B30" s="204"/>
      <c r="C30" s="205"/>
      <c r="D30" s="205"/>
      <c r="E30" s="206"/>
      <c r="F30" s="204"/>
      <c r="G30" s="205"/>
      <c r="H30" s="207"/>
      <c r="I30" s="204"/>
      <c r="J30" s="205"/>
      <c r="K30" s="207"/>
      <c r="L30" s="206"/>
      <c r="M30" s="206"/>
      <c r="N30" s="207"/>
    </row>
    <row r="31" spans="1:14" x14ac:dyDescent="0.2">
      <c r="A31" s="211" t="s">
        <v>201</v>
      </c>
      <c r="B31" s="204"/>
      <c r="C31" s="205"/>
      <c r="D31" s="205"/>
      <c r="E31" s="206"/>
      <c r="F31" s="204"/>
      <c r="G31" s="205"/>
      <c r="H31" s="207"/>
      <c r="I31" s="204"/>
      <c r="J31" s="205"/>
      <c r="K31" s="207"/>
      <c r="L31" s="206"/>
      <c r="M31" s="206"/>
      <c r="N31" s="207"/>
    </row>
    <row r="32" spans="1:14" x14ac:dyDescent="0.2">
      <c r="A32" s="209" t="s">
        <v>189</v>
      </c>
      <c r="B32" s="204"/>
      <c r="C32" s="205"/>
      <c r="D32" s="205"/>
      <c r="E32" s="206"/>
      <c r="F32" s="204"/>
      <c r="G32" s="205"/>
      <c r="H32" s="207"/>
      <c r="I32" s="204"/>
      <c r="J32" s="205"/>
      <c r="K32" s="207"/>
      <c r="L32" s="206"/>
      <c r="M32" s="206"/>
      <c r="N32" s="207"/>
    </row>
    <row r="33" spans="1:14" x14ac:dyDescent="0.2">
      <c r="A33" s="209" t="s">
        <v>187</v>
      </c>
      <c r="B33" s="204"/>
      <c r="C33" s="205"/>
      <c r="D33" s="205"/>
      <c r="E33" s="206"/>
      <c r="F33" s="204"/>
      <c r="G33" s="205"/>
      <c r="H33" s="207"/>
      <c r="I33" s="204"/>
      <c r="J33" s="205"/>
      <c r="K33" s="207"/>
      <c r="L33" s="206"/>
      <c r="M33" s="206"/>
      <c r="N33" s="207"/>
    </row>
    <row r="34" spans="1:14" x14ac:dyDescent="0.2">
      <c r="A34" s="209" t="s">
        <v>190</v>
      </c>
      <c r="B34" s="204"/>
      <c r="C34" s="205"/>
      <c r="D34" s="205"/>
      <c r="E34" s="206"/>
      <c r="F34" s="204"/>
      <c r="G34" s="205"/>
      <c r="H34" s="207"/>
      <c r="I34" s="204"/>
      <c r="J34" s="205"/>
      <c r="K34" s="207"/>
      <c r="L34" s="206"/>
      <c r="M34" s="206"/>
      <c r="N34" s="207"/>
    </row>
    <row r="35" spans="1:14" x14ac:dyDescent="0.2">
      <c r="A35" s="209" t="s">
        <v>191</v>
      </c>
      <c r="B35" s="204"/>
      <c r="C35" s="205"/>
      <c r="D35" s="205"/>
      <c r="E35" s="206"/>
      <c r="F35" s="204"/>
      <c r="G35" s="205"/>
      <c r="H35" s="207"/>
      <c r="I35" s="204"/>
      <c r="J35" s="205"/>
      <c r="K35" s="207"/>
      <c r="L35" s="206"/>
      <c r="M35" s="206"/>
      <c r="N35" s="207"/>
    </row>
    <row r="36" spans="1:14" x14ac:dyDescent="0.2">
      <c r="A36" s="209"/>
      <c r="B36" s="204"/>
      <c r="C36" s="205"/>
      <c r="D36" s="205"/>
      <c r="E36" s="206"/>
      <c r="F36" s="204"/>
      <c r="G36" s="205"/>
      <c r="H36" s="207"/>
      <c r="I36" s="204"/>
      <c r="J36" s="205"/>
      <c r="K36" s="207"/>
      <c r="L36" s="206"/>
      <c r="M36" s="206"/>
      <c r="N36" s="207"/>
    </row>
    <row r="37" spans="1:14" x14ac:dyDescent="0.2">
      <c r="A37" s="211" t="s">
        <v>202</v>
      </c>
      <c r="B37" s="204"/>
      <c r="C37" s="205"/>
      <c r="D37" s="205"/>
      <c r="E37" s="206"/>
      <c r="F37" s="204"/>
      <c r="G37" s="205"/>
      <c r="H37" s="207"/>
      <c r="I37" s="204"/>
      <c r="J37" s="205"/>
      <c r="K37" s="207"/>
      <c r="L37" s="206"/>
      <c r="M37" s="206"/>
      <c r="N37" s="207"/>
    </row>
    <row r="38" spans="1:14" x14ac:dyDescent="0.2">
      <c r="A38" s="209" t="s">
        <v>192</v>
      </c>
      <c r="B38" s="204"/>
      <c r="C38" s="205"/>
      <c r="D38" s="205"/>
      <c r="E38" s="206"/>
      <c r="F38" s="204"/>
      <c r="G38" s="205"/>
      <c r="H38" s="207"/>
      <c r="I38" s="204"/>
      <c r="J38" s="205"/>
      <c r="K38" s="207"/>
      <c r="L38" s="206"/>
      <c r="M38" s="206"/>
      <c r="N38" s="207"/>
    </row>
    <row r="39" spans="1:14" x14ac:dyDescent="0.2">
      <c r="A39" s="209" t="s">
        <v>193</v>
      </c>
      <c r="B39" s="204"/>
      <c r="C39" s="205"/>
      <c r="D39" s="205"/>
      <c r="E39" s="206"/>
      <c r="F39" s="204"/>
      <c r="G39" s="205"/>
      <c r="H39" s="207"/>
      <c r="I39" s="204"/>
      <c r="J39" s="205"/>
      <c r="K39" s="207"/>
      <c r="L39" s="206"/>
      <c r="M39" s="206"/>
      <c r="N39" s="207"/>
    </row>
    <row r="40" spans="1:14" ht="22.5" x14ac:dyDescent="0.2">
      <c r="A40" s="209" t="s">
        <v>194</v>
      </c>
      <c r="B40" s="204"/>
      <c r="C40" s="205"/>
      <c r="D40" s="205"/>
      <c r="E40" s="206"/>
      <c r="F40" s="204"/>
      <c r="G40" s="205"/>
      <c r="H40" s="207"/>
      <c r="I40" s="204"/>
      <c r="J40" s="205"/>
      <c r="K40" s="207"/>
      <c r="L40" s="206"/>
      <c r="M40" s="206"/>
      <c r="N40" s="207"/>
    </row>
    <row r="41" spans="1:14" ht="22.5" x14ac:dyDescent="0.2">
      <c r="A41" s="209" t="s">
        <v>195</v>
      </c>
      <c r="B41" s="204"/>
      <c r="C41" s="205"/>
      <c r="D41" s="205"/>
      <c r="E41" s="206"/>
      <c r="F41" s="204"/>
      <c r="G41" s="205"/>
      <c r="H41" s="207"/>
      <c r="I41" s="204"/>
      <c r="J41" s="205"/>
      <c r="K41" s="207"/>
      <c r="L41" s="206"/>
      <c r="M41" s="206"/>
      <c r="N41" s="207"/>
    </row>
    <row r="42" spans="1:14" x14ac:dyDescent="0.2">
      <c r="A42" s="209"/>
      <c r="B42" s="204"/>
      <c r="C42" s="205"/>
      <c r="D42" s="205"/>
      <c r="E42" s="206"/>
      <c r="F42" s="204"/>
      <c r="G42" s="205"/>
      <c r="H42" s="207"/>
      <c r="I42" s="204"/>
      <c r="J42" s="205"/>
      <c r="K42" s="207"/>
      <c r="L42" s="206"/>
      <c r="M42" s="206"/>
      <c r="N42" s="207"/>
    </row>
    <row r="43" spans="1:14" x14ac:dyDescent="0.2">
      <c r="A43" s="211" t="s">
        <v>203</v>
      </c>
      <c r="B43" s="204"/>
      <c r="C43" s="205"/>
      <c r="D43" s="205"/>
      <c r="E43" s="206"/>
      <c r="F43" s="204"/>
      <c r="G43" s="205"/>
      <c r="H43" s="207"/>
      <c r="I43" s="204"/>
      <c r="J43" s="205"/>
      <c r="K43" s="207"/>
      <c r="L43" s="206"/>
      <c r="M43" s="206"/>
      <c r="N43" s="207"/>
    </row>
    <row r="44" spans="1:14" x14ac:dyDescent="0.2">
      <c r="A44" s="209" t="s">
        <v>196</v>
      </c>
      <c r="B44" s="204"/>
      <c r="C44" s="205"/>
      <c r="D44" s="205"/>
      <c r="E44" s="206"/>
      <c r="F44" s="204"/>
      <c r="G44" s="205"/>
      <c r="H44" s="207"/>
      <c r="I44" s="204"/>
      <c r="J44" s="205"/>
      <c r="K44" s="207"/>
      <c r="L44" s="206"/>
      <c r="M44" s="206"/>
      <c r="N44" s="207"/>
    </row>
    <row r="45" spans="1:14" s="109" customFormat="1" ht="22.5" x14ac:dyDescent="0.2">
      <c r="A45" s="209" t="s">
        <v>197</v>
      </c>
      <c r="B45" s="204"/>
      <c r="C45" s="205"/>
      <c r="D45" s="205"/>
      <c r="E45" s="206"/>
      <c r="F45" s="204"/>
      <c r="G45" s="205"/>
      <c r="H45" s="207"/>
      <c r="I45" s="204"/>
      <c r="J45" s="205"/>
      <c r="K45" s="207"/>
      <c r="L45" s="206"/>
      <c r="M45" s="206"/>
      <c r="N45" s="207"/>
    </row>
    <row r="46" spans="1:14" ht="12" thickBot="1" x14ac:dyDescent="0.25">
      <c r="A46" s="212"/>
      <c r="B46" s="204"/>
      <c r="C46" s="205"/>
      <c r="D46" s="205"/>
      <c r="E46" s="206"/>
      <c r="F46" s="204"/>
      <c r="G46" s="205"/>
      <c r="H46" s="207"/>
      <c r="I46" s="204"/>
      <c r="J46" s="205"/>
      <c r="K46" s="207"/>
      <c r="L46" s="206"/>
      <c r="M46" s="206"/>
      <c r="N46" s="207"/>
    </row>
    <row r="47" spans="1:14" s="107" customFormat="1" x14ac:dyDescent="0.2">
      <c r="A47" s="213"/>
      <c r="B47" s="225"/>
      <c r="C47" s="226"/>
      <c r="D47" s="232"/>
      <c r="E47" s="229"/>
      <c r="F47" s="225"/>
      <c r="G47" s="228"/>
      <c r="H47" s="229"/>
      <c r="I47" s="225"/>
      <c r="J47" s="226"/>
      <c r="K47" s="227"/>
      <c r="L47" s="228"/>
      <c r="M47" s="228"/>
      <c r="N47" s="229"/>
    </row>
    <row r="48" spans="1:14" s="107" customFormat="1" ht="12" thickBot="1" x14ac:dyDescent="0.25">
      <c r="A48" s="214" t="s">
        <v>0</v>
      </c>
      <c r="B48" s="215"/>
      <c r="C48" s="216"/>
      <c r="D48" s="231"/>
      <c r="E48" s="218"/>
      <c r="F48" s="215"/>
      <c r="G48" s="217"/>
      <c r="H48" s="218"/>
      <c r="I48" s="215"/>
      <c r="J48" s="216"/>
      <c r="K48" s="224"/>
      <c r="L48" s="217"/>
      <c r="M48" s="217"/>
      <c r="N48" s="218"/>
    </row>
    <row r="49" spans="1:14" s="107" customFormat="1" ht="12.75" thickTop="1" thickBot="1" x14ac:dyDescent="0.25">
      <c r="A49" s="219" t="s">
        <v>20</v>
      </c>
      <c r="B49" s="220"/>
      <c r="C49" s="221"/>
      <c r="D49" s="233"/>
      <c r="E49" s="223"/>
      <c r="F49" s="220"/>
      <c r="G49" s="222"/>
      <c r="H49" s="223"/>
      <c r="I49" s="220"/>
      <c r="J49" s="221"/>
      <c r="K49" s="230"/>
      <c r="L49" s="222"/>
      <c r="M49" s="222"/>
      <c r="N49" s="223"/>
    </row>
    <row r="50" spans="1:14" x14ac:dyDescent="0.2">
      <c r="A50" s="60" t="s">
        <v>405</v>
      </c>
      <c r="B50" s="60"/>
      <c r="C50" s="60"/>
      <c r="D50" s="60"/>
      <c r="E50" s="60"/>
      <c r="F50" s="60"/>
      <c r="G50" s="60"/>
      <c r="H50" s="60"/>
      <c r="I50" s="60"/>
      <c r="J50" s="60"/>
      <c r="K50" s="60"/>
      <c r="L50" s="60"/>
      <c r="M50" s="60"/>
      <c r="N50" s="60"/>
    </row>
    <row r="51" spans="1:14" x14ac:dyDescent="0.2">
      <c r="A51" s="60" t="s">
        <v>434</v>
      </c>
      <c r="B51" s="60"/>
      <c r="C51" s="60"/>
      <c r="D51" s="60"/>
      <c r="E51" s="60"/>
      <c r="F51" s="60"/>
      <c r="G51" s="60"/>
      <c r="H51" s="60"/>
      <c r="I51" s="60"/>
      <c r="J51" s="60"/>
      <c r="K51" s="60"/>
      <c r="L51" s="60"/>
      <c r="M51" s="60"/>
      <c r="N51" s="60"/>
    </row>
  </sheetData>
  <mergeCells count="4">
    <mergeCell ref="I3:N3"/>
    <mergeCell ref="B3:E3"/>
    <mergeCell ref="F3:H3"/>
    <mergeCell ref="A3:A4"/>
  </mergeCells>
  <printOptions horizontalCentered="1"/>
  <pageMargins left="0.23622047244094491" right="0.23622047244094491" top="0.74803149606299213" bottom="0.74803149606299213" header="0.31496062992125984" footer="0.31496062992125984"/>
  <pageSetup paperSize="9" scale="70" orientation="landscape" r:id="rId1"/>
  <headerFooter alignWithMargins="0">
    <oddHeader xml:space="preserve">&amp;C&amp;"Arial,Negrita"&amp;18PROYECTO DE PRESUPUESTO 2022
</oddHeader>
    <oddFooter>&amp;L&amp;"Arial,Negrita"&amp;8PROYECTO DE PRESUPUESTO PARA EL AÑO FISCAL 2022
INFORMACIÓN PARA LA COMISIÓN DE PRESUPUESTO Y CUENTA GENERAL DE LA REPÚBLICA DEL CONGRESO DE LA REPÚBLICA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3">
    <tabColor theme="9" tint="-0.249977111117893"/>
  </sheetPr>
  <dimension ref="A1:V25"/>
  <sheetViews>
    <sheetView zoomScaleNormal="100" zoomScaleSheetLayoutView="90" workbookViewId="0">
      <selection activeCell="B5" sqref="B5:E5"/>
    </sheetView>
  </sheetViews>
  <sheetFormatPr baseColWidth="10" defaultColWidth="11.28515625" defaultRowHeight="11.25" x14ac:dyDescent="0.2"/>
  <cols>
    <col min="1" max="1" width="27" style="108" bestFit="1" customWidth="1"/>
    <col min="2" max="2" width="4.5703125" style="108" customWidth="1"/>
    <col min="3" max="3" width="9.5703125" style="108" bestFit="1" customWidth="1"/>
    <col min="4" max="4" width="7.85546875" style="108" bestFit="1" customWidth="1"/>
    <col min="5" max="5" width="8.7109375" style="108" bestFit="1" customWidth="1"/>
    <col min="6" max="6" width="7" style="108" customWidth="1"/>
    <col min="7" max="7" width="7.85546875" style="108" bestFit="1" customWidth="1"/>
    <col min="8" max="8" width="9.5703125" style="108" bestFit="1" customWidth="1"/>
    <col min="9" max="10" width="7" style="108" customWidth="1"/>
    <col min="11" max="11" width="9.5703125" style="108" bestFit="1" customWidth="1"/>
    <col min="12" max="12" width="7" style="108" customWidth="1"/>
    <col min="13" max="13" width="9.5703125" style="108" bestFit="1" customWidth="1"/>
    <col min="14" max="15" width="5.42578125" style="108" customWidth="1"/>
    <col min="16" max="16" width="9.5703125" style="108" bestFit="1" customWidth="1"/>
    <col min="17" max="17" width="4.85546875" style="108" bestFit="1" customWidth="1"/>
    <col min="18" max="16384" width="11.28515625" style="108"/>
  </cols>
  <sheetData>
    <row r="1" spans="1:22" s="107" customFormat="1" x14ac:dyDescent="0.2">
      <c r="A1" s="105" t="s">
        <v>380</v>
      </c>
      <c r="B1" s="110"/>
      <c r="C1" s="110"/>
      <c r="D1" s="110"/>
      <c r="E1" s="110"/>
    </row>
    <row r="2" spans="1:22" s="107" customFormat="1" ht="12" thickBot="1" x14ac:dyDescent="0.25">
      <c r="A2" s="106" t="s">
        <v>473</v>
      </c>
      <c r="B2" s="106"/>
      <c r="C2" s="106"/>
      <c r="D2" s="106"/>
      <c r="E2" s="106"/>
      <c r="F2" s="106"/>
      <c r="G2" s="106"/>
      <c r="H2" s="106"/>
      <c r="I2" s="106"/>
      <c r="J2" s="106"/>
      <c r="K2" s="106"/>
      <c r="L2" s="106"/>
      <c r="M2" s="106"/>
      <c r="N2" s="106"/>
      <c r="O2" s="106"/>
      <c r="P2" s="106"/>
      <c r="Q2" s="106"/>
      <c r="R2" s="106"/>
      <c r="S2" s="106"/>
      <c r="T2" s="106"/>
      <c r="U2" s="106"/>
      <c r="V2" s="106"/>
    </row>
    <row r="3" spans="1:22" ht="27.75" customHeight="1" thickBot="1" x14ac:dyDescent="0.25">
      <c r="A3" s="596" t="s">
        <v>1</v>
      </c>
      <c r="B3" s="596" t="s">
        <v>381</v>
      </c>
      <c r="C3" s="597"/>
      <c r="D3" s="597"/>
      <c r="E3" s="597"/>
      <c r="F3" s="597"/>
      <c r="G3" s="597"/>
      <c r="H3" s="595"/>
      <c r="I3" s="594" t="s">
        <v>382</v>
      </c>
      <c r="J3" s="597"/>
      <c r="K3" s="597"/>
      <c r="L3" s="597"/>
      <c r="M3" s="595"/>
      <c r="N3" s="599" t="s">
        <v>383</v>
      </c>
      <c r="O3" s="600"/>
      <c r="P3" s="594" t="s">
        <v>0</v>
      </c>
      <c r="Q3" s="595"/>
    </row>
    <row r="4" spans="1:22" s="123" customFormat="1" ht="80.25" customHeight="1" thickBot="1" x14ac:dyDescent="0.25">
      <c r="A4" s="598"/>
      <c r="B4" s="137" t="s">
        <v>264</v>
      </c>
      <c r="C4" s="138" t="s">
        <v>265</v>
      </c>
      <c r="D4" s="137" t="s">
        <v>266</v>
      </c>
      <c r="E4" s="137" t="s">
        <v>267</v>
      </c>
      <c r="F4" s="137" t="s">
        <v>268</v>
      </c>
      <c r="G4" s="136" t="s">
        <v>269</v>
      </c>
      <c r="H4" s="136" t="s">
        <v>270</v>
      </c>
      <c r="I4" s="137" t="s">
        <v>271</v>
      </c>
      <c r="J4" s="136" t="s">
        <v>269</v>
      </c>
      <c r="K4" s="136" t="s">
        <v>272</v>
      </c>
      <c r="L4" s="136" t="s">
        <v>273</v>
      </c>
      <c r="M4" s="136" t="s">
        <v>274</v>
      </c>
      <c r="N4" s="136" t="s">
        <v>275</v>
      </c>
      <c r="O4" s="138" t="s">
        <v>276</v>
      </c>
      <c r="P4" s="137" t="s">
        <v>19</v>
      </c>
      <c r="Q4" s="136" t="s">
        <v>21</v>
      </c>
    </row>
    <row r="5" spans="1:22" x14ac:dyDescent="0.2">
      <c r="A5" s="124"/>
      <c r="B5" s="117"/>
      <c r="C5" s="118"/>
      <c r="D5" s="117"/>
      <c r="E5" s="119"/>
      <c r="F5" s="119"/>
      <c r="G5" s="119"/>
      <c r="H5" s="119"/>
      <c r="I5" s="119"/>
      <c r="J5" s="119"/>
      <c r="K5" s="119"/>
      <c r="L5" s="119"/>
      <c r="M5" s="119"/>
      <c r="N5" s="119"/>
      <c r="O5" s="119"/>
      <c r="P5" s="118"/>
      <c r="Q5" s="275"/>
    </row>
    <row r="6" spans="1:22" ht="12" x14ac:dyDescent="0.2">
      <c r="A6" s="124" t="s">
        <v>38</v>
      </c>
      <c r="B6" s="276"/>
      <c r="C6" s="277">
        <v>181409872</v>
      </c>
      <c r="D6" s="276">
        <v>5336388</v>
      </c>
      <c r="E6" s="278">
        <v>49819502</v>
      </c>
      <c r="F6" s="278"/>
      <c r="G6" s="278">
        <v>1398545</v>
      </c>
      <c r="H6" s="279">
        <f>SUM(B6:G6)</f>
        <v>237964307</v>
      </c>
      <c r="I6" s="278"/>
      <c r="J6" s="278"/>
      <c r="K6" s="278">
        <v>47527307</v>
      </c>
      <c r="L6" s="278"/>
      <c r="M6" s="279">
        <f>SUM(I6:L6)</f>
        <v>47527307</v>
      </c>
      <c r="N6" s="278"/>
      <c r="O6" s="279"/>
      <c r="P6" s="287">
        <f>+H6+M6+O6</f>
        <v>285491614</v>
      </c>
      <c r="Q6" s="288">
        <f>+P6/P24*100</f>
        <v>75.675037919145169</v>
      </c>
    </row>
    <row r="7" spans="1:22" ht="12" x14ac:dyDescent="0.2">
      <c r="A7" s="124"/>
      <c r="B7" s="276"/>
      <c r="C7" s="277"/>
      <c r="D7" s="276"/>
      <c r="E7" s="278"/>
      <c r="F7" s="278"/>
      <c r="G7" s="278"/>
      <c r="H7" s="278"/>
      <c r="I7" s="278"/>
      <c r="J7" s="278"/>
      <c r="K7" s="278"/>
      <c r="L7" s="278"/>
      <c r="M7" s="279"/>
      <c r="N7" s="278"/>
      <c r="O7" s="279"/>
      <c r="P7" s="277"/>
      <c r="Q7" s="280"/>
    </row>
    <row r="8" spans="1:22" ht="12" x14ac:dyDescent="0.2">
      <c r="A8" s="124" t="s">
        <v>39</v>
      </c>
      <c r="B8" s="276"/>
      <c r="C8" s="277"/>
      <c r="D8" s="276"/>
      <c r="E8" s="278">
        <v>7678986</v>
      </c>
      <c r="F8" s="278"/>
      <c r="G8" s="278"/>
      <c r="H8" s="279">
        <f>SUM(B8:G8)</f>
        <v>7678986</v>
      </c>
      <c r="I8" s="278"/>
      <c r="J8" s="278"/>
      <c r="K8" s="278"/>
      <c r="L8" s="278"/>
      <c r="M8" s="279">
        <f>SUM(I8:L8)</f>
        <v>0</v>
      </c>
      <c r="N8" s="278"/>
      <c r="O8" s="279"/>
      <c r="P8" s="287">
        <f>+H8+M8+O8</f>
        <v>7678986</v>
      </c>
      <c r="Q8" s="288">
        <f>+P8/P24*100</f>
        <v>2.0354627885167407</v>
      </c>
    </row>
    <row r="9" spans="1:22" ht="12" x14ac:dyDescent="0.2">
      <c r="A9" s="124"/>
      <c r="B9" s="276"/>
      <c r="C9" s="277"/>
      <c r="D9" s="276"/>
      <c r="E9" s="278"/>
      <c r="F9" s="278"/>
      <c r="G9" s="278"/>
      <c r="H9" s="278"/>
      <c r="I9" s="278"/>
      <c r="J9" s="278"/>
      <c r="K9" s="278"/>
      <c r="L9" s="278"/>
      <c r="M9" s="279"/>
      <c r="N9" s="278"/>
      <c r="O9" s="279"/>
      <c r="P9" s="277"/>
      <c r="Q9" s="288"/>
    </row>
    <row r="10" spans="1:22" ht="12" x14ac:dyDescent="0.2">
      <c r="A10" s="124" t="s">
        <v>40</v>
      </c>
      <c r="B10" s="276"/>
      <c r="C10" s="277"/>
      <c r="D10" s="276"/>
      <c r="E10" s="278">
        <v>3959163</v>
      </c>
      <c r="F10" s="278"/>
      <c r="G10" s="278"/>
      <c r="H10" s="279">
        <f>SUM(B10:G10)</f>
        <v>3959163</v>
      </c>
      <c r="I10" s="278"/>
      <c r="J10" s="278"/>
      <c r="K10" s="278"/>
      <c r="L10" s="278"/>
      <c r="M10" s="279">
        <f>SUM(I10:L10)</f>
        <v>0</v>
      </c>
      <c r="N10" s="278"/>
      <c r="O10" s="279"/>
      <c r="P10" s="287">
        <f>+H10+M10+O10</f>
        <v>3959163</v>
      </c>
      <c r="Q10" s="288">
        <f>+P10/P24*100</f>
        <v>1.0494522271784716</v>
      </c>
    </row>
    <row r="11" spans="1:22" ht="12" x14ac:dyDescent="0.2">
      <c r="A11" s="124" t="s">
        <v>74</v>
      </c>
      <c r="B11" s="276"/>
      <c r="C11" s="277"/>
      <c r="D11" s="276"/>
      <c r="E11" s="278"/>
      <c r="F11" s="278"/>
      <c r="G11" s="278"/>
      <c r="H11" s="278"/>
      <c r="I11" s="278"/>
      <c r="J11" s="278"/>
      <c r="K11" s="278"/>
      <c r="L11" s="278"/>
      <c r="M11" s="279"/>
      <c r="N11" s="278"/>
      <c r="O11" s="279"/>
      <c r="P11" s="277"/>
      <c r="Q11" s="288"/>
    </row>
    <row r="12" spans="1:22" ht="12" x14ac:dyDescent="0.2">
      <c r="A12" s="122"/>
      <c r="B12" s="276"/>
      <c r="C12" s="281"/>
      <c r="D12" s="282"/>
      <c r="E12" s="283"/>
      <c r="F12" s="283"/>
      <c r="G12" s="278"/>
      <c r="H12" s="278"/>
      <c r="I12" s="278"/>
      <c r="J12" s="278"/>
      <c r="K12" s="278"/>
      <c r="L12" s="278"/>
      <c r="M12" s="279"/>
      <c r="N12" s="278"/>
      <c r="O12" s="279"/>
      <c r="P12" s="277"/>
      <c r="Q12" s="288"/>
    </row>
    <row r="13" spans="1:22" ht="12" x14ac:dyDescent="0.2">
      <c r="A13" s="124" t="s">
        <v>41</v>
      </c>
      <c r="B13" s="276"/>
      <c r="C13" s="277"/>
      <c r="D13" s="276"/>
      <c r="E13" s="278">
        <v>52400</v>
      </c>
      <c r="F13" s="278"/>
      <c r="G13" s="278"/>
      <c r="H13" s="279">
        <f>SUM(B13:G13)</f>
        <v>52400</v>
      </c>
      <c r="I13" s="278"/>
      <c r="J13" s="278"/>
      <c r="K13" s="278"/>
      <c r="L13" s="278"/>
      <c r="M13" s="279">
        <f>SUM(I13:L13)</f>
        <v>0</v>
      </c>
      <c r="N13" s="278"/>
      <c r="O13" s="279"/>
      <c r="P13" s="287">
        <f>+H13+M13+O13</f>
        <v>52400</v>
      </c>
      <c r="Q13" s="288">
        <f>+P13/P24*100</f>
        <v>1.3889626848945577E-2</v>
      </c>
    </row>
    <row r="14" spans="1:22" ht="12" x14ac:dyDescent="0.2">
      <c r="A14" s="124"/>
      <c r="B14" s="276"/>
      <c r="C14" s="277"/>
      <c r="D14" s="276"/>
      <c r="E14" s="278"/>
      <c r="F14" s="278"/>
      <c r="G14" s="278"/>
      <c r="H14" s="278"/>
      <c r="I14" s="278"/>
      <c r="J14" s="278"/>
      <c r="K14" s="278"/>
      <c r="L14" s="278"/>
      <c r="M14" s="279"/>
      <c r="N14" s="278"/>
      <c r="O14" s="279"/>
      <c r="P14" s="277"/>
      <c r="Q14" s="288"/>
    </row>
    <row r="15" spans="1:22" ht="12" x14ac:dyDescent="0.2">
      <c r="A15" s="124" t="s">
        <v>42</v>
      </c>
      <c r="B15" s="276"/>
      <c r="C15" s="277"/>
      <c r="D15" s="276"/>
      <c r="E15" s="278"/>
      <c r="F15" s="278"/>
      <c r="G15" s="278"/>
      <c r="H15" s="279"/>
      <c r="I15" s="278"/>
      <c r="J15" s="278"/>
      <c r="K15" s="278"/>
      <c r="L15" s="278"/>
      <c r="M15" s="279"/>
      <c r="N15" s="278"/>
      <c r="O15" s="279"/>
      <c r="P15" s="287"/>
      <c r="Q15" s="288"/>
    </row>
    <row r="16" spans="1:22" ht="12" x14ac:dyDescent="0.2">
      <c r="A16" s="124"/>
      <c r="B16" s="276"/>
      <c r="C16" s="277"/>
      <c r="D16" s="276"/>
      <c r="E16" s="278"/>
      <c r="F16" s="278"/>
      <c r="G16" s="278"/>
      <c r="H16" s="278"/>
      <c r="I16" s="278"/>
      <c r="J16" s="278"/>
      <c r="K16" s="278"/>
      <c r="L16" s="278"/>
      <c r="M16" s="279"/>
      <c r="N16" s="278"/>
      <c r="O16" s="279"/>
      <c r="P16" s="277"/>
      <c r="Q16" s="288"/>
    </row>
    <row r="17" spans="1:17" ht="12" x14ac:dyDescent="0.2">
      <c r="A17" s="124" t="s">
        <v>46</v>
      </c>
      <c r="B17" s="276"/>
      <c r="C17" s="277"/>
      <c r="D17" s="276"/>
      <c r="E17" s="278">
        <v>6214692</v>
      </c>
      <c r="F17" s="278"/>
      <c r="G17" s="278"/>
      <c r="H17" s="279">
        <f>SUM(B17:G17)</f>
        <v>6214692</v>
      </c>
      <c r="I17" s="278"/>
      <c r="J17" s="278"/>
      <c r="K17" s="278">
        <v>73863100</v>
      </c>
      <c r="L17" s="278"/>
      <c r="M17" s="279">
        <f>SUM(I17:L17)</f>
        <v>73863100</v>
      </c>
      <c r="N17" s="278"/>
      <c r="O17" s="279">
        <f>+N17</f>
        <v>0</v>
      </c>
      <c r="P17" s="287">
        <f>+H17+M17+O17</f>
        <v>80077792</v>
      </c>
      <c r="Q17" s="288">
        <f>+P17/P24*100</f>
        <v>21.226157438310675</v>
      </c>
    </row>
    <row r="18" spans="1:17" ht="12" x14ac:dyDescent="0.2">
      <c r="A18" s="124" t="s">
        <v>47</v>
      </c>
      <c r="B18" s="276"/>
      <c r="C18" s="277"/>
      <c r="D18" s="276"/>
      <c r="E18" s="278"/>
      <c r="F18" s="278"/>
      <c r="G18" s="278"/>
      <c r="H18" s="278"/>
      <c r="I18" s="278"/>
      <c r="J18" s="278"/>
      <c r="K18" s="278"/>
      <c r="L18" s="278"/>
      <c r="M18" s="279"/>
      <c r="N18" s="278"/>
      <c r="O18" s="279"/>
      <c r="P18" s="277"/>
      <c r="Q18" s="288"/>
    </row>
    <row r="19" spans="1:17" ht="12" x14ac:dyDescent="0.2">
      <c r="A19" s="124" t="s">
        <v>43</v>
      </c>
      <c r="B19" s="276"/>
      <c r="C19" s="277"/>
      <c r="D19" s="276"/>
      <c r="E19" s="278"/>
      <c r="F19" s="278"/>
      <c r="G19" s="278"/>
      <c r="H19" s="278"/>
      <c r="I19" s="278"/>
      <c r="J19" s="278"/>
      <c r="K19" s="278"/>
      <c r="L19" s="278"/>
      <c r="M19" s="279"/>
      <c r="N19" s="278"/>
      <c r="O19" s="279"/>
      <c r="P19" s="277"/>
      <c r="Q19" s="288"/>
    </row>
    <row r="20" spans="1:17" ht="12" x14ac:dyDescent="0.2">
      <c r="A20" s="124" t="s">
        <v>44</v>
      </c>
      <c r="B20" s="276"/>
      <c r="C20" s="277"/>
      <c r="D20" s="276"/>
      <c r="E20" s="278"/>
      <c r="F20" s="278"/>
      <c r="G20" s="278"/>
      <c r="H20" s="279"/>
      <c r="I20" s="278"/>
      <c r="J20" s="278"/>
      <c r="K20" s="278"/>
      <c r="L20" s="278"/>
      <c r="M20" s="279"/>
      <c r="N20" s="278"/>
      <c r="O20" s="279"/>
      <c r="P20" s="287"/>
      <c r="Q20" s="288"/>
    </row>
    <row r="21" spans="1:17" ht="12" x14ac:dyDescent="0.2">
      <c r="A21" s="124" t="s">
        <v>45</v>
      </c>
      <c r="B21" s="276"/>
      <c r="C21" s="277"/>
      <c r="D21" s="276"/>
      <c r="E21" s="278"/>
      <c r="F21" s="278"/>
      <c r="G21" s="278"/>
      <c r="H21" s="279"/>
      <c r="I21" s="278"/>
      <c r="J21" s="278"/>
      <c r="K21" s="278"/>
      <c r="L21" s="278"/>
      <c r="M21" s="279"/>
      <c r="N21" s="278"/>
      <c r="O21" s="279"/>
      <c r="P21" s="287"/>
      <c r="Q21" s="288"/>
    </row>
    <row r="22" spans="1:17" ht="12" x14ac:dyDescent="0.2">
      <c r="A22" s="124" t="s">
        <v>65</v>
      </c>
      <c r="B22" s="276"/>
      <c r="C22" s="277"/>
      <c r="D22" s="276"/>
      <c r="E22" s="278"/>
      <c r="F22" s="278"/>
      <c r="G22" s="278"/>
      <c r="H22" s="279"/>
      <c r="I22" s="278"/>
      <c r="J22" s="278"/>
      <c r="K22" s="278"/>
      <c r="L22" s="278"/>
      <c r="M22" s="279"/>
      <c r="N22" s="278"/>
      <c r="O22" s="279"/>
      <c r="P22" s="287"/>
      <c r="Q22" s="288"/>
    </row>
    <row r="23" spans="1:17" ht="12.75" thickBot="1" x14ac:dyDescent="0.25">
      <c r="A23" s="120"/>
      <c r="B23" s="284"/>
      <c r="C23" s="277"/>
      <c r="D23" s="276"/>
      <c r="E23" s="278"/>
      <c r="F23" s="278"/>
      <c r="G23" s="278"/>
      <c r="H23" s="278"/>
      <c r="I23" s="278"/>
      <c r="J23" s="278"/>
      <c r="K23" s="278"/>
      <c r="L23" s="278"/>
      <c r="M23" s="278"/>
      <c r="N23" s="278"/>
      <c r="O23" s="278"/>
      <c r="P23" s="277"/>
      <c r="Q23" s="280"/>
    </row>
    <row r="24" spans="1:17" ht="12.75" thickBot="1" x14ac:dyDescent="0.25">
      <c r="A24" s="126" t="s">
        <v>0</v>
      </c>
      <c r="B24" s="286">
        <f>SUM(B6:B22)</f>
        <v>0</v>
      </c>
      <c r="C24" s="286">
        <f t="shared" ref="C24:P24" si="0">SUM(C6:C22)</f>
        <v>181409872</v>
      </c>
      <c r="D24" s="286">
        <f t="shared" si="0"/>
        <v>5336388</v>
      </c>
      <c r="E24" s="286">
        <f t="shared" si="0"/>
        <v>67724743</v>
      </c>
      <c r="F24" s="286">
        <f t="shared" si="0"/>
        <v>0</v>
      </c>
      <c r="G24" s="286">
        <f t="shared" si="0"/>
        <v>1398545</v>
      </c>
      <c r="H24" s="286">
        <f t="shared" si="0"/>
        <v>255869548</v>
      </c>
      <c r="I24" s="286">
        <f t="shared" si="0"/>
        <v>0</v>
      </c>
      <c r="J24" s="286">
        <f t="shared" si="0"/>
        <v>0</v>
      </c>
      <c r="K24" s="286">
        <f t="shared" si="0"/>
        <v>121390407</v>
      </c>
      <c r="L24" s="286">
        <f t="shared" si="0"/>
        <v>0</v>
      </c>
      <c r="M24" s="286">
        <f t="shared" si="0"/>
        <v>121390407</v>
      </c>
      <c r="N24" s="286">
        <f t="shared" si="0"/>
        <v>0</v>
      </c>
      <c r="O24" s="286">
        <f t="shared" si="0"/>
        <v>0</v>
      </c>
      <c r="P24" s="286">
        <f t="shared" si="0"/>
        <v>377259955</v>
      </c>
      <c r="Q24" s="285"/>
    </row>
    <row r="25" spans="1:17" x14ac:dyDescent="0.2">
      <c r="A25" s="113"/>
      <c r="B25" s="125"/>
      <c r="C25" s="125"/>
      <c r="D25" s="125"/>
      <c r="E25" s="125"/>
      <c r="F25" s="125"/>
      <c r="G25" s="125"/>
      <c r="H25" s="125"/>
      <c r="I25" s="125"/>
      <c r="J25" s="125"/>
      <c r="K25" s="125"/>
      <c r="L25" s="125"/>
      <c r="M25" s="125"/>
      <c r="N25" s="125"/>
      <c r="O25" s="125"/>
      <c r="P25" s="125"/>
      <c r="Q25" s="125"/>
    </row>
  </sheetData>
  <mergeCells count="5">
    <mergeCell ref="P3:Q3"/>
    <mergeCell ref="B3:H3"/>
    <mergeCell ref="I3:M3"/>
    <mergeCell ref="A3:A4"/>
    <mergeCell ref="N3:O3"/>
  </mergeCells>
  <phoneticPr fontId="0" type="noConversion"/>
  <printOptions horizontalCentered="1"/>
  <pageMargins left="0.23622047244094491" right="0.23622047244094491" top="0.74803149606299213" bottom="0.74803149606299213" header="0.31496062992125984" footer="0.31496062992125984"/>
  <pageSetup paperSize="9" scale="95" orientation="landscape" r:id="rId1"/>
  <headerFooter alignWithMargins="0">
    <oddHeader xml:space="preserve">&amp;C&amp;"Arial,Negrita"&amp;18PROYECTO DEL PRESUPUESTO 2022
</oddHeader>
    <oddFooter>&amp;L&amp;"Arial,Negrita"&amp;8PROYECTO DE PRESUPUESTO PARA EL AÑO FISCAL 2022
INFORMACIÓN PARA LA COMISIÓN DE PRESUPUESTO Y CUENTA GENERAL DE LA REPÚBLICA DEL CONGRESO DE LA REPÚBLICA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6">
    <tabColor theme="9" tint="-0.249977111117893"/>
  </sheetPr>
  <dimension ref="A1:V111"/>
  <sheetViews>
    <sheetView zoomScaleNormal="100" zoomScaleSheetLayoutView="70" zoomScalePageLayoutView="90" workbookViewId="0">
      <selection activeCell="B5" sqref="B5:E5"/>
    </sheetView>
  </sheetViews>
  <sheetFormatPr baseColWidth="10" defaultColWidth="11.42578125" defaultRowHeight="12" x14ac:dyDescent="0.2"/>
  <cols>
    <col min="1" max="1" width="25" style="81" customWidth="1"/>
    <col min="2" max="2" width="16.28515625" style="81" bestFit="1" customWidth="1"/>
    <col min="3" max="3" width="5.42578125" style="81" bestFit="1" customWidth="1"/>
    <col min="4" max="4" width="10.85546875" style="81" bestFit="1" customWidth="1"/>
    <col min="5" max="5" width="8.7109375" style="81" customWidth="1"/>
    <col min="6" max="6" width="9.85546875" style="81" bestFit="1" customWidth="1"/>
    <col min="7" max="7" width="5.42578125" style="81" bestFit="1" customWidth="1"/>
    <col min="8" max="8" width="8.7109375" style="81" customWidth="1"/>
    <col min="9" max="9" width="10.85546875" style="81" bestFit="1" customWidth="1"/>
    <col min="10" max="10" width="5.42578125" style="81" bestFit="1" customWidth="1"/>
    <col min="11" max="11" width="3.140625" style="81" bestFit="1" customWidth="1"/>
    <col min="12" max="12" width="10.85546875" style="81" bestFit="1" customWidth="1"/>
    <col min="13" max="13" width="5.42578125" style="81" bestFit="1" customWidth="1"/>
    <col min="14" max="14" width="10.85546875" style="81" bestFit="1" customWidth="1"/>
    <col min="15" max="15" width="4.85546875" style="81" customWidth="1"/>
    <col min="16" max="16" width="5.42578125" style="81" bestFit="1" customWidth="1"/>
    <col min="17" max="17" width="10.85546875" style="81" bestFit="1" customWidth="1"/>
    <col min="18" max="18" width="8.7109375" style="81" customWidth="1"/>
    <col min="19" max="16384" width="11.42578125" style="81"/>
  </cols>
  <sheetData>
    <row r="1" spans="1:22" s="5" customFormat="1" x14ac:dyDescent="0.2">
      <c r="A1" s="97" t="s">
        <v>384</v>
      </c>
      <c r="B1" s="6"/>
      <c r="C1" s="6"/>
      <c r="D1" s="6"/>
      <c r="E1" s="6"/>
      <c r="F1" s="6"/>
      <c r="G1" s="6"/>
      <c r="H1" s="6"/>
      <c r="I1" s="6"/>
      <c r="J1" s="6"/>
      <c r="K1" s="6"/>
      <c r="L1" s="6"/>
      <c r="M1" s="6"/>
      <c r="N1" s="6"/>
      <c r="O1" s="6"/>
      <c r="P1" s="6"/>
      <c r="Q1" s="6"/>
      <c r="R1" s="6"/>
    </row>
    <row r="2" spans="1:22" s="5" customFormat="1" ht="12.75" thickBot="1" x14ac:dyDescent="0.25">
      <c r="A2" s="98" t="s">
        <v>473</v>
      </c>
      <c r="B2" s="96"/>
      <c r="C2" s="96"/>
      <c r="D2" s="96"/>
      <c r="E2" s="96"/>
      <c r="F2" s="96"/>
      <c r="G2" s="96"/>
      <c r="H2" s="96"/>
      <c r="I2" s="96"/>
      <c r="J2" s="96"/>
      <c r="K2" s="96"/>
      <c r="L2" s="96"/>
      <c r="M2" s="96"/>
      <c r="N2" s="96"/>
      <c r="O2" s="96"/>
      <c r="P2" s="96"/>
      <c r="Q2" s="96"/>
      <c r="R2" s="96"/>
      <c r="S2" s="96"/>
      <c r="T2" s="96"/>
      <c r="U2" s="96"/>
      <c r="V2" s="96"/>
    </row>
    <row r="3" spans="1:22" ht="27" customHeight="1" x14ac:dyDescent="0.2">
      <c r="A3" s="603" t="s">
        <v>105</v>
      </c>
      <c r="B3" s="610" t="s">
        <v>106</v>
      </c>
      <c r="C3" s="605" t="s">
        <v>22</v>
      </c>
      <c r="D3" s="606"/>
      <c r="E3" s="606"/>
      <c r="F3" s="606"/>
      <c r="G3" s="606"/>
      <c r="H3" s="606"/>
      <c r="I3" s="607"/>
      <c r="J3" s="608" t="s">
        <v>87</v>
      </c>
      <c r="K3" s="601"/>
      <c r="L3" s="601"/>
      <c r="M3" s="601"/>
      <c r="N3" s="602"/>
      <c r="O3" s="609" t="s">
        <v>75</v>
      </c>
      <c r="P3" s="601"/>
      <c r="Q3" s="601" t="s">
        <v>0</v>
      </c>
      <c r="R3" s="602"/>
    </row>
    <row r="4" spans="1:22" ht="112.5" customHeight="1" thickBot="1" x14ac:dyDescent="0.25">
      <c r="A4" s="604"/>
      <c r="B4" s="611"/>
      <c r="C4" s="139" t="s">
        <v>209</v>
      </c>
      <c r="D4" s="140" t="s">
        <v>210</v>
      </c>
      <c r="E4" s="140" t="s">
        <v>211</v>
      </c>
      <c r="F4" s="140" t="s">
        <v>212</v>
      </c>
      <c r="G4" s="140" t="s">
        <v>213</v>
      </c>
      <c r="H4" s="140" t="s">
        <v>214</v>
      </c>
      <c r="I4" s="365" t="s">
        <v>84</v>
      </c>
      <c r="J4" s="139" t="s">
        <v>213</v>
      </c>
      <c r="K4" s="140" t="s">
        <v>214</v>
      </c>
      <c r="L4" s="140" t="s">
        <v>215</v>
      </c>
      <c r="M4" s="140" t="s">
        <v>216</v>
      </c>
      <c r="N4" s="365" t="s">
        <v>85</v>
      </c>
      <c r="O4" s="141" t="s">
        <v>217</v>
      </c>
      <c r="P4" s="142" t="s">
        <v>86</v>
      </c>
      <c r="Q4" s="142" t="s">
        <v>34</v>
      </c>
      <c r="R4" s="143" t="s">
        <v>73</v>
      </c>
    </row>
    <row r="5" spans="1:22" hidden="1" x14ac:dyDescent="0.2">
      <c r="A5" s="19" t="s">
        <v>107</v>
      </c>
      <c r="B5" s="40">
        <v>2020</v>
      </c>
      <c r="C5" s="289"/>
      <c r="D5" s="290"/>
      <c r="E5" s="290"/>
      <c r="F5" s="290"/>
      <c r="G5" s="290"/>
      <c r="H5" s="290"/>
      <c r="I5" s="367">
        <f t="shared" ref="I5:I6" si="0">SUM(C5:H5)</f>
        <v>0</v>
      </c>
      <c r="J5" s="289"/>
      <c r="K5" s="290"/>
      <c r="L5" s="290"/>
      <c r="M5" s="290"/>
      <c r="N5" s="367">
        <f>SUM(J5:M5)</f>
        <v>0</v>
      </c>
      <c r="O5" s="291"/>
      <c r="P5" s="290"/>
      <c r="Q5" s="369">
        <f>+I5+N5+P5</f>
        <v>0</v>
      </c>
      <c r="R5" s="370"/>
    </row>
    <row r="6" spans="1:22" hidden="1" x14ac:dyDescent="0.2">
      <c r="A6" s="20"/>
      <c r="B6" s="14">
        <v>2021</v>
      </c>
      <c r="C6" s="292"/>
      <c r="D6" s="293"/>
      <c r="E6" s="293"/>
      <c r="F6" s="293"/>
      <c r="G6" s="293"/>
      <c r="H6" s="293"/>
      <c r="I6" s="368">
        <f t="shared" si="0"/>
        <v>0</v>
      </c>
      <c r="J6" s="292"/>
      <c r="K6" s="293"/>
      <c r="L6" s="293"/>
      <c r="M6" s="293"/>
      <c r="N6" s="368">
        <f t="shared" ref="N6:N7" si="1">SUM(J6:M6)</f>
        <v>0</v>
      </c>
      <c r="O6" s="294"/>
      <c r="P6" s="293"/>
      <c r="Q6" s="371">
        <f t="shared" ref="Q6:Q7" si="2">+I6+N6+P6</f>
        <v>0</v>
      </c>
      <c r="R6" s="372"/>
    </row>
    <row r="7" spans="1:22" hidden="1" x14ac:dyDescent="0.2">
      <c r="A7" s="20"/>
      <c r="B7" s="14">
        <v>2022</v>
      </c>
      <c r="C7" s="295"/>
      <c r="D7" s="296"/>
      <c r="E7" s="296"/>
      <c r="F7" s="296"/>
      <c r="G7" s="296"/>
      <c r="H7" s="296"/>
      <c r="I7" s="366">
        <f>SUM(C7:H7)</f>
        <v>0</v>
      </c>
      <c r="J7" s="295"/>
      <c r="K7" s="296"/>
      <c r="L7" s="296"/>
      <c r="M7" s="296"/>
      <c r="N7" s="366">
        <f t="shared" si="1"/>
        <v>0</v>
      </c>
      <c r="O7" s="297"/>
      <c r="P7" s="296"/>
      <c r="Q7" s="373">
        <f t="shared" si="2"/>
        <v>0</v>
      </c>
      <c r="R7" s="374"/>
    </row>
    <row r="8" spans="1:22" ht="12.75" hidden="1" thickBot="1" x14ac:dyDescent="0.25">
      <c r="A8" s="54"/>
      <c r="B8" s="64" t="s">
        <v>385</v>
      </c>
      <c r="C8" s="359"/>
      <c r="D8" s="360"/>
      <c r="E8" s="360"/>
      <c r="F8" s="360"/>
      <c r="G8" s="360"/>
      <c r="H8" s="360"/>
      <c r="I8" s="361"/>
      <c r="J8" s="359"/>
      <c r="K8" s="360"/>
      <c r="L8" s="360"/>
      <c r="M8" s="360"/>
      <c r="N8" s="361"/>
      <c r="O8" s="362"/>
      <c r="P8" s="360"/>
      <c r="Q8" s="360"/>
      <c r="R8" s="361"/>
    </row>
    <row r="9" spans="1:22" hidden="1" x14ac:dyDescent="0.2">
      <c r="A9" s="4" t="s">
        <v>108</v>
      </c>
      <c r="B9" s="40">
        <v>2020</v>
      </c>
      <c r="C9" s="298"/>
      <c r="D9" s="299"/>
      <c r="E9" s="299"/>
      <c r="F9" s="299"/>
      <c r="G9" s="299"/>
      <c r="H9" s="299"/>
      <c r="I9" s="367">
        <f t="shared" ref="I9:I10" si="3">SUM(C9:H9)</f>
        <v>0</v>
      </c>
      <c r="J9" s="298"/>
      <c r="K9" s="299"/>
      <c r="L9" s="299"/>
      <c r="M9" s="299"/>
      <c r="N9" s="367">
        <f>SUM(J9:M9)</f>
        <v>0</v>
      </c>
      <c r="O9" s="300"/>
      <c r="P9" s="299"/>
      <c r="Q9" s="369">
        <f>+I9+N9+P9</f>
        <v>0</v>
      </c>
      <c r="R9" s="67"/>
    </row>
    <row r="10" spans="1:22" hidden="1" x14ac:dyDescent="0.2">
      <c r="A10" s="20"/>
      <c r="B10" s="14">
        <v>2021</v>
      </c>
      <c r="C10" s="292"/>
      <c r="D10" s="293"/>
      <c r="E10" s="293"/>
      <c r="F10" s="293"/>
      <c r="G10" s="293"/>
      <c r="H10" s="293"/>
      <c r="I10" s="368">
        <f t="shared" si="3"/>
        <v>0</v>
      </c>
      <c r="J10" s="292"/>
      <c r="K10" s="293"/>
      <c r="L10" s="293"/>
      <c r="M10" s="293"/>
      <c r="N10" s="368">
        <f t="shared" ref="N10:N11" si="4">SUM(J10:M10)</f>
        <v>0</v>
      </c>
      <c r="O10" s="294"/>
      <c r="P10" s="293"/>
      <c r="Q10" s="371">
        <f t="shared" ref="Q10:Q11" si="5">+I10+N10+P10</f>
        <v>0</v>
      </c>
      <c r="R10" s="66"/>
    </row>
    <row r="11" spans="1:22" hidden="1" x14ac:dyDescent="0.2">
      <c r="A11" s="20"/>
      <c r="B11" s="14">
        <v>2022</v>
      </c>
      <c r="C11" s="292"/>
      <c r="D11" s="293"/>
      <c r="E11" s="293"/>
      <c r="F11" s="293"/>
      <c r="G11" s="293"/>
      <c r="H11" s="293"/>
      <c r="I11" s="366">
        <f>SUM(C11:H11)</f>
        <v>0</v>
      </c>
      <c r="J11" s="292"/>
      <c r="K11" s="293"/>
      <c r="L11" s="293"/>
      <c r="M11" s="293"/>
      <c r="N11" s="366">
        <f t="shared" si="4"/>
        <v>0</v>
      </c>
      <c r="O11" s="294"/>
      <c r="P11" s="293"/>
      <c r="Q11" s="373">
        <f t="shared" si="5"/>
        <v>0</v>
      </c>
      <c r="R11" s="66"/>
    </row>
    <row r="12" spans="1:22" ht="12.75" hidden="1" thickBot="1" x14ac:dyDescent="0.25">
      <c r="A12" s="21"/>
      <c r="B12" s="64" t="s">
        <v>385</v>
      </c>
      <c r="C12" s="359"/>
      <c r="D12" s="363"/>
      <c r="E12" s="363"/>
      <c r="F12" s="363" t="s">
        <v>77</v>
      </c>
      <c r="G12" s="363"/>
      <c r="H12" s="360"/>
      <c r="I12" s="361"/>
      <c r="J12" s="359"/>
      <c r="K12" s="360"/>
      <c r="L12" s="360"/>
      <c r="M12" s="360"/>
      <c r="N12" s="361"/>
      <c r="O12" s="362"/>
      <c r="P12" s="360"/>
      <c r="Q12" s="360"/>
      <c r="R12" s="361"/>
    </row>
    <row r="13" spans="1:22" x14ac:dyDescent="0.2">
      <c r="A13" s="19" t="s">
        <v>109</v>
      </c>
      <c r="B13" s="40">
        <v>2020</v>
      </c>
      <c r="C13" s="289"/>
      <c r="D13" s="290">
        <v>7208065</v>
      </c>
      <c r="E13" s="290">
        <v>20841</v>
      </c>
      <c r="F13" s="290">
        <v>14091043</v>
      </c>
      <c r="G13" s="290"/>
      <c r="H13" s="290">
        <v>22684</v>
      </c>
      <c r="I13" s="367">
        <f t="shared" ref="I13:I14" si="6">SUM(C13:H13)</f>
        <v>21342633</v>
      </c>
      <c r="J13" s="289"/>
      <c r="K13" s="290"/>
      <c r="L13" s="290">
        <v>14242465</v>
      </c>
      <c r="M13" s="290"/>
      <c r="N13" s="367">
        <f>SUM(J13:M13)</f>
        <v>14242465</v>
      </c>
      <c r="O13" s="291"/>
      <c r="P13" s="290"/>
      <c r="Q13" s="369">
        <f>+I13+N13+P13</f>
        <v>35585098</v>
      </c>
      <c r="R13" s="376">
        <f>+Q13/$Q$105</f>
        <v>0.10192052423522906</v>
      </c>
    </row>
    <row r="14" spans="1:22" x14ac:dyDescent="0.2">
      <c r="A14" s="20"/>
      <c r="B14" s="14">
        <v>2021</v>
      </c>
      <c r="C14" s="292"/>
      <c r="D14" s="293">
        <v>4060195</v>
      </c>
      <c r="E14" s="293">
        <v>2393</v>
      </c>
      <c r="F14" s="293">
        <v>5347209</v>
      </c>
      <c r="G14" s="293"/>
      <c r="H14" s="293">
        <v>22684</v>
      </c>
      <c r="I14" s="368">
        <f t="shared" si="6"/>
        <v>9432481</v>
      </c>
      <c r="J14" s="292"/>
      <c r="K14" s="293"/>
      <c r="L14" s="293">
        <v>19313002</v>
      </c>
      <c r="M14" s="293"/>
      <c r="N14" s="368">
        <f t="shared" ref="N14:N15" si="7">SUM(J14:M14)</f>
        <v>19313002</v>
      </c>
      <c r="O14" s="294"/>
      <c r="P14" s="293"/>
      <c r="Q14" s="371">
        <f t="shared" ref="Q14:Q15" si="8">+I14+N14+P14</f>
        <v>28745483</v>
      </c>
      <c r="R14" s="377">
        <f>+Q14/$Q$106</f>
        <v>7.749846262025499E-2</v>
      </c>
    </row>
    <row r="15" spans="1:22" x14ac:dyDescent="0.2">
      <c r="A15" s="20"/>
      <c r="B15" s="14">
        <v>2022</v>
      </c>
      <c r="C15" s="292"/>
      <c r="D15" s="293">
        <v>4370493</v>
      </c>
      <c r="E15" s="293">
        <v>30000</v>
      </c>
      <c r="F15" s="293">
        <v>5861446</v>
      </c>
      <c r="G15" s="293"/>
      <c r="H15" s="293">
        <v>54915</v>
      </c>
      <c r="I15" s="366">
        <f>SUM(C15:H15)</f>
        <v>10316854</v>
      </c>
      <c r="J15" s="292"/>
      <c r="K15" s="293"/>
      <c r="L15" s="293">
        <v>31457359</v>
      </c>
      <c r="M15" s="293"/>
      <c r="N15" s="366">
        <f t="shared" si="7"/>
        <v>31457359</v>
      </c>
      <c r="O15" s="294"/>
      <c r="P15" s="293"/>
      <c r="Q15" s="373">
        <f t="shared" si="8"/>
        <v>41774213</v>
      </c>
      <c r="R15" s="377">
        <f>+Q15/$Q$107</f>
        <v>0.11073057833556706</v>
      </c>
    </row>
    <row r="16" spans="1:22" ht="12.75" thickBot="1" x14ac:dyDescent="0.25">
      <c r="A16" s="21"/>
      <c r="B16" s="64" t="s">
        <v>385</v>
      </c>
      <c r="C16" s="359"/>
      <c r="D16" s="360">
        <f>(D15-D14)/D14</f>
        <v>7.6424408187291501E-2</v>
      </c>
      <c r="E16" s="360">
        <f t="shared" ref="E16:F16" si="9">(E15-E14)/E14</f>
        <v>11.536564981195152</v>
      </c>
      <c r="F16" s="360">
        <f t="shared" si="9"/>
        <v>9.6169235202888087E-2</v>
      </c>
      <c r="G16" s="360"/>
      <c r="H16" s="360">
        <f>(H15-H14)/H14</f>
        <v>1.4208693352142479</v>
      </c>
      <c r="I16" s="378">
        <f>(I15-I14)/I14</f>
        <v>9.3758259359335044E-2</v>
      </c>
      <c r="J16" s="359"/>
      <c r="K16" s="360"/>
      <c r="L16" s="360">
        <f>(L15-L14)/L14</f>
        <v>0.62881767422796309</v>
      </c>
      <c r="M16" s="360"/>
      <c r="N16" s="378">
        <f>(N15-N14)/N14</f>
        <v>0.62881767422796309</v>
      </c>
      <c r="O16" s="362"/>
      <c r="P16" s="360"/>
      <c r="Q16" s="379">
        <f>(Q15-Q14)/Q14</f>
        <v>0.45324442800282744</v>
      </c>
      <c r="R16" s="361"/>
    </row>
    <row r="17" spans="1:18" x14ac:dyDescent="0.2">
      <c r="A17" s="19" t="s">
        <v>218</v>
      </c>
      <c r="B17" s="40">
        <v>2020</v>
      </c>
      <c r="C17" s="289"/>
      <c r="D17" s="290"/>
      <c r="E17" s="290"/>
      <c r="F17" s="290"/>
      <c r="G17" s="290"/>
      <c r="H17" s="290"/>
      <c r="I17" s="367">
        <f t="shared" ref="I17:I18" si="10">SUM(C17:H17)</f>
        <v>0</v>
      </c>
      <c r="J17" s="289"/>
      <c r="K17" s="290"/>
      <c r="L17" s="290"/>
      <c r="M17" s="290"/>
      <c r="N17" s="367">
        <f>SUM(J17:M17)</f>
        <v>0</v>
      </c>
      <c r="O17" s="291"/>
      <c r="P17" s="290"/>
      <c r="Q17" s="369">
        <f>+I17+N17+P17</f>
        <v>0</v>
      </c>
      <c r="R17" s="65"/>
    </row>
    <row r="18" spans="1:18" x14ac:dyDescent="0.2">
      <c r="A18" s="20"/>
      <c r="B18" s="14">
        <v>2021</v>
      </c>
      <c r="C18" s="292"/>
      <c r="D18" s="293"/>
      <c r="E18" s="293"/>
      <c r="F18" s="293"/>
      <c r="G18" s="293"/>
      <c r="H18" s="293"/>
      <c r="I18" s="368">
        <f t="shared" si="10"/>
        <v>0</v>
      </c>
      <c r="J18" s="292"/>
      <c r="K18" s="293"/>
      <c r="L18" s="293"/>
      <c r="M18" s="293"/>
      <c r="N18" s="368">
        <f t="shared" ref="N18:N19" si="11">SUM(J18:M18)</f>
        <v>0</v>
      </c>
      <c r="O18" s="294"/>
      <c r="P18" s="293"/>
      <c r="Q18" s="371">
        <f t="shared" ref="Q18:Q19" si="12">+I18+N18+P18</f>
        <v>0</v>
      </c>
      <c r="R18" s="66"/>
    </row>
    <row r="19" spans="1:18" x14ac:dyDescent="0.2">
      <c r="A19" s="20"/>
      <c r="B19" s="14">
        <v>2022</v>
      </c>
      <c r="C19" s="292"/>
      <c r="D19" s="293"/>
      <c r="E19" s="293"/>
      <c r="F19" s="293"/>
      <c r="G19" s="293"/>
      <c r="H19" s="293"/>
      <c r="I19" s="366">
        <f>SUM(C19:H19)</f>
        <v>0</v>
      </c>
      <c r="J19" s="292"/>
      <c r="K19" s="293"/>
      <c r="L19" s="293"/>
      <c r="M19" s="293"/>
      <c r="N19" s="366">
        <f t="shared" si="11"/>
        <v>0</v>
      </c>
      <c r="O19" s="294"/>
      <c r="P19" s="293"/>
      <c r="Q19" s="373">
        <f t="shared" si="12"/>
        <v>0</v>
      </c>
      <c r="R19" s="66"/>
    </row>
    <row r="20" spans="1:18" ht="12.75" thickBot="1" x14ac:dyDescent="0.25">
      <c r="A20" s="21"/>
      <c r="B20" s="64" t="s">
        <v>385</v>
      </c>
      <c r="C20" s="359"/>
      <c r="D20" s="360"/>
      <c r="E20" s="360"/>
      <c r="F20" s="360"/>
      <c r="G20" s="360"/>
      <c r="H20" s="360"/>
      <c r="I20" s="361"/>
      <c r="J20" s="359"/>
      <c r="K20" s="360"/>
      <c r="L20" s="360"/>
      <c r="M20" s="360"/>
      <c r="N20" s="361"/>
      <c r="O20" s="362"/>
      <c r="P20" s="360"/>
      <c r="Q20" s="360"/>
      <c r="R20" s="361"/>
    </row>
    <row r="21" spans="1:18" x14ac:dyDescent="0.2">
      <c r="A21" s="19" t="s">
        <v>219</v>
      </c>
      <c r="B21" s="40">
        <v>2020</v>
      </c>
      <c r="C21" s="289"/>
      <c r="D21" s="290">
        <v>113448</v>
      </c>
      <c r="E21" s="290">
        <v>1122276</v>
      </c>
      <c r="F21" s="290">
        <v>1007299</v>
      </c>
      <c r="G21" s="290"/>
      <c r="H21" s="290"/>
      <c r="I21" s="367">
        <f t="shared" ref="I21:I22" si="13">SUM(C21:H21)</f>
        <v>2243023</v>
      </c>
      <c r="J21" s="289"/>
      <c r="K21" s="290"/>
      <c r="L21" s="290">
        <v>40000</v>
      </c>
      <c r="M21" s="290"/>
      <c r="N21" s="367">
        <f>SUM(J21:M21)</f>
        <v>40000</v>
      </c>
      <c r="O21" s="291"/>
      <c r="P21" s="290"/>
      <c r="Q21" s="369">
        <f>+I21+N21+P21</f>
        <v>2283023</v>
      </c>
      <c r="R21" s="376">
        <f>+Q21/$Q$105</f>
        <v>6.538886052838336E-3</v>
      </c>
    </row>
    <row r="22" spans="1:18" x14ac:dyDescent="0.2">
      <c r="A22" s="20"/>
      <c r="B22" s="14">
        <v>2021</v>
      </c>
      <c r="C22" s="292"/>
      <c r="D22" s="293">
        <v>113708</v>
      </c>
      <c r="E22" s="293">
        <v>879687</v>
      </c>
      <c r="F22" s="293">
        <v>1063256</v>
      </c>
      <c r="G22" s="293"/>
      <c r="H22" s="293"/>
      <c r="I22" s="368">
        <f t="shared" si="13"/>
        <v>2056651</v>
      </c>
      <c r="J22" s="292"/>
      <c r="K22" s="293"/>
      <c r="L22" s="293"/>
      <c r="M22" s="293"/>
      <c r="N22" s="368">
        <f t="shared" ref="N22:N23" si="14">SUM(J22:M22)</f>
        <v>0</v>
      </c>
      <c r="O22" s="294"/>
      <c r="P22" s="293"/>
      <c r="Q22" s="371">
        <f t="shared" ref="Q22:Q23" si="15">+I22+N22+P22</f>
        <v>2056651</v>
      </c>
      <c r="R22" s="377">
        <f>+Q22/$Q$106</f>
        <v>5.5447769183913191E-3</v>
      </c>
    </row>
    <row r="23" spans="1:18" x14ac:dyDescent="0.2">
      <c r="A23" s="20"/>
      <c r="B23" s="14">
        <v>2022</v>
      </c>
      <c r="C23" s="292"/>
      <c r="D23" s="293">
        <v>59334</v>
      </c>
      <c r="E23" s="293">
        <v>600059</v>
      </c>
      <c r="F23" s="293">
        <v>1116784</v>
      </c>
      <c r="G23" s="293"/>
      <c r="H23" s="293"/>
      <c r="I23" s="366">
        <f>SUM(C23:H23)</f>
        <v>1776177</v>
      </c>
      <c r="J23" s="292"/>
      <c r="K23" s="293"/>
      <c r="L23" s="293"/>
      <c r="M23" s="293"/>
      <c r="N23" s="366">
        <f t="shared" si="14"/>
        <v>0</v>
      </c>
      <c r="O23" s="294"/>
      <c r="P23" s="293"/>
      <c r="Q23" s="373">
        <f t="shared" si="15"/>
        <v>1776177</v>
      </c>
      <c r="R23" s="377">
        <f>+Q23/$Q$107</f>
        <v>4.7080984251296962E-3</v>
      </c>
    </row>
    <row r="24" spans="1:18" ht="12.75" thickBot="1" x14ac:dyDescent="0.25">
      <c r="A24" s="21"/>
      <c r="B24" s="64" t="s">
        <v>385</v>
      </c>
      <c r="C24" s="359"/>
      <c r="D24" s="360">
        <f>(D23-D22)/D22</f>
        <v>-0.4781897491821156</v>
      </c>
      <c r="E24" s="360">
        <f t="shared" ref="E24:F24" si="16">(E23-E22)/E22</f>
        <v>-0.31787215225415405</v>
      </c>
      <c r="F24" s="360">
        <f t="shared" si="16"/>
        <v>5.034347325573521E-2</v>
      </c>
      <c r="G24" s="360"/>
      <c r="H24" s="360"/>
      <c r="I24" s="378">
        <f>(I23-I22)/I22</f>
        <v>-0.1363741344545088</v>
      </c>
      <c r="J24" s="359"/>
      <c r="K24" s="360"/>
      <c r="L24" s="360"/>
      <c r="M24" s="360"/>
      <c r="N24" s="361"/>
      <c r="O24" s="362"/>
      <c r="P24" s="360"/>
      <c r="Q24" s="379">
        <f>(Q23-Q22)/Q22</f>
        <v>-0.1363741344545088</v>
      </c>
      <c r="R24" s="361"/>
    </row>
    <row r="25" spans="1:18" hidden="1" x14ac:dyDescent="0.2">
      <c r="A25" s="19" t="s">
        <v>220</v>
      </c>
      <c r="B25" s="40">
        <v>2020</v>
      </c>
      <c r="C25" s="289"/>
      <c r="D25" s="290"/>
      <c r="E25" s="290"/>
      <c r="F25" s="290"/>
      <c r="G25" s="290"/>
      <c r="H25" s="290"/>
      <c r="I25" s="367">
        <f t="shared" ref="I25:I26" si="17">SUM(C25:H25)</f>
        <v>0</v>
      </c>
      <c r="J25" s="289"/>
      <c r="K25" s="290"/>
      <c r="L25" s="290"/>
      <c r="M25" s="290"/>
      <c r="N25" s="367">
        <f>SUM(J25:M25)</f>
        <v>0</v>
      </c>
      <c r="O25" s="291"/>
      <c r="P25" s="290"/>
      <c r="Q25" s="369">
        <f>+I25+N25+P25</f>
        <v>0</v>
      </c>
      <c r="R25" s="65"/>
    </row>
    <row r="26" spans="1:18" hidden="1" x14ac:dyDescent="0.2">
      <c r="A26" s="20"/>
      <c r="B26" s="14">
        <v>2021</v>
      </c>
      <c r="C26" s="292"/>
      <c r="D26" s="293"/>
      <c r="E26" s="293"/>
      <c r="F26" s="293"/>
      <c r="G26" s="293"/>
      <c r="H26" s="293"/>
      <c r="I26" s="368">
        <f t="shared" si="17"/>
        <v>0</v>
      </c>
      <c r="J26" s="292"/>
      <c r="K26" s="293"/>
      <c r="L26" s="293"/>
      <c r="M26" s="293"/>
      <c r="N26" s="368">
        <f t="shared" ref="N26:N27" si="18">SUM(J26:M26)</f>
        <v>0</v>
      </c>
      <c r="O26" s="294"/>
      <c r="P26" s="293"/>
      <c r="Q26" s="371">
        <f t="shared" ref="Q26:Q27" si="19">+I26+N26+P26</f>
        <v>0</v>
      </c>
      <c r="R26" s="66"/>
    </row>
    <row r="27" spans="1:18" hidden="1" x14ac:dyDescent="0.2">
      <c r="A27" s="20"/>
      <c r="B27" s="14">
        <v>2022</v>
      </c>
      <c r="C27" s="292"/>
      <c r="D27" s="293"/>
      <c r="E27" s="293"/>
      <c r="F27" s="293"/>
      <c r="G27" s="293"/>
      <c r="H27" s="293"/>
      <c r="I27" s="366">
        <f>SUM(C27:H27)</f>
        <v>0</v>
      </c>
      <c r="J27" s="292"/>
      <c r="K27" s="293"/>
      <c r="L27" s="293"/>
      <c r="M27" s="293"/>
      <c r="N27" s="366">
        <f t="shared" si="18"/>
        <v>0</v>
      </c>
      <c r="O27" s="294"/>
      <c r="P27" s="293"/>
      <c r="Q27" s="373">
        <f t="shared" si="19"/>
        <v>0</v>
      </c>
      <c r="R27" s="66"/>
    </row>
    <row r="28" spans="1:18" ht="12.75" hidden="1" thickBot="1" x14ac:dyDescent="0.25">
      <c r="A28" s="21"/>
      <c r="B28" s="64" t="s">
        <v>385</v>
      </c>
      <c r="C28" s="359"/>
      <c r="D28" s="360"/>
      <c r="E28" s="360"/>
      <c r="F28" s="360"/>
      <c r="G28" s="360"/>
      <c r="H28" s="360"/>
      <c r="I28" s="361"/>
      <c r="J28" s="359"/>
      <c r="K28" s="360"/>
      <c r="L28" s="360"/>
      <c r="M28" s="360"/>
      <c r="N28" s="361"/>
      <c r="O28" s="362"/>
      <c r="P28" s="360"/>
      <c r="Q28" s="360"/>
      <c r="R28" s="361"/>
    </row>
    <row r="29" spans="1:18" x14ac:dyDescent="0.2">
      <c r="A29" s="19" t="s">
        <v>221</v>
      </c>
      <c r="B29" s="40">
        <v>2020</v>
      </c>
      <c r="C29" s="289"/>
      <c r="D29" s="290">
        <v>297706</v>
      </c>
      <c r="E29" s="290"/>
      <c r="F29" s="290">
        <v>1107955</v>
      </c>
      <c r="G29" s="290"/>
      <c r="H29" s="290"/>
      <c r="I29" s="367">
        <f t="shared" ref="I29:I30" si="20">SUM(C29:H29)</f>
        <v>1405661</v>
      </c>
      <c r="J29" s="289"/>
      <c r="K29" s="290"/>
      <c r="L29" s="290"/>
      <c r="M29" s="290"/>
      <c r="N29" s="367">
        <f>SUM(J29:M29)</f>
        <v>0</v>
      </c>
      <c r="O29" s="291"/>
      <c r="P29" s="290"/>
      <c r="Q29" s="369">
        <f>+I29+N29+P29</f>
        <v>1405661</v>
      </c>
      <c r="R29" s="376">
        <f>+Q29/$Q$105</f>
        <v>4.0260028514468704E-3</v>
      </c>
    </row>
    <row r="30" spans="1:18" x14ac:dyDescent="0.2">
      <c r="A30" s="20"/>
      <c r="B30" s="14">
        <v>2021</v>
      </c>
      <c r="C30" s="292"/>
      <c r="D30" s="293">
        <v>278589</v>
      </c>
      <c r="E30" s="293"/>
      <c r="F30" s="293">
        <v>771442</v>
      </c>
      <c r="G30" s="293"/>
      <c r="H30" s="293"/>
      <c r="I30" s="368">
        <f t="shared" si="20"/>
        <v>1050031</v>
      </c>
      <c r="J30" s="292"/>
      <c r="K30" s="293"/>
      <c r="L30" s="293"/>
      <c r="M30" s="293"/>
      <c r="N30" s="368">
        <f t="shared" ref="N30:N31" si="21">SUM(J30:M30)</f>
        <v>0</v>
      </c>
      <c r="O30" s="294"/>
      <c r="P30" s="293"/>
      <c r="Q30" s="371">
        <f t="shared" ref="Q30:Q31" si="22">+I30+N30+P30</f>
        <v>1050031</v>
      </c>
      <c r="R30" s="377">
        <f>+Q30/$Q$106</f>
        <v>2.8309069707963849E-3</v>
      </c>
    </row>
    <row r="31" spans="1:18" x14ac:dyDescent="0.2">
      <c r="A31" s="20"/>
      <c r="B31" s="14">
        <v>2022</v>
      </c>
      <c r="C31" s="292"/>
      <c r="D31" s="293">
        <v>266391</v>
      </c>
      <c r="E31" s="293"/>
      <c r="F31" s="293">
        <v>393768</v>
      </c>
      <c r="G31" s="293"/>
      <c r="H31" s="293"/>
      <c r="I31" s="366">
        <f>SUM(C31:H31)</f>
        <v>660159</v>
      </c>
      <c r="J31" s="292"/>
      <c r="K31" s="293"/>
      <c r="L31" s="293"/>
      <c r="M31" s="293"/>
      <c r="N31" s="366">
        <f t="shared" si="21"/>
        <v>0</v>
      </c>
      <c r="O31" s="294"/>
      <c r="P31" s="293"/>
      <c r="Q31" s="373">
        <f t="shared" si="22"/>
        <v>660159</v>
      </c>
      <c r="R31" s="377">
        <f>+Q31/$Q$107</f>
        <v>1.7498782769032563E-3</v>
      </c>
    </row>
    <row r="32" spans="1:18" ht="12.75" thickBot="1" x14ac:dyDescent="0.25">
      <c r="A32" s="21"/>
      <c r="B32" s="64" t="s">
        <v>385</v>
      </c>
      <c r="C32" s="359"/>
      <c r="D32" s="360">
        <f>(D31-D30)/D30</f>
        <v>-4.3784930488999924E-2</v>
      </c>
      <c r="E32" s="360"/>
      <c r="F32" s="360">
        <f>(F31-F30)/F30</f>
        <v>-0.48956888528236731</v>
      </c>
      <c r="G32" s="360"/>
      <c r="H32" s="360"/>
      <c r="I32" s="378">
        <f>(I31-I30)/I30</f>
        <v>-0.37129570460300698</v>
      </c>
      <c r="J32" s="359"/>
      <c r="K32" s="360"/>
      <c r="L32" s="360"/>
      <c r="M32" s="360"/>
      <c r="N32" s="361"/>
      <c r="O32" s="362"/>
      <c r="P32" s="360"/>
      <c r="Q32" s="379">
        <f>(Q31-Q30)/Q30</f>
        <v>-0.37129570460300698</v>
      </c>
      <c r="R32" s="361"/>
    </row>
    <row r="33" spans="1:18" x14ac:dyDescent="0.2">
      <c r="A33" s="19" t="s">
        <v>222</v>
      </c>
      <c r="B33" s="40">
        <v>2020</v>
      </c>
      <c r="C33" s="289"/>
      <c r="D33" s="290">
        <v>155657</v>
      </c>
      <c r="E33" s="290"/>
      <c r="F33" s="290">
        <v>117351</v>
      </c>
      <c r="G33" s="290"/>
      <c r="H33" s="290"/>
      <c r="I33" s="367">
        <f t="shared" ref="I33:I34" si="23">SUM(C33:H33)</f>
        <v>273008</v>
      </c>
      <c r="J33" s="289"/>
      <c r="K33" s="290"/>
      <c r="L33" s="290"/>
      <c r="M33" s="290"/>
      <c r="N33" s="367">
        <f>SUM(J33:M33)</f>
        <v>0</v>
      </c>
      <c r="O33" s="291"/>
      <c r="P33" s="290"/>
      <c r="Q33" s="369">
        <f>+I33+N33+P33</f>
        <v>273008</v>
      </c>
      <c r="R33" s="376">
        <f>+Q33/$Q$105</f>
        <v>7.8193176481940315E-4</v>
      </c>
    </row>
    <row r="34" spans="1:18" x14ac:dyDescent="0.2">
      <c r="A34" s="20"/>
      <c r="B34" s="14">
        <v>2021</v>
      </c>
      <c r="C34" s="292"/>
      <c r="D34" s="293">
        <v>156449</v>
      </c>
      <c r="E34" s="293"/>
      <c r="F34" s="293">
        <v>88061</v>
      </c>
      <c r="G34" s="293"/>
      <c r="H34" s="293"/>
      <c r="I34" s="368">
        <f t="shared" si="23"/>
        <v>244510</v>
      </c>
      <c r="J34" s="292"/>
      <c r="K34" s="293"/>
      <c r="L34" s="293"/>
      <c r="M34" s="293"/>
      <c r="N34" s="368">
        <f t="shared" ref="N34:N35" si="24">SUM(J34:M34)</f>
        <v>0</v>
      </c>
      <c r="O34" s="294"/>
      <c r="P34" s="293"/>
      <c r="Q34" s="371">
        <f t="shared" ref="Q34:Q35" si="25">+I34+N34+P34</f>
        <v>244510</v>
      </c>
      <c r="R34" s="377">
        <f>+Q34/$Q$106</f>
        <v>6.5920440770741442E-4</v>
      </c>
    </row>
    <row r="35" spans="1:18" x14ac:dyDescent="0.2">
      <c r="A35" s="20"/>
      <c r="B35" s="14">
        <v>2022</v>
      </c>
      <c r="C35" s="292"/>
      <c r="D35" s="293">
        <v>165480</v>
      </c>
      <c r="E35" s="293"/>
      <c r="F35" s="293">
        <v>98130</v>
      </c>
      <c r="G35" s="293"/>
      <c r="H35" s="293"/>
      <c r="I35" s="366">
        <f>SUM(C35:H35)</f>
        <v>263610</v>
      </c>
      <c r="J35" s="292"/>
      <c r="K35" s="293"/>
      <c r="L35" s="293"/>
      <c r="M35" s="293"/>
      <c r="N35" s="366">
        <f t="shared" si="24"/>
        <v>0</v>
      </c>
      <c r="O35" s="294"/>
      <c r="P35" s="293"/>
      <c r="Q35" s="373">
        <f t="shared" si="25"/>
        <v>263610</v>
      </c>
      <c r="R35" s="377">
        <f>+Q35/$Q$107</f>
        <v>6.9874895680353886E-4</v>
      </c>
    </row>
    <row r="36" spans="1:18" ht="12.75" thickBot="1" x14ac:dyDescent="0.25">
      <c r="A36" s="21"/>
      <c r="B36" s="64" t="s">
        <v>385</v>
      </c>
      <c r="C36" s="359"/>
      <c r="D36" s="360">
        <f>(D35-D34)/D34</f>
        <v>5.7724881590805951E-2</v>
      </c>
      <c r="E36" s="360"/>
      <c r="F36" s="360">
        <f>(F35-F34)/F34</f>
        <v>0.114341195307798</v>
      </c>
      <c r="G36" s="360"/>
      <c r="H36" s="360"/>
      <c r="I36" s="378">
        <f>(I35-I34)/I34</f>
        <v>7.8115414502474334E-2</v>
      </c>
      <c r="J36" s="359"/>
      <c r="K36" s="360"/>
      <c r="L36" s="360"/>
      <c r="M36" s="360"/>
      <c r="N36" s="361"/>
      <c r="O36" s="362"/>
      <c r="P36" s="360"/>
      <c r="Q36" s="379">
        <f>(Q35-Q34)/Q34</f>
        <v>7.8115414502474334E-2</v>
      </c>
      <c r="R36" s="361"/>
    </row>
    <row r="37" spans="1:18" x14ac:dyDescent="0.2">
      <c r="A37" s="19" t="s">
        <v>223</v>
      </c>
      <c r="B37" s="40">
        <v>2020</v>
      </c>
      <c r="C37" s="289"/>
      <c r="D37" s="290">
        <v>70557</v>
      </c>
      <c r="E37" s="290"/>
      <c r="F37" s="290">
        <v>256905</v>
      </c>
      <c r="G37" s="290"/>
      <c r="H37" s="290"/>
      <c r="I37" s="367">
        <f t="shared" ref="I37:I38" si="26">SUM(C37:H37)</f>
        <v>327462</v>
      </c>
      <c r="J37" s="289"/>
      <c r="K37" s="290"/>
      <c r="L37" s="290">
        <v>2025</v>
      </c>
      <c r="M37" s="290"/>
      <c r="N37" s="367">
        <f>SUM(J37:M37)</f>
        <v>2025</v>
      </c>
      <c r="O37" s="291"/>
      <c r="P37" s="290"/>
      <c r="Q37" s="369">
        <f>+I37+N37+P37</f>
        <v>329487</v>
      </c>
      <c r="R37" s="376">
        <f>+Q37/$Q$105</f>
        <v>9.4369524480986166E-4</v>
      </c>
    </row>
    <row r="38" spans="1:18" x14ac:dyDescent="0.2">
      <c r="A38" s="20"/>
      <c r="B38" s="14">
        <v>2021</v>
      </c>
      <c r="C38" s="292"/>
      <c r="D38" s="293">
        <v>72317</v>
      </c>
      <c r="E38" s="293"/>
      <c r="F38" s="293">
        <v>225924</v>
      </c>
      <c r="G38" s="293"/>
      <c r="H38" s="293"/>
      <c r="I38" s="368">
        <f t="shared" si="26"/>
        <v>298241</v>
      </c>
      <c r="J38" s="292"/>
      <c r="K38" s="293"/>
      <c r="L38" s="293"/>
      <c r="M38" s="293"/>
      <c r="N38" s="368">
        <f t="shared" ref="N38:N39" si="27">SUM(J38:M38)</f>
        <v>0</v>
      </c>
      <c r="O38" s="294"/>
      <c r="P38" s="293"/>
      <c r="Q38" s="371">
        <f t="shared" ref="Q38:Q39" si="28">+I38+N38+P38</f>
        <v>298241</v>
      </c>
      <c r="R38" s="377">
        <f>+Q38/$Q$106</f>
        <v>8.0406438083950333E-4</v>
      </c>
    </row>
    <row r="39" spans="1:18" x14ac:dyDescent="0.2">
      <c r="A39" s="20"/>
      <c r="B39" s="14">
        <v>2022</v>
      </c>
      <c r="C39" s="292"/>
      <c r="D39" s="293">
        <v>75992</v>
      </c>
      <c r="E39" s="293"/>
      <c r="F39" s="293">
        <v>246527</v>
      </c>
      <c r="G39" s="293"/>
      <c r="H39" s="293"/>
      <c r="I39" s="366">
        <f>SUM(C39:H39)</f>
        <v>322519</v>
      </c>
      <c r="J39" s="292"/>
      <c r="K39" s="293"/>
      <c r="L39" s="293"/>
      <c r="M39" s="293"/>
      <c r="N39" s="366">
        <f t="shared" si="27"/>
        <v>0</v>
      </c>
      <c r="O39" s="294"/>
      <c r="P39" s="293"/>
      <c r="Q39" s="373">
        <f t="shared" si="28"/>
        <v>322519</v>
      </c>
      <c r="R39" s="377">
        <f>+Q39/$Q$107</f>
        <v>8.5489858047615996E-4</v>
      </c>
    </row>
    <row r="40" spans="1:18" ht="12.75" thickBot="1" x14ac:dyDescent="0.25">
      <c r="A40" s="21"/>
      <c r="B40" s="64" t="s">
        <v>385</v>
      </c>
      <c r="C40" s="359"/>
      <c r="D40" s="360">
        <f>(D39-D38)/D38</f>
        <v>5.0817926628593552E-2</v>
      </c>
      <c r="E40" s="360"/>
      <c r="F40" s="360">
        <f>(F39-F38)/F38</f>
        <v>9.1194383952125493E-2</v>
      </c>
      <c r="G40" s="360"/>
      <c r="H40" s="360"/>
      <c r="I40" s="378">
        <f>(I39-I38)/I38</f>
        <v>8.1403965249580032E-2</v>
      </c>
      <c r="J40" s="359"/>
      <c r="K40" s="360"/>
      <c r="L40" s="360"/>
      <c r="M40" s="360"/>
      <c r="N40" s="361"/>
      <c r="O40" s="362"/>
      <c r="P40" s="360"/>
      <c r="Q40" s="379">
        <f>(Q39-Q38)/Q38</f>
        <v>8.1403965249580032E-2</v>
      </c>
      <c r="R40" s="361"/>
    </row>
    <row r="41" spans="1:18" x14ac:dyDescent="0.2">
      <c r="A41" s="19" t="s">
        <v>224</v>
      </c>
      <c r="B41" s="40">
        <v>2020</v>
      </c>
      <c r="C41" s="289"/>
      <c r="D41" s="290">
        <v>1250622</v>
      </c>
      <c r="E41" s="290">
        <v>3759</v>
      </c>
      <c r="F41" s="290">
        <v>3590648</v>
      </c>
      <c r="G41" s="290"/>
      <c r="H41" s="290"/>
      <c r="I41" s="367">
        <f t="shared" ref="I41:I42" si="29">SUM(C41:H41)</f>
        <v>4845029</v>
      </c>
      <c r="J41" s="289"/>
      <c r="K41" s="290"/>
      <c r="L41" s="290">
        <v>10269409</v>
      </c>
      <c r="M41" s="290"/>
      <c r="N41" s="367">
        <f>SUM(J41:M41)</f>
        <v>10269409</v>
      </c>
      <c r="O41" s="291"/>
      <c r="P41" s="290"/>
      <c r="Q41" s="369">
        <f>+I41+N41+P41</f>
        <v>15114438</v>
      </c>
      <c r="R41" s="376">
        <f>+Q41/$Q$105</f>
        <v>4.3289790700614818E-2</v>
      </c>
    </row>
    <row r="42" spans="1:18" x14ac:dyDescent="0.2">
      <c r="A42" s="20"/>
      <c r="B42" s="14">
        <v>2021</v>
      </c>
      <c r="C42" s="292"/>
      <c r="D42" s="293">
        <v>1234961</v>
      </c>
      <c r="E42" s="293"/>
      <c r="F42" s="293">
        <v>3262559</v>
      </c>
      <c r="G42" s="293"/>
      <c r="H42" s="293"/>
      <c r="I42" s="368">
        <f t="shared" si="29"/>
        <v>4497520</v>
      </c>
      <c r="J42" s="292"/>
      <c r="K42" s="293"/>
      <c r="L42" s="293">
        <v>20664890</v>
      </c>
      <c r="M42" s="293"/>
      <c r="N42" s="368">
        <f t="shared" ref="N42:N43" si="30">SUM(J42:M42)</f>
        <v>20664890</v>
      </c>
      <c r="O42" s="294"/>
      <c r="P42" s="293"/>
      <c r="Q42" s="371">
        <f t="shared" ref="Q42:Q43" si="31">+I42+N42+P42</f>
        <v>25162410</v>
      </c>
      <c r="R42" s="377">
        <f>+Q42/$Q$106</f>
        <v>6.7838417981027854E-2</v>
      </c>
    </row>
    <row r="43" spans="1:18" x14ac:dyDescent="0.2">
      <c r="A43" s="20"/>
      <c r="B43" s="14">
        <v>2022</v>
      </c>
      <c r="C43" s="292"/>
      <c r="D43" s="293">
        <v>1264051</v>
      </c>
      <c r="E43" s="293"/>
      <c r="F43" s="293">
        <v>3630738</v>
      </c>
      <c r="G43" s="293"/>
      <c r="H43" s="293"/>
      <c r="I43" s="366">
        <f>SUM(C43:H43)</f>
        <v>4894789</v>
      </c>
      <c r="J43" s="292"/>
      <c r="K43" s="293"/>
      <c r="L43" s="293">
        <v>8874394</v>
      </c>
      <c r="M43" s="293"/>
      <c r="N43" s="366">
        <f t="shared" si="30"/>
        <v>8874394</v>
      </c>
      <c r="O43" s="294"/>
      <c r="P43" s="293"/>
      <c r="Q43" s="373">
        <f t="shared" si="31"/>
        <v>13769183</v>
      </c>
      <c r="R43" s="377">
        <f>+Q43/$Q$107</f>
        <v>3.6497865245199428E-2</v>
      </c>
    </row>
    <row r="44" spans="1:18" ht="12.75" thickBot="1" x14ac:dyDescent="0.25">
      <c r="A44" s="21"/>
      <c r="B44" s="64" t="s">
        <v>385</v>
      </c>
      <c r="C44" s="359"/>
      <c r="D44" s="360">
        <f>(D43-D42)/D42</f>
        <v>2.3555399725173509E-2</v>
      </c>
      <c r="E44" s="360"/>
      <c r="F44" s="360">
        <f>(F43-F42)/F42</f>
        <v>0.11284975995836397</v>
      </c>
      <c r="G44" s="360"/>
      <c r="H44" s="360"/>
      <c r="I44" s="378">
        <f>(I43-I42)/I42</f>
        <v>8.8330680019210586E-2</v>
      </c>
      <c r="J44" s="359"/>
      <c r="K44" s="360"/>
      <c r="L44" s="360">
        <f>(L43-L42)/L42</f>
        <v>-0.57055692045783934</v>
      </c>
      <c r="M44" s="360"/>
      <c r="N44" s="378">
        <f>(N43-N42)/N42</f>
        <v>-0.57055692045783934</v>
      </c>
      <c r="O44" s="362"/>
      <c r="P44" s="360"/>
      <c r="Q44" s="379">
        <f>(Q43-Q42)/Q42</f>
        <v>-0.45278759069580377</v>
      </c>
      <c r="R44" s="361"/>
    </row>
    <row r="45" spans="1:18" x14ac:dyDescent="0.2">
      <c r="A45" s="19" t="s">
        <v>225</v>
      </c>
      <c r="B45" s="40">
        <v>2020</v>
      </c>
      <c r="C45" s="289"/>
      <c r="D45" s="290">
        <v>222834</v>
      </c>
      <c r="E45" s="290"/>
      <c r="F45" s="290">
        <v>346579</v>
      </c>
      <c r="G45" s="290"/>
      <c r="H45" s="290"/>
      <c r="I45" s="367">
        <f t="shared" ref="I45:I46" si="32">SUM(C45:H45)</f>
        <v>569413</v>
      </c>
      <c r="J45" s="289"/>
      <c r="K45" s="290"/>
      <c r="L45" s="290"/>
      <c r="M45" s="290"/>
      <c r="N45" s="367">
        <f>SUM(J45:M45)</f>
        <v>0</v>
      </c>
      <c r="O45" s="291"/>
      <c r="P45" s="290"/>
      <c r="Q45" s="369">
        <f>+I45+N45+P45</f>
        <v>569413</v>
      </c>
      <c r="R45" s="376">
        <f>+Q45/$Q$105</f>
        <v>1.6308756959543707E-3</v>
      </c>
    </row>
    <row r="46" spans="1:18" x14ac:dyDescent="0.2">
      <c r="A46" s="20"/>
      <c r="B46" s="14">
        <v>2021</v>
      </c>
      <c r="C46" s="292"/>
      <c r="D46" s="293">
        <v>225298</v>
      </c>
      <c r="E46" s="293"/>
      <c r="F46" s="293">
        <v>352979</v>
      </c>
      <c r="G46" s="293"/>
      <c r="H46" s="293"/>
      <c r="I46" s="368">
        <f t="shared" si="32"/>
        <v>578277</v>
      </c>
      <c r="J46" s="292"/>
      <c r="K46" s="293"/>
      <c r="L46" s="293"/>
      <c r="M46" s="293"/>
      <c r="N46" s="368">
        <f t="shared" ref="N46:N47" si="33">SUM(J46:M46)</f>
        <v>0</v>
      </c>
      <c r="O46" s="294"/>
      <c r="P46" s="293"/>
      <c r="Q46" s="371">
        <f t="shared" ref="Q46:Q47" si="34">+I46+N46+P46</f>
        <v>578277</v>
      </c>
      <c r="R46" s="377">
        <f>+Q46/$Q$106</f>
        <v>1.559047676069774E-3</v>
      </c>
    </row>
    <row r="47" spans="1:18" x14ac:dyDescent="0.2">
      <c r="A47" s="20"/>
      <c r="B47" s="14">
        <v>2022</v>
      </c>
      <c r="C47" s="292"/>
      <c r="D47" s="293">
        <v>210584</v>
      </c>
      <c r="E47" s="293"/>
      <c r="F47" s="293">
        <v>333260</v>
      </c>
      <c r="G47" s="293"/>
      <c r="H47" s="293"/>
      <c r="I47" s="366">
        <f>SUM(C47:H47)</f>
        <v>543844</v>
      </c>
      <c r="J47" s="292"/>
      <c r="K47" s="293"/>
      <c r="L47" s="293"/>
      <c r="M47" s="293"/>
      <c r="N47" s="366">
        <f t="shared" si="33"/>
        <v>0</v>
      </c>
      <c r="O47" s="294"/>
      <c r="P47" s="293"/>
      <c r="Q47" s="373">
        <f t="shared" si="34"/>
        <v>543844</v>
      </c>
      <c r="R47" s="377">
        <f>+Q47/$Q$107</f>
        <v>1.4415630198545721E-3</v>
      </c>
    </row>
    <row r="48" spans="1:18" ht="12.75" thickBot="1" x14ac:dyDescent="0.25">
      <c r="A48" s="21"/>
      <c r="B48" s="64" t="s">
        <v>385</v>
      </c>
      <c r="C48" s="359"/>
      <c r="D48" s="360">
        <f>(D47-D46)/D46</f>
        <v>-6.5309057337393145E-2</v>
      </c>
      <c r="E48" s="360"/>
      <c r="F48" s="360">
        <f>(F47-F46)/F46</f>
        <v>-5.5864513186336867E-2</v>
      </c>
      <c r="G48" s="360"/>
      <c r="H48" s="360"/>
      <c r="I48" s="378">
        <f>(I47-I46)/I46</f>
        <v>-5.9544128505889048E-2</v>
      </c>
      <c r="J48" s="359"/>
      <c r="K48" s="360"/>
      <c r="L48" s="360"/>
      <c r="M48" s="360"/>
      <c r="N48" s="361"/>
      <c r="O48" s="362"/>
      <c r="P48" s="360"/>
      <c r="Q48" s="379">
        <f>(Q47-Q46)/Q46</f>
        <v>-5.9544128505889048E-2</v>
      </c>
      <c r="R48" s="364"/>
    </row>
    <row r="49" spans="1:18" x14ac:dyDescent="0.2">
      <c r="A49" s="19" t="s">
        <v>226</v>
      </c>
      <c r="B49" s="40">
        <v>2020</v>
      </c>
      <c r="C49" s="289"/>
      <c r="D49" s="290">
        <v>153565</v>
      </c>
      <c r="E49" s="290"/>
      <c r="F49" s="290">
        <v>216094</v>
      </c>
      <c r="G49" s="290"/>
      <c r="H49" s="290"/>
      <c r="I49" s="367">
        <f t="shared" ref="I49:I50" si="35">SUM(C49:H49)</f>
        <v>369659</v>
      </c>
      <c r="J49" s="289"/>
      <c r="K49" s="290"/>
      <c r="L49" s="290">
        <v>60000</v>
      </c>
      <c r="M49" s="290"/>
      <c r="N49" s="367">
        <f>SUM(J49:M49)</f>
        <v>60000</v>
      </c>
      <c r="O49" s="291"/>
      <c r="P49" s="290"/>
      <c r="Q49" s="369">
        <f>+I49+N49+P49</f>
        <v>429659</v>
      </c>
      <c r="R49" s="376">
        <f>+Q49/$Q$105</f>
        <v>1.2306013748334846E-3</v>
      </c>
    </row>
    <row r="50" spans="1:18" x14ac:dyDescent="0.2">
      <c r="A50" s="20"/>
      <c r="B50" s="14">
        <v>2021</v>
      </c>
      <c r="C50" s="292"/>
      <c r="D50" s="293">
        <v>140124</v>
      </c>
      <c r="E50" s="293"/>
      <c r="F50" s="293">
        <v>216094</v>
      </c>
      <c r="G50" s="293"/>
      <c r="H50" s="293"/>
      <c r="I50" s="368">
        <f t="shared" si="35"/>
        <v>356218</v>
      </c>
      <c r="J50" s="292"/>
      <c r="K50" s="293"/>
      <c r="L50" s="293">
        <v>285077</v>
      </c>
      <c r="M50" s="293"/>
      <c r="N50" s="368">
        <f t="shared" ref="N50:N51" si="36">SUM(J50:M50)</f>
        <v>285077</v>
      </c>
      <c r="O50" s="294"/>
      <c r="P50" s="293"/>
      <c r="Q50" s="371">
        <f t="shared" ref="Q50:Q51" si="37">+I50+N50+P50</f>
        <v>641295</v>
      </c>
      <c r="R50" s="377">
        <f>+Q50/$Q$106</f>
        <v>1.7289456081171579E-3</v>
      </c>
    </row>
    <row r="51" spans="1:18" x14ac:dyDescent="0.2">
      <c r="A51" s="20"/>
      <c r="B51" s="14">
        <v>2022</v>
      </c>
      <c r="C51" s="292"/>
      <c r="D51" s="293">
        <v>104976</v>
      </c>
      <c r="E51" s="293"/>
      <c r="F51" s="293">
        <v>169994</v>
      </c>
      <c r="G51" s="293"/>
      <c r="H51" s="293"/>
      <c r="I51" s="366">
        <f>SUM(C51:H51)</f>
        <v>274970</v>
      </c>
      <c r="J51" s="292"/>
      <c r="K51" s="293"/>
      <c r="L51" s="293"/>
      <c r="M51" s="293"/>
      <c r="N51" s="366">
        <f t="shared" si="36"/>
        <v>0</v>
      </c>
      <c r="O51" s="294"/>
      <c r="P51" s="293"/>
      <c r="Q51" s="373">
        <f t="shared" si="37"/>
        <v>274970</v>
      </c>
      <c r="R51" s="377">
        <f>+Q51/$Q$107</f>
        <v>7.2886081959056589E-4</v>
      </c>
    </row>
    <row r="52" spans="1:18" ht="12.75" thickBot="1" x14ac:dyDescent="0.25">
      <c r="A52" s="21"/>
      <c r="B52" s="64" t="s">
        <v>385</v>
      </c>
      <c r="C52" s="359"/>
      <c r="D52" s="360">
        <f>(D51-D50)/D50</f>
        <v>-0.25083497473666183</v>
      </c>
      <c r="E52" s="360"/>
      <c r="F52" s="360">
        <f>(F51-F50)/F50</f>
        <v>-0.21333308652715949</v>
      </c>
      <c r="G52" s="360"/>
      <c r="H52" s="360"/>
      <c r="I52" s="378">
        <f>(I51-I50)/I50</f>
        <v>-0.22808504904300175</v>
      </c>
      <c r="J52" s="359"/>
      <c r="K52" s="360"/>
      <c r="L52" s="360">
        <f>(L51-L50)/L50</f>
        <v>-1</v>
      </c>
      <c r="M52" s="360"/>
      <c r="N52" s="378">
        <f>(N51-N50)/N50</f>
        <v>-1</v>
      </c>
      <c r="O52" s="362"/>
      <c r="P52" s="360"/>
      <c r="Q52" s="379">
        <f>(Q51-Q50)/Q50</f>
        <v>-0.57122697042702653</v>
      </c>
      <c r="R52" s="361"/>
    </row>
    <row r="53" spans="1:18" x14ac:dyDescent="0.2">
      <c r="A53" s="19" t="s">
        <v>227</v>
      </c>
      <c r="B53" s="40">
        <v>2020</v>
      </c>
      <c r="C53" s="289"/>
      <c r="D53" s="290"/>
      <c r="E53" s="290"/>
      <c r="F53" s="290">
        <v>379300</v>
      </c>
      <c r="G53" s="290"/>
      <c r="H53" s="290"/>
      <c r="I53" s="367">
        <f t="shared" ref="I53:I54" si="38">SUM(C53:H53)</f>
        <v>379300</v>
      </c>
      <c r="J53" s="289"/>
      <c r="K53" s="290"/>
      <c r="L53" s="290"/>
      <c r="M53" s="290"/>
      <c r="N53" s="367">
        <f>SUM(J53:M53)</f>
        <v>0</v>
      </c>
      <c r="O53" s="291"/>
      <c r="P53" s="290"/>
      <c r="Q53" s="369">
        <f>+I53+N53+P53</f>
        <v>379300</v>
      </c>
      <c r="R53" s="376">
        <f>+Q53/$Q$105</f>
        <v>1.0863664009699335E-3</v>
      </c>
    </row>
    <row r="54" spans="1:18" x14ac:dyDescent="0.2">
      <c r="A54" s="20"/>
      <c r="B54" s="14">
        <v>2021</v>
      </c>
      <c r="C54" s="292"/>
      <c r="D54" s="293"/>
      <c r="E54" s="293"/>
      <c r="F54" s="293">
        <v>372903</v>
      </c>
      <c r="G54" s="293"/>
      <c r="H54" s="293"/>
      <c r="I54" s="368">
        <f t="shared" si="38"/>
        <v>372903</v>
      </c>
      <c r="J54" s="292"/>
      <c r="K54" s="293"/>
      <c r="L54" s="293"/>
      <c r="M54" s="293"/>
      <c r="N54" s="368">
        <f t="shared" ref="N54:N55" si="39">SUM(J54:M54)</f>
        <v>0</v>
      </c>
      <c r="O54" s="294"/>
      <c r="P54" s="293"/>
      <c r="Q54" s="371">
        <f t="shared" ref="Q54:Q55" si="40">+I54+N54+P54</f>
        <v>372903</v>
      </c>
      <c r="R54" s="377">
        <f>+Q54/$Q$106</f>
        <v>1.0053547963163796E-3</v>
      </c>
    </row>
    <row r="55" spans="1:18" x14ac:dyDescent="0.2">
      <c r="A55" s="20"/>
      <c r="B55" s="14">
        <v>2022</v>
      </c>
      <c r="C55" s="292"/>
      <c r="D55" s="293"/>
      <c r="E55" s="293"/>
      <c r="F55" s="293">
        <v>778461</v>
      </c>
      <c r="G55" s="293"/>
      <c r="H55" s="293"/>
      <c r="I55" s="366">
        <f>SUM(C55:H55)</f>
        <v>778461</v>
      </c>
      <c r="J55" s="292"/>
      <c r="K55" s="293"/>
      <c r="L55" s="293"/>
      <c r="M55" s="293"/>
      <c r="N55" s="366">
        <f t="shared" si="39"/>
        <v>0</v>
      </c>
      <c r="O55" s="294"/>
      <c r="P55" s="293"/>
      <c r="Q55" s="373">
        <f t="shared" si="40"/>
        <v>778461</v>
      </c>
      <c r="R55" s="377">
        <f>+Q55/$Q$107</f>
        <v>2.0634604592475233E-3</v>
      </c>
    </row>
    <row r="56" spans="1:18" ht="12.75" thickBot="1" x14ac:dyDescent="0.25">
      <c r="A56" s="21"/>
      <c r="B56" s="64" t="s">
        <v>385</v>
      </c>
      <c r="C56" s="359"/>
      <c r="D56" s="360"/>
      <c r="E56" s="360"/>
      <c r="F56" s="360">
        <f>(F55-F54)/F54</f>
        <v>1.0875696897048295</v>
      </c>
      <c r="G56" s="360"/>
      <c r="H56" s="360"/>
      <c r="I56" s="378">
        <f>(I55-I54)/I54</f>
        <v>1.0875696897048295</v>
      </c>
      <c r="J56" s="359"/>
      <c r="K56" s="360"/>
      <c r="L56" s="360"/>
      <c r="M56" s="360"/>
      <c r="N56" s="361"/>
      <c r="O56" s="362"/>
      <c r="P56" s="360"/>
      <c r="Q56" s="379">
        <f>(Q55-Q54)/Q54</f>
        <v>1.0875696897048295</v>
      </c>
      <c r="R56" s="361"/>
    </row>
    <row r="57" spans="1:18" x14ac:dyDescent="0.2">
      <c r="A57" s="19" t="s">
        <v>228</v>
      </c>
      <c r="B57" s="40">
        <v>2020</v>
      </c>
      <c r="C57" s="289"/>
      <c r="D57" s="290">
        <v>78708</v>
      </c>
      <c r="E57" s="290"/>
      <c r="F57" s="290">
        <v>179249</v>
      </c>
      <c r="G57" s="290"/>
      <c r="H57" s="290"/>
      <c r="I57" s="367">
        <f t="shared" ref="I57:I58" si="41">SUM(C57:H57)</f>
        <v>257957</v>
      </c>
      <c r="J57" s="289"/>
      <c r="K57" s="290"/>
      <c r="L57" s="290"/>
      <c r="M57" s="290"/>
      <c r="N57" s="367">
        <f>SUM(J57:M57)</f>
        <v>0</v>
      </c>
      <c r="O57" s="291"/>
      <c r="P57" s="290"/>
      <c r="Q57" s="369">
        <f>+I57+N57+P57</f>
        <v>257957</v>
      </c>
      <c r="R57" s="376">
        <f>+Q57/$Q$105</f>
        <v>7.3882366911416067E-4</v>
      </c>
    </row>
    <row r="58" spans="1:18" x14ac:dyDescent="0.2">
      <c r="A58" s="20"/>
      <c r="B58" s="14">
        <v>2021</v>
      </c>
      <c r="C58" s="292"/>
      <c r="D58" s="293">
        <v>80381</v>
      </c>
      <c r="E58" s="293"/>
      <c r="F58" s="293">
        <v>179249</v>
      </c>
      <c r="G58" s="293"/>
      <c r="H58" s="293"/>
      <c r="I58" s="368">
        <f t="shared" si="41"/>
        <v>259630</v>
      </c>
      <c r="J58" s="292"/>
      <c r="K58" s="293"/>
      <c r="L58" s="293"/>
      <c r="M58" s="293"/>
      <c r="N58" s="368">
        <f t="shared" ref="N58:N59" si="42">SUM(J58:M58)</f>
        <v>0</v>
      </c>
      <c r="O58" s="294"/>
      <c r="P58" s="293"/>
      <c r="Q58" s="371">
        <f t="shared" ref="Q58:Q59" si="43">+I58+N58+P58</f>
        <v>259630</v>
      </c>
      <c r="R58" s="377">
        <f>+Q58/$Q$106</f>
        <v>6.9996826458253647E-4</v>
      </c>
    </row>
    <row r="59" spans="1:18" x14ac:dyDescent="0.2">
      <c r="A59" s="20"/>
      <c r="B59" s="14">
        <v>2022</v>
      </c>
      <c r="C59" s="292"/>
      <c r="D59" s="293">
        <v>84417</v>
      </c>
      <c r="E59" s="293"/>
      <c r="F59" s="293">
        <v>203461</v>
      </c>
      <c r="G59" s="293"/>
      <c r="H59" s="293"/>
      <c r="I59" s="366">
        <f>SUM(C59:H59)</f>
        <v>287878</v>
      </c>
      <c r="J59" s="292"/>
      <c r="K59" s="293"/>
      <c r="L59" s="293"/>
      <c r="M59" s="293"/>
      <c r="N59" s="366">
        <f t="shared" si="42"/>
        <v>0</v>
      </c>
      <c r="O59" s="294"/>
      <c r="P59" s="293"/>
      <c r="Q59" s="373">
        <f t="shared" si="43"/>
        <v>287878</v>
      </c>
      <c r="R59" s="377">
        <f>+Q59/$Q$107</f>
        <v>7.6307595382075469E-4</v>
      </c>
    </row>
    <row r="60" spans="1:18" ht="12.75" thickBot="1" x14ac:dyDescent="0.25">
      <c r="A60" s="21"/>
      <c r="B60" s="64" t="s">
        <v>385</v>
      </c>
      <c r="C60" s="359"/>
      <c r="D60" s="360">
        <f>(D59-D58)/D58</f>
        <v>5.021087072815715E-2</v>
      </c>
      <c r="E60" s="360"/>
      <c r="F60" s="360">
        <f>(F59-F58)/F58</f>
        <v>0.13507467266205112</v>
      </c>
      <c r="G60" s="360"/>
      <c r="H60" s="360"/>
      <c r="I60" s="378">
        <f>(I59-I58)/I58</f>
        <v>0.10880098601856487</v>
      </c>
      <c r="J60" s="359"/>
      <c r="K60" s="360"/>
      <c r="L60" s="360"/>
      <c r="M60" s="360"/>
      <c r="N60" s="361"/>
      <c r="O60" s="362"/>
      <c r="P60" s="360"/>
      <c r="Q60" s="379">
        <f>(Q59-Q58)/Q58</f>
        <v>0.10880098601856487</v>
      </c>
      <c r="R60" s="361"/>
    </row>
    <row r="61" spans="1:18" x14ac:dyDescent="0.2">
      <c r="A61" s="19" t="s">
        <v>229</v>
      </c>
      <c r="B61" s="40">
        <v>2020</v>
      </c>
      <c r="C61" s="289"/>
      <c r="D61" s="290">
        <v>1103045</v>
      </c>
      <c r="E61" s="290">
        <v>3122</v>
      </c>
      <c r="F61" s="290">
        <v>9420726</v>
      </c>
      <c r="G61" s="290"/>
      <c r="H61" s="290"/>
      <c r="I61" s="367">
        <f t="shared" ref="I61:I62" si="44">SUM(C61:H61)</f>
        <v>10526893</v>
      </c>
      <c r="J61" s="289"/>
      <c r="K61" s="290"/>
      <c r="L61" s="290">
        <v>42597885</v>
      </c>
      <c r="M61" s="290"/>
      <c r="N61" s="367">
        <f>SUM(J61:M61)</f>
        <v>42597885</v>
      </c>
      <c r="O61" s="291"/>
      <c r="P61" s="290"/>
      <c r="Q61" s="369">
        <f>+I61+N61+P61</f>
        <v>53124778</v>
      </c>
      <c r="R61" s="376">
        <f>+Q61/$Q$105</f>
        <v>0.15215653540254867</v>
      </c>
    </row>
    <row r="62" spans="1:18" x14ac:dyDescent="0.2">
      <c r="A62" s="20"/>
      <c r="B62" s="14">
        <v>2021</v>
      </c>
      <c r="C62" s="292"/>
      <c r="D62" s="293">
        <v>1121653</v>
      </c>
      <c r="E62" s="293">
        <v>3122</v>
      </c>
      <c r="F62" s="293">
        <v>1905670</v>
      </c>
      <c r="G62" s="293"/>
      <c r="H62" s="293"/>
      <c r="I62" s="368">
        <f t="shared" si="44"/>
        <v>3030445</v>
      </c>
      <c r="J62" s="292"/>
      <c r="K62" s="293"/>
      <c r="L62" s="293">
        <v>57879711</v>
      </c>
      <c r="M62" s="293"/>
      <c r="N62" s="368">
        <f t="shared" ref="N62:N63" si="45">SUM(J62:M62)</f>
        <v>57879711</v>
      </c>
      <c r="O62" s="294"/>
      <c r="P62" s="293"/>
      <c r="Q62" s="371">
        <f t="shared" ref="Q62:Q63" si="46">+I62+N62+P62</f>
        <v>60910156</v>
      </c>
      <c r="R62" s="377">
        <f>+Q62/$Q$106</f>
        <v>0.16421513766040741</v>
      </c>
    </row>
    <row r="63" spans="1:18" x14ac:dyDescent="0.2">
      <c r="A63" s="20"/>
      <c r="B63" s="14">
        <v>2022</v>
      </c>
      <c r="C63" s="292"/>
      <c r="D63" s="293">
        <v>1184462</v>
      </c>
      <c r="E63" s="293"/>
      <c r="F63" s="293">
        <v>9087404</v>
      </c>
      <c r="G63" s="293"/>
      <c r="H63" s="293"/>
      <c r="I63" s="366">
        <f>SUM(C63:H63)</f>
        <v>10271866</v>
      </c>
      <c r="J63" s="292"/>
      <c r="K63" s="293"/>
      <c r="L63" s="293">
        <v>40127189</v>
      </c>
      <c r="M63" s="293"/>
      <c r="N63" s="366">
        <f t="shared" si="45"/>
        <v>40127189</v>
      </c>
      <c r="O63" s="294"/>
      <c r="P63" s="293"/>
      <c r="Q63" s="373">
        <f t="shared" si="46"/>
        <v>50399055</v>
      </c>
      <c r="R63" s="377">
        <f>+Q63/$Q$107</f>
        <v>0.13359237929188642</v>
      </c>
    </row>
    <row r="64" spans="1:18" ht="12.75" thickBot="1" x14ac:dyDescent="0.25">
      <c r="A64" s="21"/>
      <c r="B64" s="64" t="s">
        <v>385</v>
      </c>
      <c r="C64" s="359"/>
      <c r="D64" s="360">
        <f>(D63-D62)/D62</f>
        <v>5.5996818980558159E-2</v>
      </c>
      <c r="E64" s="360">
        <f>(E63-E62)/E62</f>
        <v>-1</v>
      </c>
      <c r="F64" s="360">
        <f>(F63-F62)/F62</f>
        <v>3.7686136634359571</v>
      </c>
      <c r="G64" s="360"/>
      <c r="H64" s="360"/>
      <c r="I64" s="378">
        <f>(I63-I62)/I62</f>
        <v>2.3895569792555218</v>
      </c>
      <c r="J64" s="359"/>
      <c r="K64" s="360"/>
      <c r="L64" s="360">
        <f>(L63-L62)/L62</f>
        <v>-0.30671407464353095</v>
      </c>
      <c r="M64" s="360"/>
      <c r="N64" s="378">
        <f>(N63-N62)/N62</f>
        <v>-0.30671407464353095</v>
      </c>
      <c r="O64" s="362"/>
      <c r="P64" s="360"/>
      <c r="Q64" s="379">
        <f>(Q63-Q62)/Q62</f>
        <v>-0.17256729731573828</v>
      </c>
      <c r="R64" s="361"/>
    </row>
    <row r="65" spans="1:18" x14ac:dyDescent="0.2">
      <c r="A65" s="19" t="s">
        <v>230</v>
      </c>
      <c r="B65" s="40">
        <v>2020</v>
      </c>
      <c r="C65" s="289"/>
      <c r="D65" s="290"/>
      <c r="E65" s="290"/>
      <c r="F65" s="290">
        <v>203155</v>
      </c>
      <c r="G65" s="290"/>
      <c r="H65" s="290"/>
      <c r="I65" s="367">
        <f t="shared" ref="I65:I66" si="47">SUM(C65:H65)</f>
        <v>203155</v>
      </c>
      <c r="J65" s="289"/>
      <c r="K65" s="290"/>
      <c r="L65" s="290"/>
      <c r="M65" s="290"/>
      <c r="N65" s="367">
        <f>SUM(J65:M65)</f>
        <v>0</v>
      </c>
      <c r="O65" s="291"/>
      <c r="P65" s="290"/>
      <c r="Q65" s="369">
        <f>+I65+N65+P65</f>
        <v>203155</v>
      </c>
      <c r="R65" s="376">
        <f>+Q65/$Q$105</f>
        <v>5.8186334349867347E-4</v>
      </c>
    </row>
    <row r="66" spans="1:18" x14ac:dyDescent="0.2">
      <c r="A66" s="20"/>
      <c r="B66" s="14">
        <v>2021</v>
      </c>
      <c r="C66" s="292"/>
      <c r="D66" s="293"/>
      <c r="E66" s="293"/>
      <c r="F66" s="293">
        <v>203155</v>
      </c>
      <c r="G66" s="293"/>
      <c r="H66" s="293"/>
      <c r="I66" s="368">
        <f t="shared" si="47"/>
        <v>203155</v>
      </c>
      <c r="J66" s="292"/>
      <c r="K66" s="293"/>
      <c r="L66" s="293"/>
      <c r="M66" s="293"/>
      <c r="N66" s="368">
        <f t="shared" ref="N66:N67" si="48">SUM(J66:M66)</f>
        <v>0</v>
      </c>
      <c r="O66" s="294"/>
      <c r="P66" s="293"/>
      <c r="Q66" s="371">
        <f t="shared" ref="Q66:Q67" si="49">+I66+N66+P66</f>
        <v>203155</v>
      </c>
      <c r="R66" s="377">
        <f>+Q66/$Q$106</f>
        <v>5.4771040631385124E-4</v>
      </c>
    </row>
    <row r="67" spans="1:18" x14ac:dyDescent="0.2">
      <c r="A67" s="20"/>
      <c r="B67" s="14">
        <v>2022</v>
      </c>
      <c r="C67" s="292"/>
      <c r="D67" s="293"/>
      <c r="E67" s="293"/>
      <c r="F67" s="293"/>
      <c r="G67" s="293"/>
      <c r="H67" s="293"/>
      <c r="I67" s="366">
        <f>SUM(C67:H67)</f>
        <v>0</v>
      </c>
      <c r="J67" s="292"/>
      <c r="K67" s="293"/>
      <c r="L67" s="293"/>
      <c r="M67" s="293"/>
      <c r="N67" s="366">
        <f t="shared" si="48"/>
        <v>0</v>
      </c>
      <c r="O67" s="294"/>
      <c r="P67" s="293"/>
      <c r="Q67" s="373">
        <f t="shared" si="49"/>
        <v>0</v>
      </c>
      <c r="R67" s="377"/>
    </row>
    <row r="68" spans="1:18" ht="12.75" thickBot="1" x14ac:dyDescent="0.25">
      <c r="A68" s="21"/>
      <c r="B68" s="64" t="s">
        <v>385</v>
      </c>
      <c r="C68" s="359"/>
      <c r="D68" s="360"/>
      <c r="E68" s="360"/>
      <c r="F68" s="360">
        <f>(F67-F66)/F66</f>
        <v>-1</v>
      </c>
      <c r="G68" s="360"/>
      <c r="H68" s="360"/>
      <c r="I68" s="378">
        <f>(I67-I66)/I66</f>
        <v>-1</v>
      </c>
      <c r="J68" s="359"/>
      <c r="K68" s="360"/>
      <c r="L68" s="360"/>
      <c r="M68" s="360"/>
      <c r="N68" s="361"/>
      <c r="O68" s="362"/>
      <c r="P68" s="360"/>
      <c r="Q68" s="379">
        <f>(Q67-Q66)/Q66</f>
        <v>-1</v>
      </c>
      <c r="R68" s="361"/>
    </row>
    <row r="69" spans="1:18" x14ac:dyDescent="0.2">
      <c r="A69" s="19" t="s">
        <v>231</v>
      </c>
      <c r="B69" s="40">
        <v>2020</v>
      </c>
      <c r="C69" s="289"/>
      <c r="D69" s="290"/>
      <c r="E69" s="290"/>
      <c r="F69" s="290">
        <v>98426</v>
      </c>
      <c r="G69" s="290"/>
      <c r="H69" s="290"/>
      <c r="I69" s="367">
        <f t="shared" ref="I69:I70" si="50">SUM(C69:H69)</f>
        <v>98426</v>
      </c>
      <c r="J69" s="289"/>
      <c r="K69" s="290"/>
      <c r="L69" s="290">
        <v>3553179</v>
      </c>
      <c r="M69" s="290"/>
      <c r="N69" s="367">
        <f>SUM(J69:M69)</f>
        <v>3553179</v>
      </c>
      <c r="O69" s="291"/>
      <c r="P69" s="290"/>
      <c r="Q69" s="369">
        <f>+I69+N69+P69</f>
        <v>3651605</v>
      </c>
      <c r="R69" s="376">
        <f>+Q69/$Q$105</f>
        <v>1.0458689643063049E-2</v>
      </c>
    </row>
    <row r="70" spans="1:18" x14ac:dyDescent="0.2">
      <c r="A70" s="20"/>
      <c r="B70" s="14">
        <v>2021</v>
      </c>
      <c r="C70" s="292"/>
      <c r="D70" s="293"/>
      <c r="E70" s="293"/>
      <c r="F70" s="293">
        <v>98426</v>
      </c>
      <c r="G70" s="293"/>
      <c r="H70" s="293"/>
      <c r="I70" s="368">
        <f t="shared" si="50"/>
        <v>98426</v>
      </c>
      <c r="J70" s="292"/>
      <c r="K70" s="293"/>
      <c r="L70" s="293"/>
      <c r="M70" s="293"/>
      <c r="N70" s="368">
        <f t="shared" ref="N70:N71" si="51">SUM(J70:M70)</f>
        <v>0</v>
      </c>
      <c r="O70" s="294"/>
      <c r="P70" s="293"/>
      <c r="Q70" s="371">
        <f t="shared" ref="Q70:Q71" si="52">+I70+N70+P70</f>
        <v>98426</v>
      </c>
      <c r="R70" s="377">
        <f>+Q70/$Q$106</f>
        <v>2.6535868894118838E-4</v>
      </c>
    </row>
    <row r="71" spans="1:18" x14ac:dyDescent="0.2">
      <c r="A71" s="20"/>
      <c r="B71" s="14">
        <v>2022</v>
      </c>
      <c r="C71" s="292"/>
      <c r="D71" s="293"/>
      <c r="E71" s="293"/>
      <c r="F71" s="293">
        <v>98426</v>
      </c>
      <c r="G71" s="293"/>
      <c r="H71" s="293"/>
      <c r="I71" s="366">
        <f>SUM(C71:H71)</f>
        <v>98426</v>
      </c>
      <c r="J71" s="292"/>
      <c r="K71" s="293"/>
      <c r="L71" s="293"/>
      <c r="M71" s="293"/>
      <c r="N71" s="366">
        <f t="shared" si="51"/>
        <v>0</v>
      </c>
      <c r="O71" s="294"/>
      <c r="P71" s="293"/>
      <c r="Q71" s="373">
        <f t="shared" si="52"/>
        <v>98426</v>
      </c>
      <c r="R71" s="377">
        <f>+Q71/$Q$107</f>
        <v>2.6089702523555676E-4</v>
      </c>
    </row>
    <row r="72" spans="1:18" ht="12.75" thickBot="1" x14ac:dyDescent="0.25">
      <c r="A72" s="21"/>
      <c r="B72" s="64" t="s">
        <v>385</v>
      </c>
      <c r="C72" s="359"/>
      <c r="D72" s="360"/>
      <c r="E72" s="360"/>
      <c r="F72" s="360">
        <f>(F71-F70)/F70</f>
        <v>0</v>
      </c>
      <c r="G72" s="360"/>
      <c r="H72" s="360"/>
      <c r="I72" s="378">
        <f>(I71-I70)/I70</f>
        <v>0</v>
      </c>
      <c r="J72" s="359"/>
      <c r="K72" s="360"/>
      <c r="L72" s="360"/>
      <c r="M72" s="360"/>
      <c r="N72" s="361"/>
      <c r="O72" s="362"/>
      <c r="P72" s="360"/>
      <c r="Q72" s="379">
        <f>(Q71-Q70)/Q70</f>
        <v>0</v>
      </c>
      <c r="R72" s="361"/>
    </row>
    <row r="73" spans="1:18" x14ac:dyDescent="0.2">
      <c r="A73" s="19" t="s">
        <v>232</v>
      </c>
      <c r="B73" s="40">
        <v>2020</v>
      </c>
      <c r="C73" s="289"/>
      <c r="D73" s="290"/>
      <c r="E73" s="290"/>
      <c r="F73" s="290">
        <v>769243</v>
      </c>
      <c r="G73" s="290"/>
      <c r="H73" s="290"/>
      <c r="I73" s="367">
        <f t="shared" ref="I73:I74" si="53">SUM(C73:H73)</f>
        <v>769243</v>
      </c>
      <c r="J73" s="289"/>
      <c r="K73" s="290"/>
      <c r="L73" s="290">
        <v>645873</v>
      </c>
      <c r="M73" s="290"/>
      <c r="N73" s="367">
        <f>SUM(J73:M73)</f>
        <v>645873</v>
      </c>
      <c r="O73" s="291"/>
      <c r="P73" s="290"/>
      <c r="Q73" s="369">
        <f>+I73+N73+P73</f>
        <v>1415116</v>
      </c>
      <c r="R73" s="376">
        <f>+Q73/$Q$105</f>
        <v>4.0530832477589469E-3</v>
      </c>
    </row>
    <row r="74" spans="1:18" x14ac:dyDescent="0.2">
      <c r="A74" s="20"/>
      <c r="B74" s="14">
        <v>2021</v>
      </c>
      <c r="C74" s="292"/>
      <c r="D74" s="293"/>
      <c r="E74" s="293"/>
      <c r="F74" s="293">
        <v>906448</v>
      </c>
      <c r="G74" s="293"/>
      <c r="H74" s="293"/>
      <c r="I74" s="368">
        <f t="shared" si="53"/>
        <v>906448</v>
      </c>
      <c r="J74" s="292"/>
      <c r="K74" s="293"/>
      <c r="L74" s="293">
        <v>333122</v>
      </c>
      <c r="M74" s="293"/>
      <c r="N74" s="368">
        <f t="shared" ref="N74:N75" si="54">SUM(J74:M74)</f>
        <v>333122</v>
      </c>
      <c r="O74" s="294"/>
      <c r="P74" s="293"/>
      <c r="Q74" s="371">
        <f t="shared" ref="Q74:Q75" si="55">+I74+N74+P74</f>
        <v>1239570</v>
      </c>
      <c r="R74" s="377">
        <f>+Q74/$Q$106</f>
        <v>3.3419083377443852E-3</v>
      </c>
    </row>
    <row r="75" spans="1:18" x14ac:dyDescent="0.2">
      <c r="A75" s="20"/>
      <c r="B75" s="14">
        <v>2022</v>
      </c>
      <c r="C75" s="292"/>
      <c r="D75" s="293"/>
      <c r="E75" s="293"/>
      <c r="F75" s="293">
        <v>1129118</v>
      </c>
      <c r="G75" s="293"/>
      <c r="H75" s="293"/>
      <c r="I75" s="366">
        <f>SUM(C75:H75)</f>
        <v>1129118</v>
      </c>
      <c r="J75" s="292"/>
      <c r="K75" s="293"/>
      <c r="L75" s="293">
        <v>3897479</v>
      </c>
      <c r="M75" s="293"/>
      <c r="N75" s="366">
        <f t="shared" si="54"/>
        <v>3897479</v>
      </c>
      <c r="O75" s="294"/>
      <c r="P75" s="293"/>
      <c r="Q75" s="373">
        <f t="shared" si="55"/>
        <v>5026597</v>
      </c>
      <c r="R75" s="377">
        <f>+Q75/$Q$107</f>
        <v>1.3323961192753682E-2</v>
      </c>
    </row>
    <row r="76" spans="1:18" ht="12.75" thickBot="1" x14ac:dyDescent="0.25">
      <c r="A76" s="21"/>
      <c r="B76" s="64" t="s">
        <v>385</v>
      </c>
      <c r="C76" s="359"/>
      <c r="D76" s="360"/>
      <c r="E76" s="360"/>
      <c r="F76" s="360">
        <f>(F75-F74)/F74</f>
        <v>0.24565115704375762</v>
      </c>
      <c r="G76" s="360"/>
      <c r="H76" s="360"/>
      <c r="I76" s="378">
        <f>(I75-I74)/I74</f>
        <v>0.24565115704375762</v>
      </c>
      <c r="J76" s="359"/>
      <c r="K76" s="360"/>
      <c r="L76" s="360">
        <f>(L75-L74)/L74</f>
        <v>10.699854707884798</v>
      </c>
      <c r="M76" s="360"/>
      <c r="N76" s="378">
        <f>(N75-N74)/N74</f>
        <v>10.699854707884798</v>
      </c>
      <c r="O76" s="362"/>
      <c r="P76" s="360"/>
      <c r="Q76" s="379">
        <f>(Q75-Q74)/Q74</f>
        <v>3.0551134667667013</v>
      </c>
      <c r="R76" s="361"/>
    </row>
    <row r="77" spans="1:18" x14ac:dyDescent="0.2">
      <c r="A77" s="19" t="s">
        <v>233</v>
      </c>
      <c r="B77" s="40">
        <v>2020</v>
      </c>
      <c r="C77" s="289"/>
      <c r="D77" s="290">
        <v>53791</v>
      </c>
      <c r="E77" s="290"/>
      <c r="F77" s="290">
        <v>801337</v>
      </c>
      <c r="G77" s="290"/>
      <c r="H77" s="290"/>
      <c r="I77" s="367">
        <f t="shared" ref="I77:I78" si="56">SUM(C77:H77)</f>
        <v>855128</v>
      </c>
      <c r="J77" s="289"/>
      <c r="K77" s="290"/>
      <c r="L77" s="290"/>
      <c r="M77" s="290"/>
      <c r="N77" s="367">
        <f>SUM(J77:M77)</f>
        <v>0</v>
      </c>
      <c r="O77" s="291"/>
      <c r="P77" s="290"/>
      <c r="Q77" s="369">
        <f>+I77+N77+P77</f>
        <v>855128</v>
      </c>
      <c r="R77" s="376">
        <f>+Q77/$Q$105</f>
        <v>2.4492020240670111E-3</v>
      </c>
    </row>
    <row r="78" spans="1:18" x14ac:dyDescent="0.2">
      <c r="A78" s="20"/>
      <c r="B78" s="14">
        <v>2021</v>
      </c>
      <c r="C78" s="292"/>
      <c r="D78" s="293">
        <v>53117</v>
      </c>
      <c r="E78" s="293"/>
      <c r="F78" s="293">
        <v>801337</v>
      </c>
      <c r="G78" s="293"/>
      <c r="H78" s="293"/>
      <c r="I78" s="368">
        <f t="shared" si="56"/>
        <v>854454</v>
      </c>
      <c r="J78" s="292"/>
      <c r="K78" s="293"/>
      <c r="L78" s="293"/>
      <c r="M78" s="293"/>
      <c r="N78" s="368">
        <f t="shared" ref="N78:N79" si="57">SUM(J78:M78)</f>
        <v>0</v>
      </c>
      <c r="O78" s="294"/>
      <c r="P78" s="293"/>
      <c r="Q78" s="371">
        <f t="shared" ref="Q78:Q79" si="58">+I78+N78+P78</f>
        <v>854454</v>
      </c>
      <c r="R78" s="377">
        <f>+Q78/$Q$106</f>
        <v>2.3036270213211362E-3</v>
      </c>
    </row>
    <row r="79" spans="1:18" x14ac:dyDescent="0.2">
      <c r="A79" s="20"/>
      <c r="B79" s="14">
        <v>2022</v>
      </c>
      <c r="C79" s="292"/>
      <c r="D79" s="293">
        <v>32960</v>
      </c>
      <c r="E79" s="293"/>
      <c r="F79" s="293">
        <v>520797</v>
      </c>
      <c r="G79" s="293"/>
      <c r="H79" s="293"/>
      <c r="I79" s="366">
        <f>SUM(C79:H79)</f>
        <v>553757</v>
      </c>
      <c r="J79" s="292"/>
      <c r="K79" s="293"/>
      <c r="L79" s="293"/>
      <c r="M79" s="293"/>
      <c r="N79" s="366">
        <f t="shared" si="57"/>
        <v>0</v>
      </c>
      <c r="O79" s="294"/>
      <c r="P79" s="293"/>
      <c r="Q79" s="373">
        <f t="shared" si="58"/>
        <v>553757</v>
      </c>
      <c r="R79" s="377">
        <f>+Q79/$Q$107</f>
        <v>1.4678393311052587E-3</v>
      </c>
    </row>
    <row r="80" spans="1:18" ht="12.75" thickBot="1" x14ac:dyDescent="0.25">
      <c r="A80" s="21"/>
      <c r="B80" s="64" t="s">
        <v>385</v>
      </c>
      <c r="C80" s="359"/>
      <c r="D80" s="360">
        <f>(D79-D78)/D78</f>
        <v>-0.37948302803245665</v>
      </c>
      <c r="E80" s="360"/>
      <c r="F80" s="360">
        <f>(F79-F78)/F78</f>
        <v>-0.35008991223417862</v>
      </c>
      <c r="G80" s="360"/>
      <c r="H80" s="360"/>
      <c r="I80" s="378">
        <f>(I79-I78)/I78</f>
        <v>-0.35191713070569042</v>
      </c>
      <c r="J80" s="359"/>
      <c r="K80" s="360"/>
      <c r="L80" s="360"/>
      <c r="M80" s="360"/>
      <c r="N80" s="361"/>
      <c r="O80" s="362"/>
      <c r="P80" s="360"/>
      <c r="Q80" s="379">
        <f>(Q79-Q78)/Q78</f>
        <v>-0.35191713070569042</v>
      </c>
      <c r="R80" s="361"/>
    </row>
    <row r="81" spans="1:18" x14ac:dyDescent="0.2">
      <c r="A81" s="19" t="s">
        <v>234</v>
      </c>
      <c r="B81" s="40">
        <v>2020</v>
      </c>
      <c r="C81" s="289"/>
      <c r="D81" s="290">
        <v>49318039</v>
      </c>
      <c r="E81" s="290">
        <v>1531</v>
      </c>
      <c r="F81" s="290">
        <v>23898288</v>
      </c>
      <c r="G81" s="290"/>
      <c r="H81" s="290">
        <v>1343630</v>
      </c>
      <c r="I81" s="367">
        <f t="shared" ref="I81:I82" si="59">SUM(C81:H81)</f>
        <v>74561488</v>
      </c>
      <c r="J81" s="289"/>
      <c r="K81" s="290"/>
      <c r="L81" s="290">
        <v>176862</v>
      </c>
      <c r="M81" s="290"/>
      <c r="N81" s="367">
        <f>SUM(J81:M81)</f>
        <v>176862</v>
      </c>
      <c r="O81" s="291"/>
      <c r="P81" s="290"/>
      <c r="Q81" s="369">
        <f>+I81+N81+P81</f>
        <v>74738350</v>
      </c>
      <c r="R81" s="376">
        <f>+Q81/$Q$105</f>
        <v>0.21406072318463285</v>
      </c>
    </row>
    <row r="82" spans="1:18" x14ac:dyDescent="0.2">
      <c r="A82" s="20"/>
      <c r="B82" s="14">
        <v>2021</v>
      </c>
      <c r="C82" s="292"/>
      <c r="D82" s="293">
        <v>52415475</v>
      </c>
      <c r="E82" s="293">
        <v>1531</v>
      </c>
      <c r="F82" s="293">
        <v>26694448</v>
      </c>
      <c r="G82" s="293"/>
      <c r="H82" s="293">
        <v>1343630</v>
      </c>
      <c r="I82" s="368">
        <f t="shared" si="59"/>
        <v>80455084</v>
      </c>
      <c r="J82" s="292"/>
      <c r="K82" s="293"/>
      <c r="L82" s="293">
        <v>365125</v>
      </c>
      <c r="M82" s="293"/>
      <c r="N82" s="368">
        <f t="shared" ref="N82:N83" si="60">SUM(J82:M82)</f>
        <v>365125</v>
      </c>
      <c r="O82" s="294"/>
      <c r="P82" s="293"/>
      <c r="Q82" s="371">
        <f t="shared" ref="Q82:Q83" si="61">+I82+N82+P82</f>
        <v>80820209</v>
      </c>
      <c r="R82" s="377">
        <f>+Q82/$Q$106</f>
        <v>0.21789308414639255</v>
      </c>
    </row>
    <row r="83" spans="1:18" x14ac:dyDescent="0.2">
      <c r="A83" s="20"/>
      <c r="B83" s="14">
        <v>2022</v>
      </c>
      <c r="C83" s="292"/>
      <c r="D83" s="293">
        <v>58672219</v>
      </c>
      <c r="E83" s="293">
        <v>1531</v>
      </c>
      <c r="F83" s="293">
        <v>35863330</v>
      </c>
      <c r="G83" s="293"/>
      <c r="H83" s="293">
        <v>1343630</v>
      </c>
      <c r="I83" s="366">
        <f>SUM(C83:H83)</f>
        <v>95880710</v>
      </c>
      <c r="J83" s="292"/>
      <c r="K83" s="293"/>
      <c r="L83" s="293">
        <v>6915180</v>
      </c>
      <c r="M83" s="293"/>
      <c r="N83" s="366">
        <f t="shared" si="60"/>
        <v>6915180</v>
      </c>
      <c r="O83" s="294"/>
      <c r="P83" s="293"/>
      <c r="Q83" s="373">
        <f t="shared" si="61"/>
        <v>102795890</v>
      </c>
      <c r="R83" s="377">
        <f>+Q83/$Q$107</f>
        <v>0.27248025834069772</v>
      </c>
    </row>
    <row r="84" spans="1:18" ht="12.75" thickBot="1" x14ac:dyDescent="0.25">
      <c r="A84" s="21"/>
      <c r="B84" s="64" t="s">
        <v>385</v>
      </c>
      <c r="C84" s="359"/>
      <c r="D84" s="360">
        <f t="shared" ref="D84:F84" si="62">(D83-D82)/D82</f>
        <v>0.11936825908760723</v>
      </c>
      <c r="E84" s="360">
        <f t="shared" si="62"/>
        <v>0</v>
      </c>
      <c r="F84" s="360">
        <f t="shared" si="62"/>
        <v>0.34347524249237144</v>
      </c>
      <c r="G84" s="360"/>
      <c r="H84" s="360">
        <f>(H83-H82)/H82</f>
        <v>0</v>
      </c>
      <c r="I84" s="378">
        <f>(I83-I82)/I82</f>
        <v>0.19172966123557836</v>
      </c>
      <c r="J84" s="359"/>
      <c r="K84" s="360"/>
      <c r="L84" s="360">
        <f>(L83-L82)/L82</f>
        <v>17.939212598425197</v>
      </c>
      <c r="M84" s="360"/>
      <c r="N84" s="378">
        <f>(N83-N82)/N82</f>
        <v>17.939212598425197</v>
      </c>
      <c r="O84" s="362"/>
      <c r="P84" s="360"/>
      <c r="Q84" s="379">
        <f>(Q83-Q82)/Q82</f>
        <v>0.27190824265252767</v>
      </c>
      <c r="R84" s="361"/>
    </row>
    <row r="85" spans="1:18" x14ac:dyDescent="0.2">
      <c r="A85" s="19" t="s">
        <v>235</v>
      </c>
      <c r="B85" s="40">
        <v>2020</v>
      </c>
      <c r="C85" s="289"/>
      <c r="D85" s="290"/>
      <c r="E85" s="290"/>
      <c r="F85" s="290"/>
      <c r="G85" s="290"/>
      <c r="H85" s="290"/>
      <c r="I85" s="367">
        <f t="shared" ref="I85:I86" si="63">SUM(C85:H85)</f>
        <v>0</v>
      </c>
      <c r="J85" s="289"/>
      <c r="K85" s="290"/>
      <c r="L85" s="290"/>
      <c r="M85" s="290"/>
      <c r="N85" s="367">
        <f>SUM(J85:M85)</f>
        <v>0</v>
      </c>
      <c r="O85" s="291"/>
      <c r="P85" s="290"/>
      <c r="Q85" s="369">
        <f>+I85+N85+P85</f>
        <v>0</v>
      </c>
      <c r="R85" s="65"/>
    </row>
    <row r="86" spans="1:18" x14ac:dyDescent="0.2">
      <c r="A86" s="20"/>
      <c r="B86" s="14">
        <v>2021</v>
      </c>
      <c r="C86" s="292"/>
      <c r="D86" s="293"/>
      <c r="E86" s="293"/>
      <c r="F86" s="293"/>
      <c r="G86" s="293"/>
      <c r="H86" s="293"/>
      <c r="I86" s="368">
        <f t="shared" si="63"/>
        <v>0</v>
      </c>
      <c r="J86" s="292"/>
      <c r="K86" s="293"/>
      <c r="L86" s="293"/>
      <c r="M86" s="293"/>
      <c r="N86" s="368">
        <f t="shared" ref="N86:N87" si="64">SUM(J86:M86)</f>
        <v>0</v>
      </c>
      <c r="O86" s="294"/>
      <c r="P86" s="293"/>
      <c r="Q86" s="371">
        <f t="shared" ref="Q86:Q87" si="65">+I86+N86+P86</f>
        <v>0</v>
      </c>
      <c r="R86" s="66"/>
    </row>
    <row r="87" spans="1:18" x14ac:dyDescent="0.2">
      <c r="A87" s="20"/>
      <c r="B87" s="14">
        <v>2022</v>
      </c>
      <c r="C87" s="292"/>
      <c r="D87" s="293"/>
      <c r="E87" s="293"/>
      <c r="F87" s="293"/>
      <c r="G87" s="293"/>
      <c r="H87" s="293"/>
      <c r="I87" s="366">
        <f>SUM(C87:H87)</f>
        <v>0</v>
      </c>
      <c r="J87" s="292"/>
      <c r="K87" s="293"/>
      <c r="L87" s="293"/>
      <c r="M87" s="293"/>
      <c r="N87" s="366">
        <f t="shared" si="64"/>
        <v>0</v>
      </c>
      <c r="O87" s="294"/>
      <c r="P87" s="293"/>
      <c r="Q87" s="373">
        <f t="shared" si="65"/>
        <v>0</v>
      </c>
      <c r="R87" s="66"/>
    </row>
    <row r="88" spans="1:18" ht="12.75" thickBot="1" x14ac:dyDescent="0.25">
      <c r="A88" s="21"/>
      <c r="B88" s="64" t="s">
        <v>385</v>
      </c>
      <c r="C88" s="359"/>
      <c r="D88" s="360"/>
      <c r="E88" s="360"/>
      <c r="F88" s="360"/>
      <c r="G88" s="360"/>
      <c r="H88" s="360"/>
      <c r="I88" s="361"/>
      <c r="J88" s="359"/>
      <c r="K88" s="360"/>
      <c r="L88" s="360"/>
      <c r="M88" s="360"/>
      <c r="N88" s="361"/>
      <c r="O88" s="362"/>
      <c r="P88" s="360"/>
      <c r="Q88" s="360"/>
      <c r="R88" s="361"/>
    </row>
    <row r="89" spans="1:18" x14ac:dyDescent="0.2">
      <c r="A89" s="19" t="s">
        <v>236</v>
      </c>
      <c r="B89" s="40">
        <v>2020</v>
      </c>
      <c r="C89" s="289"/>
      <c r="D89" s="290">
        <v>96083539</v>
      </c>
      <c r="E89" s="290"/>
      <c r="F89" s="290">
        <v>11246571</v>
      </c>
      <c r="G89" s="290"/>
      <c r="H89" s="290"/>
      <c r="I89" s="367">
        <f t="shared" ref="I89:I90" si="66">SUM(C89:H89)</f>
        <v>107330110</v>
      </c>
      <c r="J89" s="289"/>
      <c r="K89" s="290"/>
      <c r="L89" s="290">
        <v>45123334</v>
      </c>
      <c r="M89" s="290"/>
      <c r="N89" s="367">
        <f>SUM(J89:M89)</f>
        <v>45123334</v>
      </c>
      <c r="O89" s="291"/>
      <c r="P89" s="290"/>
      <c r="Q89" s="369">
        <f>+I89+N89+P89</f>
        <v>152453444</v>
      </c>
      <c r="R89" s="376">
        <f>+Q89/$Q$105</f>
        <v>0.43664724301015373</v>
      </c>
    </row>
    <row r="90" spans="1:18" x14ac:dyDescent="0.2">
      <c r="A90" s="20"/>
      <c r="B90" s="14">
        <v>2021</v>
      </c>
      <c r="C90" s="292"/>
      <c r="D90" s="293">
        <v>112140121</v>
      </c>
      <c r="E90" s="293">
        <v>108000</v>
      </c>
      <c r="F90" s="293">
        <v>9328291</v>
      </c>
      <c r="G90" s="293"/>
      <c r="H90" s="293"/>
      <c r="I90" s="368">
        <f t="shared" si="66"/>
        <v>121576412</v>
      </c>
      <c r="J90" s="292"/>
      <c r="K90" s="293"/>
      <c r="L90" s="293">
        <v>37876029</v>
      </c>
      <c r="M90" s="293"/>
      <c r="N90" s="368">
        <f t="shared" ref="N90:N91" si="67">SUM(J90:M90)</f>
        <v>37876029</v>
      </c>
      <c r="O90" s="294"/>
      <c r="P90" s="293"/>
      <c r="Q90" s="371">
        <f t="shared" ref="Q90:Q91" si="68">+I90+N90+P90</f>
        <v>159452441</v>
      </c>
      <c r="R90" s="377">
        <f>+Q90/$Q$106</f>
        <v>0.42988733355243725</v>
      </c>
    </row>
    <row r="91" spans="1:18" x14ac:dyDescent="0.2">
      <c r="A91" s="20"/>
      <c r="B91" s="14">
        <v>2022</v>
      </c>
      <c r="C91" s="292"/>
      <c r="D91" s="293">
        <v>114803789</v>
      </c>
      <c r="E91" s="293">
        <v>108000</v>
      </c>
      <c r="F91" s="293">
        <v>7962870</v>
      </c>
      <c r="G91" s="293"/>
      <c r="H91" s="293"/>
      <c r="I91" s="366">
        <f>SUM(C91:H91)</f>
        <v>122874659</v>
      </c>
      <c r="J91" s="292"/>
      <c r="K91" s="293"/>
      <c r="L91" s="293">
        <v>30118806</v>
      </c>
      <c r="M91" s="293"/>
      <c r="N91" s="366">
        <f t="shared" si="67"/>
        <v>30118806</v>
      </c>
      <c r="O91" s="294"/>
      <c r="P91" s="293"/>
      <c r="Q91" s="373">
        <f t="shared" si="68"/>
        <v>152993465</v>
      </c>
      <c r="R91" s="377">
        <f>+Q91/$Q$107</f>
        <v>0.40553857617885791</v>
      </c>
    </row>
    <row r="92" spans="1:18" ht="12.75" thickBot="1" x14ac:dyDescent="0.25">
      <c r="A92" s="21"/>
      <c r="B92" s="64" t="s">
        <v>385</v>
      </c>
      <c r="C92" s="359"/>
      <c r="D92" s="360">
        <f t="shared" ref="D92" si="69">(D91-D90)/D90</f>
        <v>2.3753033046932416E-2</v>
      </c>
      <c r="E92" s="360">
        <f t="shared" ref="E92" si="70">(E91-E90)/E90</f>
        <v>0</v>
      </c>
      <c r="F92" s="360">
        <f t="shared" ref="F92" si="71">(F91-F90)/F90</f>
        <v>-0.14637418579673384</v>
      </c>
      <c r="G92" s="360"/>
      <c r="H92" s="360"/>
      <c r="I92" s="378">
        <f t="shared" ref="I92" si="72">(I91-I90)/I90</f>
        <v>1.0678444762788361E-2</v>
      </c>
      <c r="J92" s="359"/>
      <c r="K92" s="360"/>
      <c r="L92" s="360">
        <f t="shared" ref="L92" si="73">(L91-L90)/L90</f>
        <v>-0.20480560409329077</v>
      </c>
      <c r="M92" s="360"/>
      <c r="N92" s="378">
        <f t="shared" ref="N92" si="74">(N91-N90)/N90</f>
        <v>-0.20480560409329077</v>
      </c>
      <c r="O92" s="362"/>
      <c r="P92" s="360"/>
      <c r="Q92" s="379">
        <f t="shared" ref="Q92" si="75">(Q91-Q90)/Q90</f>
        <v>-4.0507225599638201E-2</v>
      </c>
      <c r="R92" s="361"/>
    </row>
    <row r="93" spans="1:18" x14ac:dyDescent="0.2">
      <c r="A93" s="19" t="s">
        <v>237</v>
      </c>
      <c r="B93" s="40">
        <v>2020</v>
      </c>
      <c r="C93" s="289"/>
      <c r="D93" s="290">
        <v>78786</v>
      </c>
      <c r="E93" s="290"/>
      <c r="F93" s="290">
        <v>286444</v>
      </c>
      <c r="G93" s="290"/>
      <c r="H93" s="290"/>
      <c r="I93" s="367">
        <f t="shared" ref="I93:I94" si="76">SUM(C93:H93)</f>
        <v>365230</v>
      </c>
      <c r="J93" s="289"/>
      <c r="K93" s="290"/>
      <c r="L93" s="290"/>
      <c r="M93" s="290"/>
      <c r="N93" s="367">
        <f>SUM(J93:M93)</f>
        <v>0</v>
      </c>
      <c r="O93" s="291"/>
      <c r="P93" s="290"/>
      <c r="Q93" s="369">
        <f>+I93+N93+P93</f>
        <v>365230</v>
      </c>
      <c r="R93" s="376">
        <f>+Q93/$Q$105</f>
        <v>1.0460680216879748E-3</v>
      </c>
    </row>
    <row r="94" spans="1:18" x14ac:dyDescent="0.2">
      <c r="A94" s="20"/>
      <c r="B94" s="14">
        <v>2021</v>
      </c>
      <c r="C94" s="292"/>
      <c r="D94" s="293">
        <v>79046</v>
      </c>
      <c r="E94" s="293"/>
      <c r="F94" s="293">
        <v>1747444</v>
      </c>
      <c r="G94" s="293"/>
      <c r="H94" s="293"/>
      <c r="I94" s="368">
        <f t="shared" si="76"/>
        <v>1826490</v>
      </c>
      <c r="J94" s="292"/>
      <c r="K94" s="293"/>
      <c r="L94" s="293"/>
      <c r="M94" s="293"/>
      <c r="N94" s="368">
        <f t="shared" ref="N94:N95" si="77">SUM(J94:M94)</f>
        <v>0</v>
      </c>
      <c r="O94" s="294"/>
      <c r="P94" s="293"/>
      <c r="Q94" s="371">
        <f t="shared" ref="Q94:Q95" si="78">+I94+N94+P94</f>
        <v>1826490</v>
      </c>
      <c r="R94" s="377">
        <f>+Q94/$Q$106</f>
        <v>4.9242577343810694E-3</v>
      </c>
    </row>
    <row r="95" spans="1:18" x14ac:dyDescent="0.2">
      <c r="A95" s="20"/>
      <c r="B95" s="14">
        <v>2022</v>
      </c>
      <c r="C95" s="292"/>
      <c r="D95" s="293">
        <v>78881</v>
      </c>
      <c r="E95" s="293"/>
      <c r="F95" s="293">
        <v>230229</v>
      </c>
      <c r="G95" s="293"/>
      <c r="H95" s="293"/>
      <c r="I95" s="366">
        <f>SUM(C95:H95)</f>
        <v>309110</v>
      </c>
      <c r="J95" s="292"/>
      <c r="K95" s="293"/>
      <c r="L95" s="293"/>
      <c r="M95" s="293"/>
      <c r="N95" s="366">
        <f t="shared" si="77"/>
        <v>0</v>
      </c>
      <c r="O95" s="294"/>
      <c r="P95" s="293"/>
      <c r="Q95" s="373">
        <f t="shared" si="78"/>
        <v>309110</v>
      </c>
      <c r="R95" s="377">
        <f>+Q95/$Q$107</f>
        <v>8.1935544948045179E-4</v>
      </c>
    </row>
    <row r="96" spans="1:18" ht="12.75" thickBot="1" x14ac:dyDescent="0.25">
      <c r="A96" s="21"/>
      <c r="B96" s="64" t="s">
        <v>385</v>
      </c>
      <c r="C96" s="359"/>
      <c r="D96" s="360">
        <f t="shared" ref="D96" si="79">(D95-D94)/D94</f>
        <v>-2.0873921514055105E-3</v>
      </c>
      <c r="E96" s="360"/>
      <c r="F96" s="360">
        <f t="shared" ref="F96" si="80">(F95-F94)/F94</f>
        <v>-0.86824813842389226</v>
      </c>
      <c r="G96" s="360"/>
      <c r="H96" s="360"/>
      <c r="I96" s="378">
        <f t="shared" ref="I96" si="81">(I95-I94)/I94</f>
        <v>-0.83076282925173417</v>
      </c>
      <c r="J96" s="359"/>
      <c r="K96" s="360"/>
      <c r="L96" s="360"/>
      <c r="M96" s="360"/>
      <c r="N96" s="361"/>
      <c r="O96" s="362"/>
      <c r="P96" s="360"/>
      <c r="Q96" s="379">
        <f t="shared" ref="Q96" si="82">(Q95-Q94)/Q94</f>
        <v>-0.83076282925173417</v>
      </c>
      <c r="R96" s="361"/>
    </row>
    <row r="97" spans="1:21" x14ac:dyDescent="0.2">
      <c r="A97" s="19" t="s">
        <v>238</v>
      </c>
      <c r="B97" s="40">
        <v>2020</v>
      </c>
      <c r="C97" s="289"/>
      <c r="D97" s="290">
        <v>334098</v>
      </c>
      <c r="E97" s="290">
        <v>5377607</v>
      </c>
      <c r="F97" s="290"/>
      <c r="G97" s="290"/>
      <c r="H97" s="290"/>
      <c r="I97" s="367">
        <f t="shared" ref="I97:I98" si="83">SUM(C97:H97)</f>
        <v>5711705</v>
      </c>
      <c r="J97" s="289"/>
      <c r="K97" s="290"/>
      <c r="L97" s="290"/>
      <c r="M97" s="290"/>
      <c r="N97" s="367">
        <f>SUM(J97:M97)</f>
        <v>0</v>
      </c>
      <c r="O97" s="291"/>
      <c r="P97" s="290"/>
      <c r="Q97" s="369">
        <f>+I97+N97+P97</f>
        <v>5711705</v>
      </c>
      <c r="R97" s="376">
        <f>+Q97/$Q$105</f>
        <v>1.6359094131958806E-2</v>
      </c>
    </row>
    <row r="98" spans="1:21" x14ac:dyDescent="0.2">
      <c r="A98" s="20"/>
      <c r="B98" s="14">
        <v>2021</v>
      </c>
      <c r="C98" s="292"/>
      <c r="D98" s="293">
        <v>976352</v>
      </c>
      <c r="E98" s="293">
        <v>5126132</v>
      </c>
      <c r="F98" s="293"/>
      <c r="G98" s="293"/>
      <c r="H98" s="293"/>
      <c r="I98" s="368">
        <f t="shared" si="83"/>
        <v>6102484</v>
      </c>
      <c r="J98" s="292"/>
      <c r="K98" s="293"/>
      <c r="L98" s="293"/>
      <c r="M98" s="293"/>
      <c r="N98" s="368">
        <f t="shared" ref="N98:N99" si="84">SUM(J98:M98)</f>
        <v>0</v>
      </c>
      <c r="O98" s="294"/>
      <c r="P98" s="293"/>
      <c r="Q98" s="371">
        <f t="shared" ref="Q98:Q99" si="85">+I98+N98+P98</f>
        <v>6102484</v>
      </c>
      <c r="R98" s="377">
        <f>+Q98/$Q$106</f>
        <v>1.6452432827957848E-2</v>
      </c>
    </row>
    <row r="99" spans="1:21" x14ac:dyDescent="0.2">
      <c r="A99" s="20"/>
      <c r="B99" s="14">
        <v>2022</v>
      </c>
      <c r="C99" s="292"/>
      <c r="D99" s="293">
        <v>35843</v>
      </c>
      <c r="E99" s="293">
        <v>4596798</v>
      </c>
      <c r="F99" s="293"/>
      <c r="G99" s="293"/>
      <c r="H99" s="293"/>
      <c r="I99" s="366">
        <f>SUM(C99:H99)</f>
        <v>4632641</v>
      </c>
      <c r="J99" s="292"/>
      <c r="K99" s="293"/>
      <c r="L99" s="293"/>
      <c r="M99" s="293"/>
      <c r="N99" s="366">
        <f t="shared" si="84"/>
        <v>0</v>
      </c>
      <c r="O99" s="294"/>
      <c r="P99" s="293"/>
      <c r="Q99" s="373">
        <f t="shared" si="85"/>
        <v>4632641</v>
      </c>
      <c r="R99" s="377">
        <f>+Q99/$Q$107</f>
        <v>1.2279705117390474E-2</v>
      </c>
    </row>
    <row r="100" spans="1:21" ht="12.75" thickBot="1" x14ac:dyDescent="0.25">
      <c r="A100" s="21"/>
      <c r="B100" s="64" t="s">
        <v>385</v>
      </c>
      <c r="C100" s="359"/>
      <c r="D100" s="360">
        <f t="shared" ref="D100" si="86">(D99-D98)/D98</f>
        <v>-0.96328885483923832</v>
      </c>
      <c r="E100" s="360">
        <f t="shared" ref="E100" si="87">(E99-E98)/E98</f>
        <v>-0.10326187464544417</v>
      </c>
      <c r="F100" s="360"/>
      <c r="G100" s="360"/>
      <c r="H100" s="360"/>
      <c r="I100" s="378">
        <f t="shared" ref="I100" si="88">(I99-I98)/I98</f>
        <v>-0.24085978758813625</v>
      </c>
      <c r="J100" s="359"/>
      <c r="K100" s="360"/>
      <c r="L100" s="360"/>
      <c r="M100" s="360"/>
      <c r="N100" s="361"/>
      <c r="O100" s="362"/>
      <c r="P100" s="360"/>
      <c r="Q100" s="379">
        <f t="shared" ref="Q100" si="89">(Q99-Q98)/Q98</f>
        <v>-0.24085978758813625</v>
      </c>
      <c r="R100" s="361"/>
    </row>
    <row r="101" spans="1:21" hidden="1" x14ac:dyDescent="0.2">
      <c r="A101" s="19" t="s">
        <v>239</v>
      </c>
      <c r="B101" s="40">
        <v>2020</v>
      </c>
      <c r="C101" s="289"/>
      <c r="D101" s="290"/>
      <c r="E101" s="290"/>
      <c r="F101" s="290"/>
      <c r="G101" s="290"/>
      <c r="H101" s="290"/>
      <c r="I101" s="367">
        <f t="shared" ref="I101:I102" si="90">SUM(C101:H101)</f>
        <v>0</v>
      </c>
      <c r="J101" s="289"/>
      <c r="K101" s="290"/>
      <c r="L101" s="290"/>
      <c r="M101" s="290"/>
      <c r="N101" s="367">
        <f>SUM(J101:M101)</f>
        <v>0</v>
      </c>
      <c r="O101" s="291"/>
      <c r="P101" s="290"/>
      <c r="Q101" s="369">
        <f>+I101+N101+P101</f>
        <v>0</v>
      </c>
      <c r="R101" s="65"/>
    </row>
    <row r="102" spans="1:21" hidden="1" x14ac:dyDescent="0.2">
      <c r="A102" s="20"/>
      <c r="B102" s="14">
        <v>2021</v>
      </c>
      <c r="C102" s="292"/>
      <c r="D102" s="293"/>
      <c r="E102" s="293"/>
      <c r="F102" s="293"/>
      <c r="G102" s="293"/>
      <c r="H102" s="293"/>
      <c r="I102" s="368">
        <f t="shared" si="90"/>
        <v>0</v>
      </c>
      <c r="J102" s="292"/>
      <c r="K102" s="293"/>
      <c r="L102" s="293"/>
      <c r="M102" s="293"/>
      <c r="N102" s="368">
        <f t="shared" ref="N102:N103" si="91">SUM(J102:M102)</f>
        <v>0</v>
      </c>
      <c r="O102" s="294"/>
      <c r="P102" s="293"/>
      <c r="Q102" s="371">
        <f t="shared" ref="Q102:Q103" si="92">+I102+N102+P102</f>
        <v>0</v>
      </c>
      <c r="R102" s="66"/>
    </row>
    <row r="103" spans="1:21" hidden="1" x14ac:dyDescent="0.2">
      <c r="A103" s="20"/>
      <c r="B103" s="14">
        <v>2022</v>
      </c>
      <c r="C103" s="292"/>
      <c r="D103" s="293"/>
      <c r="E103" s="293"/>
      <c r="F103" s="293"/>
      <c r="G103" s="293"/>
      <c r="H103" s="293"/>
      <c r="I103" s="366">
        <f>SUM(C103:H103)</f>
        <v>0</v>
      </c>
      <c r="J103" s="292"/>
      <c r="K103" s="293"/>
      <c r="L103" s="293"/>
      <c r="M103" s="293"/>
      <c r="N103" s="366">
        <f t="shared" si="91"/>
        <v>0</v>
      </c>
      <c r="O103" s="294"/>
      <c r="P103" s="293"/>
      <c r="Q103" s="373">
        <f t="shared" si="92"/>
        <v>0</v>
      </c>
      <c r="R103" s="66"/>
    </row>
    <row r="104" spans="1:21" ht="12.75" hidden="1" thickBot="1" x14ac:dyDescent="0.25">
      <c r="A104" s="21"/>
      <c r="B104" s="64" t="s">
        <v>385</v>
      </c>
      <c r="C104" s="359"/>
      <c r="D104" s="360"/>
      <c r="E104" s="360"/>
      <c r="F104" s="360"/>
      <c r="G104" s="360"/>
      <c r="H104" s="360"/>
      <c r="I104" s="361"/>
      <c r="J104" s="359"/>
      <c r="K104" s="360"/>
      <c r="L104" s="360"/>
      <c r="M104" s="360"/>
      <c r="N104" s="361"/>
      <c r="O104" s="362"/>
      <c r="P104" s="360"/>
      <c r="Q104" s="360"/>
      <c r="R104" s="361"/>
    </row>
    <row r="105" spans="1:21" x14ac:dyDescent="0.2">
      <c r="A105" s="375" t="s">
        <v>0</v>
      </c>
      <c r="B105" s="40">
        <v>2020</v>
      </c>
      <c r="C105" s="298"/>
      <c r="D105" s="299">
        <f>+D5+D9+D13+D17+D21+D25+D29+D33+D37+D41+D45+D49+D53+D57+D61+D65+D69+D73+D77+D81+D85+D89+D93+D97+D101</f>
        <v>156522460</v>
      </c>
      <c r="E105" s="299">
        <f t="shared" ref="E105:F106" si="93">+E5+E9+E13+E17+E21+E25+E29+E33+E37+E41+E45+E49+E53+E57+E61+E65+E69+E73+E77+E81+E85+E89+E93+E97+E101</f>
        <v>6529136</v>
      </c>
      <c r="F105" s="299">
        <f t="shared" si="93"/>
        <v>68016613</v>
      </c>
      <c r="G105" s="299"/>
      <c r="H105" s="299">
        <f>+H5+H9+H13+H17+H21+H25+H29+H33+H37+H41+H45+H49+H53+H57+H61+H65+H69+H73+H77+H81+H85+H89+H93+H97+H101</f>
        <v>1366314</v>
      </c>
      <c r="I105" s="367">
        <f t="shared" ref="I105:I106" si="94">SUM(C105:H105)</f>
        <v>232434523</v>
      </c>
      <c r="J105" s="298"/>
      <c r="K105" s="299"/>
      <c r="L105" s="299">
        <f>+L5+L9+L13+L17+L21+L25+L29+L33+L37+L41+L45+L49+L53+L57+L61+L65+L69+L73+L77+L81+L85+L89+L93+L97+L101</f>
        <v>116711032</v>
      </c>
      <c r="M105" s="299"/>
      <c r="N105" s="367">
        <f>SUM(J105:M105)</f>
        <v>116711032</v>
      </c>
      <c r="O105" s="300"/>
      <c r="P105" s="299"/>
      <c r="Q105" s="369">
        <f>+I105+N105+P105</f>
        <v>349145555</v>
      </c>
      <c r="R105" s="67"/>
      <c r="S105" s="354"/>
      <c r="T105" s="354"/>
      <c r="U105" s="354"/>
    </row>
    <row r="106" spans="1:21" x14ac:dyDescent="0.2">
      <c r="A106" s="22"/>
      <c r="B106" s="14">
        <v>2021</v>
      </c>
      <c r="C106" s="292"/>
      <c r="D106" s="293">
        <f>+D6+D10+D14+D18+D22+D26+D30+D34+D38+D42+D46+D50+D54+D58+D62+D66+D70+D74+D78+D82+D86+D90+D94+D98+D102</f>
        <v>173147786</v>
      </c>
      <c r="E106" s="293">
        <f t="shared" si="93"/>
        <v>6120865</v>
      </c>
      <c r="F106" s="293">
        <f t="shared" si="93"/>
        <v>53564895</v>
      </c>
      <c r="G106" s="293"/>
      <c r="H106" s="293">
        <f>+H6+H10+H14+H18+H22+H26+H30+H34+H38+H42+H46+H50+H54+H58+H62+H66+H70+H74+H78+H82+H86+H90+H94+H98+H102</f>
        <v>1366314</v>
      </c>
      <c r="I106" s="368">
        <f t="shared" si="94"/>
        <v>234199860</v>
      </c>
      <c r="J106" s="292"/>
      <c r="K106" s="293"/>
      <c r="L106" s="293">
        <f>+L6+L10+L14+L18+L22+L26+L30+L34+L38+L42+L46+L50+L54+L58+L62+L66+L70+L74+L78+L82+L86+L90+L94+L98+L102</f>
        <v>136716956</v>
      </c>
      <c r="M106" s="293"/>
      <c r="N106" s="368">
        <f t="shared" ref="N106:N107" si="95">SUM(J106:M106)</f>
        <v>136716956</v>
      </c>
      <c r="O106" s="294"/>
      <c r="P106" s="293"/>
      <c r="Q106" s="371">
        <f t="shared" ref="Q106:Q107" si="96">+I106+N106+P106</f>
        <v>370916816</v>
      </c>
      <c r="R106" s="66"/>
      <c r="S106" s="354"/>
      <c r="T106" s="354"/>
      <c r="U106" s="354"/>
    </row>
    <row r="107" spans="1:21" x14ac:dyDescent="0.2">
      <c r="A107" s="22"/>
      <c r="B107" s="14">
        <v>2022</v>
      </c>
      <c r="C107" s="292"/>
      <c r="D107" s="293">
        <f>+D7+D11+D15+D19+D23+D27+D31+D35+D39+D43+D47+D51+D55+D59+D63+D67+D71+D75+D79+D83+D87+D91+D95+D99+D103</f>
        <v>181409872</v>
      </c>
      <c r="E107" s="293">
        <f t="shared" ref="E107:F107" si="97">+E7+E11+E15+E19+E23+E27+E31+E35+E39+E43+E47+E51+E55+E59+E63+E67+E71+E75+E79+E83+E87+E91+E95+E99+E103</f>
        <v>5336388</v>
      </c>
      <c r="F107" s="293">
        <f t="shared" si="97"/>
        <v>67724743</v>
      </c>
      <c r="G107" s="293"/>
      <c r="H107" s="293">
        <f>+H7+H11+H15+H19+H23+H27+H31+H35+H39+H43+H47+H51+H55+H59+H63+H67+H71+H75+H79+H83+H87+H91+H95+H99+H103</f>
        <v>1398545</v>
      </c>
      <c r="I107" s="366">
        <f>SUM(C107:H107)</f>
        <v>255869548</v>
      </c>
      <c r="J107" s="292"/>
      <c r="K107" s="293"/>
      <c r="L107" s="293">
        <f>+L7+L11+L15+L19+L23+L27+L31+L35+L39+L43+L47+L51+L55+L59+L63+L67+L71+L75+L79+L83+L87+L91+L95+L99+L103</f>
        <v>121390407</v>
      </c>
      <c r="M107" s="293"/>
      <c r="N107" s="366">
        <f t="shared" si="95"/>
        <v>121390407</v>
      </c>
      <c r="O107" s="294"/>
      <c r="P107" s="293"/>
      <c r="Q107" s="373">
        <f t="shared" si="96"/>
        <v>377259955</v>
      </c>
      <c r="R107" s="66"/>
      <c r="S107" s="354"/>
      <c r="T107" s="354"/>
      <c r="U107" s="354"/>
    </row>
    <row r="108" spans="1:21" ht="12.75" thickBot="1" x14ac:dyDescent="0.25">
      <c r="A108" s="21"/>
      <c r="B108" s="64" t="s">
        <v>385</v>
      </c>
      <c r="C108" s="359"/>
      <c r="D108" s="360">
        <f t="shared" ref="D108" si="98">(D107-D106)/D106</f>
        <v>4.7716960123301837E-2</v>
      </c>
      <c r="E108" s="360">
        <f t="shared" ref="E108" si="99">(E107-E106)/E106</f>
        <v>-0.12816440160010065</v>
      </c>
      <c r="F108" s="360">
        <f t="shared" ref="F108" si="100">(F107-F106)/F106</f>
        <v>0.26434940271982238</v>
      </c>
      <c r="G108" s="360"/>
      <c r="H108" s="360">
        <f t="shared" ref="H108:I108" si="101">(H107-H106)/H106</f>
        <v>2.3589745841731843E-2</v>
      </c>
      <c r="I108" s="378">
        <f t="shared" si="101"/>
        <v>9.2526477172104202E-2</v>
      </c>
      <c r="J108" s="359"/>
      <c r="K108" s="360"/>
      <c r="L108" s="360">
        <f t="shared" ref="L108" si="102">(L107-L106)/L106</f>
        <v>-0.11210422941248048</v>
      </c>
      <c r="M108" s="360"/>
      <c r="N108" s="378">
        <f t="shared" ref="N108" si="103">(N107-N106)/N106</f>
        <v>-0.11210422941248048</v>
      </c>
      <c r="O108" s="362"/>
      <c r="P108" s="360"/>
      <c r="Q108" s="379">
        <f t="shared" ref="Q108" si="104">(Q107-Q106)/Q106</f>
        <v>1.7101244069775472E-2</v>
      </c>
      <c r="R108" s="361"/>
    </row>
    <row r="109" spans="1:21" x14ac:dyDescent="0.2">
      <c r="A109" s="523"/>
      <c r="B109" s="523"/>
      <c r="C109" s="523"/>
      <c r="D109" s="523"/>
      <c r="E109" s="523"/>
      <c r="F109" s="523"/>
      <c r="G109" s="523"/>
      <c r="H109" s="523"/>
      <c r="I109" s="523"/>
      <c r="J109" s="523"/>
      <c r="K109" s="523"/>
      <c r="L109" s="523"/>
      <c r="M109" s="523"/>
      <c r="N109" s="523"/>
      <c r="O109" s="523"/>
      <c r="P109" s="523"/>
      <c r="Q109" s="523"/>
      <c r="R109" s="523"/>
    </row>
    <row r="111" spans="1:21" x14ac:dyDescent="0.2">
      <c r="F111" s="354"/>
      <c r="L111" s="354"/>
    </row>
  </sheetData>
  <mergeCells count="6">
    <mergeCell ref="Q3:R3"/>
    <mergeCell ref="A3:A4"/>
    <mergeCell ref="C3:I3"/>
    <mergeCell ref="J3:N3"/>
    <mergeCell ref="O3:P3"/>
    <mergeCell ref="B3:B4"/>
  </mergeCells>
  <phoneticPr fontId="0" type="noConversion"/>
  <printOptions horizontalCentered="1"/>
  <pageMargins left="0.23622047244094491" right="0.23622047244094491" top="0.74803149606299213" bottom="0.74803149606299213" header="0.31496062992125984" footer="0.31496062992125984"/>
  <pageSetup paperSize="9" scale="60" orientation="portrait" r:id="rId1"/>
  <headerFooter alignWithMargins="0">
    <oddHeader xml:space="preserve">&amp;C&amp;"Arial,Negrita"&amp;18PROYECTO DE PRESUPUESTO 2022
</oddHeader>
    <oddFooter>&amp;L&amp;"Arial,Negrita"&amp;8PROYECTO DE PRESUPUESTO PARA EL AÑO FISCAL 2022
INFORMACIÓN PARA LA COMISIÓN DE PRESUPUESTO Y CUENTA GENERAL DE LA REPÚBLICA DEL CONGRESO DE LA REPÚBLICA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20</vt:i4>
      </vt:variant>
    </vt:vector>
  </HeadingPairs>
  <TitlesOfParts>
    <vt:vector size="41" baseType="lpstr">
      <vt:lpstr>Índice</vt:lpstr>
      <vt:lpstr>F-01</vt:lpstr>
      <vt:lpstr>F-02</vt:lpstr>
      <vt:lpstr>F-03</vt:lpstr>
      <vt:lpstr>F-04</vt:lpstr>
      <vt:lpstr>F-05</vt:lpstr>
      <vt:lpstr>F-06</vt:lpstr>
      <vt:lpstr>F-07</vt:lpstr>
      <vt:lpstr>F-08</vt:lpstr>
      <vt:lpstr>F-09</vt:lpstr>
      <vt:lpstr>F-10</vt:lpstr>
      <vt:lpstr>F-11</vt:lpstr>
      <vt:lpstr>F-12</vt:lpstr>
      <vt:lpstr>F-13</vt:lpstr>
      <vt:lpstr>F-14</vt:lpstr>
      <vt:lpstr>F-15</vt:lpstr>
      <vt:lpstr>F-16</vt:lpstr>
      <vt:lpstr>F-17</vt:lpstr>
      <vt:lpstr>F-18</vt:lpstr>
      <vt:lpstr>Hoja2</vt:lpstr>
      <vt:lpstr>Hoja1</vt:lpstr>
      <vt:lpstr>'F-01'!Área_de_impresión</vt:lpstr>
      <vt:lpstr>'F-06'!Área_de_impresión</vt:lpstr>
      <vt:lpstr>'F-07'!Área_de_impresión</vt:lpstr>
      <vt:lpstr>'F-08'!Área_de_impresión</vt:lpstr>
      <vt:lpstr>'F-09'!Área_de_impresión</vt:lpstr>
      <vt:lpstr>'F-10'!Área_de_impresión</vt:lpstr>
      <vt:lpstr>'F-12'!Área_de_impresión</vt:lpstr>
      <vt:lpstr>'F-13'!Área_de_impresión</vt:lpstr>
      <vt:lpstr>'F-14'!Área_de_impresión</vt:lpstr>
      <vt:lpstr>'F-15'!Área_de_impresión</vt:lpstr>
      <vt:lpstr>'F-16'!Área_de_impresión</vt:lpstr>
      <vt:lpstr>'F-17'!Área_de_impresión</vt:lpstr>
      <vt:lpstr>'F-18'!Área_de_impresión</vt:lpstr>
      <vt:lpstr>Índice!Área_de_impresión</vt:lpstr>
      <vt:lpstr>'F-01'!Títulos_a_imprimir</vt:lpstr>
      <vt:lpstr>'F-09'!Títulos_a_imprimir</vt:lpstr>
      <vt:lpstr>'F-11'!Títulos_a_imprimir</vt:lpstr>
      <vt:lpstr>'F-13'!Títulos_a_imprimir</vt:lpstr>
      <vt:lpstr>'F-17'!Títulos_a_imprimir</vt:lpstr>
      <vt:lpstr>Índice!Títulos_a_imprimir</vt:lpstr>
    </vt:vector>
  </TitlesOfParts>
  <Company>Congreso de la República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Directiva Formulaicón de Presupuesto (V 2008)</dc:title>
  <dc:creator>Asesoria de Presupuesto</dc:creator>
  <cp:lastModifiedBy>pined</cp:lastModifiedBy>
  <cp:lastPrinted>2021-10-15T21:19:36Z</cp:lastPrinted>
  <dcterms:created xsi:type="dcterms:W3CDTF">1998-08-20T20:27:58Z</dcterms:created>
  <dcterms:modified xsi:type="dcterms:W3CDTF">2021-10-27T20:41:50Z</dcterms:modified>
</cp:coreProperties>
</file>