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DOCUMENTOS 2021\ACUÑA HECTOR PPTO 2022\Presentación de Formatos y Directivas\Regiones\Ica\"/>
    </mc:Choice>
  </mc:AlternateContent>
  <xr:revisionPtr revIDLastSave="0" documentId="8_{EE4CA996-4814-40B4-902C-DC5A7371C5EA}" xr6:coauthVersionLast="47" xr6:coauthVersionMax="47" xr10:uidLastSave="{00000000-0000-0000-0000-000000000000}"/>
  <bookViews>
    <workbookView xWindow="-120" yWindow="-120" windowWidth="20730" windowHeight="11160" tabRatio="883" firstSheet="3" activeTab="12" xr2:uid="{00000000-000D-0000-FFFF-FFFF00000000}"/>
  </bookViews>
  <sheets>
    <sheet name="Índice" sheetId="55" r:id="rId1"/>
    <sheet name="F-01" sheetId="62" r:id="rId2"/>
    <sheet name="F-02" sheetId="73" r:id="rId3"/>
    <sheet name="F-03" sheetId="70" r:id="rId4"/>
    <sheet name="F-04" sheetId="30" r:id="rId5"/>
    <sheet name="F-05" sheetId="76" r:id="rId6"/>
    <sheet name="F-06" sheetId="57" r:id="rId7"/>
    <sheet name="F-07" sheetId="9" r:id="rId8"/>
    <sheet name="F-08" sheetId="21" r:id="rId9"/>
    <sheet name="F-09" sheetId="60" r:id="rId10"/>
    <sheet name="F-10" sheetId="32" r:id="rId11"/>
    <sheet name="F-11" sheetId="45" r:id="rId12"/>
    <sheet name="F-12" sheetId="33" r:id="rId13"/>
    <sheet name="F-13" sheetId="50" r:id="rId14"/>
    <sheet name="F-14" sheetId="51" r:id="rId15"/>
    <sheet name="F-15" sheetId="39" r:id="rId16"/>
    <sheet name="F-16" sheetId="79" r:id="rId17"/>
    <sheet name="F-17" sheetId="53" r:id="rId18"/>
    <sheet name="F-18" sheetId="64" r:id="rId19"/>
    <sheet name="Hoja2" sheetId="80" state="hidden" r:id="rId20"/>
    <sheet name="Hoja1" sheetId="78" state="hidden" r:id="rId21"/>
  </sheets>
  <definedNames>
    <definedName name="_xlnm.Print_Area" localSheetId="1">'F-01'!$A$1:$O$18</definedName>
    <definedName name="_xlnm.Print_Area" localSheetId="6">'F-06'!$A$1:$N$51</definedName>
    <definedName name="_xlnm.Print_Area" localSheetId="7">'F-07'!$A$1:$Q$25</definedName>
    <definedName name="_xlnm.Print_Area" localSheetId="8">'F-08'!$A$1:$R$109</definedName>
    <definedName name="_xlnm.Print_Area" localSheetId="9">'F-09'!$A$1:$X$40</definedName>
    <definedName name="_xlnm.Print_Area" localSheetId="10">'F-10'!$A$1:$I$24</definedName>
    <definedName name="_xlnm.Print_Area" localSheetId="11">'F-11'!$A$1:$AI$70</definedName>
    <definedName name="_xlnm.Print_Area" localSheetId="12">'F-12'!$A$1:$J$58</definedName>
    <definedName name="_xlnm.Print_Area" localSheetId="13">'F-13'!$A$1:$N$14</definedName>
    <definedName name="_xlnm.Print_Area" localSheetId="14">'F-14'!$A$1:$J$12</definedName>
    <definedName name="_xlnm.Print_Area" localSheetId="15">'F-15'!$A$1:$H$21</definedName>
    <definedName name="_xlnm.Print_Area" localSheetId="16">'F-16'!$A$1:$H$28</definedName>
    <definedName name="_xlnm.Print_Area" localSheetId="17">'F-17'!$A$1:$P$19</definedName>
    <definedName name="_xlnm.Print_Area" localSheetId="18">'F-18'!$A$1:$L$19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8">#REF!</definedName>
    <definedName name="RECPUB">#REF!</definedName>
    <definedName name="_xlnm.Print_Titles" localSheetId="1">'F-01'!$3:$3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8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3" l="1"/>
  <c r="J14" i="33"/>
  <c r="J15" i="33"/>
  <c r="J16" i="33"/>
  <c r="J22" i="33"/>
  <c r="J23" i="33"/>
  <c r="J25" i="33"/>
  <c r="J30" i="33"/>
  <c r="J31" i="33"/>
  <c r="J32" i="33"/>
  <c r="J33" i="33"/>
  <c r="J34" i="33"/>
  <c r="J38" i="33"/>
  <c r="J39" i="33"/>
  <c r="J40" i="33"/>
  <c r="J41" i="33"/>
  <c r="J42" i="33"/>
  <c r="I7" i="33"/>
  <c r="I8" i="33"/>
  <c r="J8" i="33" s="1"/>
  <c r="I9" i="33"/>
  <c r="J9" i="33" s="1"/>
  <c r="I10" i="33"/>
  <c r="J10" i="33" s="1"/>
  <c r="I11" i="33"/>
  <c r="J11" i="33" s="1"/>
  <c r="I12" i="33"/>
  <c r="J12" i="33" s="1"/>
  <c r="I13" i="33"/>
  <c r="J13" i="33" s="1"/>
  <c r="I14" i="33"/>
  <c r="I15" i="33"/>
  <c r="I16" i="33"/>
  <c r="I17" i="33"/>
  <c r="J17" i="33" s="1"/>
  <c r="I18" i="33"/>
  <c r="I19" i="33"/>
  <c r="J19" i="33" s="1"/>
  <c r="I20" i="33"/>
  <c r="J20" i="33" s="1"/>
  <c r="I21" i="33"/>
  <c r="J21" i="33" s="1"/>
  <c r="I22" i="33"/>
  <c r="I23" i="33"/>
  <c r="I24" i="33"/>
  <c r="I25" i="33"/>
  <c r="I26" i="33"/>
  <c r="J26" i="33" s="1"/>
  <c r="I27" i="33"/>
  <c r="J27" i="33" s="1"/>
  <c r="I28" i="33"/>
  <c r="I29" i="33"/>
  <c r="J29" i="33" s="1"/>
  <c r="I30" i="33"/>
  <c r="I31" i="33"/>
  <c r="I32" i="33"/>
  <c r="I33" i="33"/>
  <c r="I34" i="33"/>
  <c r="I35" i="33"/>
  <c r="J35" i="33" s="1"/>
  <c r="I36" i="33"/>
  <c r="I37" i="33"/>
  <c r="J37" i="33" s="1"/>
  <c r="I38" i="33"/>
  <c r="I39" i="33"/>
  <c r="I40" i="33"/>
  <c r="I41" i="33"/>
  <c r="I42" i="33"/>
  <c r="I43" i="33"/>
  <c r="J43" i="33" s="1"/>
  <c r="I44" i="33"/>
  <c r="J44" i="33" s="1"/>
  <c r="I45" i="33"/>
  <c r="J45" i="33" s="1"/>
  <c r="I46" i="33"/>
  <c r="I47" i="33"/>
  <c r="J47" i="33" s="1"/>
  <c r="I48" i="33"/>
  <c r="J48" i="33" s="1"/>
  <c r="I49" i="33"/>
  <c r="J49" i="33" s="1"/>
  <c r="I50" i="33"/>
  <c r="J50" i="33" s="1"/>
  <c r="I51" i="33"/>
  <c r="J51" i="33" s="1"/>
  <c r="I52" i="33"/>
  <c r="J52" i="33" s="1"/>
  <c r="I53" i="33"/>
  <c r="J53" i="33" s="1"/>
  <c r="I6" i="33"/>
  <c r="J6" i="33" s="1"/>
  <c r="P101" i="21" l="1"/>
  <c r="Q101" i="21" s="1"/>
  <c r="P95" i="21"/>
  <c r="P94" i="21"/>
  <c r="P91" i="21"/>
  <c r="P90" i="21"/>
  <c r="P89" i="21"/>
  <c r="P87" i="21"/>
  <c r="P83" i="21"/>
  <c r="P82" i="21"/>
  <c r="P81" i="21"/>
  <c r="P75" i="21"/>
  <c r="P74" i="21"/>
  <c r="P73" i="21"/>
  <c r="P65" i="21"/>
  <c r="P63" i="21"/>
  <c r="P62" i="21"/>
  <c r="P61" i="21"/>
  <c r="P43" i="21"/>
  <c r="P42" i="21"/>
  <c r="P41" i="21"/>
  <c r="P39" i="21"/>
  <c r="P38" i="21"/>
  <c r="P37" i="21"/>
  <c r="P33" i="21"/>
  <c r="P23" i="21"/>
  <c r="P22" i="21"/>
  <c r="P21" i="21"/>
  <c r="P14" i="21"/>
  <c r="P15" i="21"/>
  <c r="P13" i="21"/>
  <c r="P103" i="21"/>
  <c r="Q103" i="21" s="1"/>
  <c r="P102" i="21"/>
  <c r="Q102" i="21" s="1"/>
  <c r="N99" i="21"/>
  <c r="N98" i="21"/>
  <c r="N97" i="21"/>
  <c r="N95" i="21"/>
  <c r="N94" i="21"/>
  <c r="N93" i="21"/>
  <c r="N91" i="21"/>
  <c r="N90" i="21"/>
  <c r="N89" i="21"/>
  <c r="N105" i="21" s="1"/>
  <c r="N87" i="21"/>
  <c r="N86" i="21"/>
  <c r="N85" i="21"/>
  <c r="N83" i="21"/>
  <c r="N82" i="21"/>
  <c r="N81" i="21"/>
  <c r="N79" i="21"/>
  <c r="N78" i="21"/>
  <c r="N77" i="21"/>
  <c r="N75" i="21"/>
  <c r="N74" i="21"/>
  <c r="N73" i="21"/>
  <c r="N67" i="21"/>
  <c r="N66" i="21"/>
  <c r="N65" i="21"/>
  <c r="N63" i="21"/>
  <c r="N62" i="21"/>
  <c r="N61" i="21"/>
  <c r="N59" i="21"/>
  <c r="N58" i="21"/>
  <c r="N57" i="21"/>
  <c r="N55" i="21"/>
  <c r="N54" i="21"/>
  <c r="N53" i="21"/>
  <c r="N47" i="21"/>
  <c r="N46" i="21"/>
  <c r="N45" i="21"/>
  <c r="N43" i="21"/>
  <c r="N42" i="21"/>
  <c r="N41" i="21"/>
  <c r="N39" i="21"/>
  <c r="N38" i="21"/>
  <c r="N37" i="21"/>
  <c r="N35" i="21"/>
  <c r="N34" i="21"/>
  <c r="N33" i="21"/>
  <c r="N31" i="21"/>
  <c r="N30" i="21"/>
  <c r="N29" i="21"/>
  <c r="N23" i="21"/>
  <c r="N22" i="21"/>
  <c r="N21" i="21"/>
  <c r="N14" i="21"/>
  <c r="N15" i="21"/>
  <c r="N13" i="21"/>
  <c r="I89" i="21"/>
  <c r="Q49" i="21"/>
  <c r="B55" i="33"/>
  <c r="C55" i="33"/>
  <c r="D55" i="33"/>
  <c r="E55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F55" i="33"/>
  <c r="G6" i="33"/>
  <c r="G55" i="33" l="1"/>
  <c r="H25" i="79" l="1"/>
  <c r="G25" i="79"/>
  <c r="C33" i="76"/>
  <c r="C65" i="76"/>
  <c r="D65" i="76"/>
  <c r="C97" i="76"/>
  <c r="D97" i="76"/>
  <c r="B97" i="76"/>
  <c r="B65" i="76"/>
  <c r="D33" i="76" l="1"/>
  <c r="B33" i="76"/>
  <c r="O107" i="21"/>
  <c r="M107" i="21"/>
  <c r="L107" i="21"/>
  <c r="K107" i="21"/>
  <c r="J107" i="21"/>
  <c r="H107" i="21"/>
  <c r="G107" i="21"/>
  <c r="F107" i="21"/>
  <c r="E107" i="21"/>
  <c r="D107" i="21"/>
  <c r="O106" i="21"/>
  <c r="O108" i="21" s="1"/>
  <c r="M106" i="21"/>
  <c r="L106" i="21"/>
  <c r="L108" i="21" s="1"/>
  <c r="K106" i="21"/>
  <c r="J106" i="21"/>
  <c r="H106" i="21"/>
  <c r="H108" i="21" s="1"/>
  <c r="G106" i="21"/>
  <c r="F106" i="21"/>
  <c r="F108" i="21" s="1"/>
  <c r="E106" i="21"/>
  <c r="E108" i="21" s="1"/>
  <c r="D106" i="21"/>
  <c r="D108" i="21" s="1"/>
  <c r="O105" i="21"/>
  <c r="M105" i="21"/>
  <c r="L105" i="21"/>
  <c r="K105" i="21"/>
  <c r="J105" i="21"/>
  <c r="H105" i="21"/>
  <c r="G105" i="21"/>
  <c r="F105" i="21"/>
  <c r="E105" i="21"/>
  <c r="D105" i="21"/>
  <c r="O104" i="21"/>
  <c r="E100" i="21"/>
  <c r="I99" i="21"/>
  <c r="I98" i="21"/>
  <c r="I97" i="21"/>
  <c r="L96" i="21"/>
  <c r="F96" i="21"/>
  <c r="D96" i="21"/>
  <c r="I95" i="21"/>
  <c r="Q95" i="21" s="1"/>
  <c r="Q94" i="21"/>
  <c r="I94" i="21"/>
  <c r="P93" i="21"/>
  <c r="Q93" i="21" s="1"/>
  <c r="I93" i="21"/>
  <c r="L92" i="21"/>
  <c r="F92" i="21"/>
  <c r="E92" i="21"/>
  <c r="D92" i="21"/>
  <c r="I91" i="21"/>
  <c r="Q91" i="21" s="1"/>
  <c r="N92" i="21"/>
  <c r="I90" i="21"/>
  <c r="I92" i="21" s="1"/>
  <c r="L88" i="21"/>
  <c r="I87" i="21"/>
  <c r="Q87" i="21" s="1"/>
  <c r="I86" i="21"/>
  <c r="P85" i="21"/>
  <c r="Q85" i="21" s="1"/>
  <c r="I85" i="21"/>
  <c r="L84" i="21"/>
  <c r="F84" i="21"/>
  <c r="D84" i="21"/>
  <c r="I83" i="21"/>
  <c r="Q83" i="21" s="1"/>
  <c r="I82" i="21"/>
  <c r="I84" i="21" s="1"/>
  <c r="I81" i="21"/>
  <c r="Q81" i="21" s="1"/>
  <c r="F80" i="21"/>
  <c r="D80" i="21"/>
  <c r="I79" i="21"/>
  <c r="P79" i="21" s="1"/>
  <c r="Q79" i="21" s="1"/>
  <c r="P78" i="21"/>
  <c r="I78" i="21"/>
  <c r="I80" i="21" s="1"/>
  <c r="I77" i="21"/>
  <c r="P77" i="21" s="1"/>
  <c r="Q77" i="21" s="1"/>
  <c r="F76" i="21"/>
  <c r="I75" i="21"/>
  <c r="Q75" i="21" s="1"/>
  <c r="I74" i="21"/>
  <c r="I73" i="21"/>
  <c r="Q73" i="21" s="1"/>
  <c r="F68" i="21"/>
  <c r="D68" i="21"/>
  <c r="P67" i="21"/>
  <c r="Q67" i="21" s="1"/>
  <c r="I67" i="21"/>
  <c r="I66" i="21"/>
  <c r="I65" i="21"/>
  <c r="Q65" i="21" s="1"/>
  <c r="F64" i="21"/>
  <c r="D64" i="21"/>
  <c r="I63" i="21"/>
  <c r="Q63" i="21" s="1"/>
  <c r="I62" i="21"/>
  <c r="Q61" i="21"/>
  <c r="I61" i="21"/>
  <c r="F60" i="21"/>
  <c r="D60" i="21"/>
  <c r="P59" i="21"/>
  <c r="Q59" i="21" s="1"/>
  <c r="I59" i="21"/>
  <c r="I58" i="21"/>
  <c r="P57" i="21"/>
  <c r="Q57" i="21" s="1"/>
  <c r="I57" i="21"/>
  <c r="F56" i="21"/>
  <c r="D56" i="21"/>
  <c r="P55" i="21"/>
  <c r="Q55" i="21" s="1"/>
  <c r="I55" i="21"/>
  <c r="I54" i="21"/>
  <c r="P53" i="21"/>
  <c r="I53" i="21"/>
  <c r="F48" i="21"/>
  <c r="D48" i="21"/>
  <c r="P47" i="21"/>
  <c r="I47" i="21"/>
  <c r="I46" i="21"/>
  <c r="P45" i="21"/>
  <c r="I45" i="21"/>
  <c r="F44" i="21"/>
  <c r="I43" i="21"/>
  <c r="Q43" i="21" s="1"/>
  <c r="I42" i="21"/>
  <c r="Q42" i="21" s="1"/>
  <c r="I41" i="21"/>
  <c r="Q41" i="21" s="1"/>
  <c r="F40" i="21"/>
  <c r="I39" i="21"/>
  <c r="I40" i="21" s="1"/>
  <c r="N40" i="21"/>
  <c r="I38" i="21"/>
  <c r="I37" i="21"/>
  <c r="Q37" i="21" s="1"/>
  <c r="F36" i="21"/>
  <c r="I35" i="21"/>
  <c r="I34" i="21"/>
  <c r="I36" i="21" s="1"/>
  <c r="I33" i="21"/>
  <c r="I32" i="21"/>
  <c r="F32" i="21"/>
  <c r="D32" i="21"/>
  <c r="I31" i="21"/>
  <c r="I30" i="21"/>
  <c r="I29" i="21"/>
  <c r="L24" i="21"/>
  <c r="F24" i="21"/>
  <c r="E24" i="21"/>
  <c r="I23" i="21"/>
  <c r="N24" i="21"/>
  <c r="I22" i="21"/>
  <c r="I24" i="21" s="1"/>
  <c r="I21" i="21"/>
  <c r="L16" i="21"/>
  <c r="F16" i="21"/>
  <c r="D16" i="21"/>
  <c r="I15" i="21"/>
  <c r="Q15" i="21" s="1"/>
  <c r="I14" i="21"/>
  <c r="I13" i="21"/>
  <c r="Q13" i="21" s="1"/>
  <c r="C24" i="9"/>
  <c r="D24" i="9"/>
  <c r="E24" i="9"/>
  <c r="F24" i="9"/>
  <c r="G24" i="9"/>
  <c r="I24" i="9"/>
  <c r="J24" i="9"/>
  <c r="K24" i="9"/>
  <c r="L24" i="9"/>
  <c r="N24" i="9"/>
  <c r="O24" i="9"/>
  <c r="B24" i="9"/>
  <c r="O15" i="9"/>
  <c r="M15" i="9"/>
  <c r="H15" i="9"/>
  <c r="H13" i="9"/>
  <c r="P13" i="9" s="1"/>
  <c r="O10" i="9"/>
  <c r="M10" i="9"/>
  <c r="H10" i="9"/>
  <c r="H24" i="9" s="1"/>
  <c r="O8" i="9"/>
  <c r="M8" i="9"/>
  <c r="H8" i="9"/>
  <c r="M6" i="9"/>
  <c r="P6" i="9" s="1"/>
  <c r="H6" i="9"/>
  <c r="Q39" i="21" l="1"/>
  <c r="Q53" i="21"/>
  <c r="P10" i="9"/>
  <c r="M24" i="9"/>
  <c r="Q45" i="21"/>
  <c r="I105" i="21"/>
  <c r="I106" i="21"/>
  <c r="I107" i="21"/>
  <c r="P15" i="9"/>
  <c r="Q47" i="21"/>
  <c r="P8" i="9"/>
  <c r="I16" i="21"/>
  <c r="I76" i="21"/>
  <c r="P92" i="21"/>
  <c r="Q90" i="21"/>
  <c r="P80" i="21"/>
  <c r="Q78" i="21"/>
  <c r="Q89" i="21"/>
  <c r="Q33" i="21"/>
  <c r="N64" i="21"/>
  <c r="N48" i="21"/>
  <c r="P46" i="21"/>
  <c r="N68" i="21"/>
  <c r="P66" i="21"/>
  <c r="N60" i="21"/>
  <c r="P58" i="21"/>
  <c r="P86" i="21"/>
  <c r="N88" i="21"/>
  <c r="N106" i="21"/>
  <c r="P98" i="21"/>
  <c r="P30" i="21"/>
  <c r="N32" i="21"/>
  <c r="Q31" i="21"/>
  <c r="P31" i="21"/>
  <c r="P29" i="21"/>
  <c r="Q29" i="21" s="1"/>
  <c r="P35" i="21"/>
  <c r="Q35" i="21" s="1"/>
  <c r="P44" i="21"/>
  <c r="P54" i="21"/>
  <c r="N56" i="21"/>
  <c r="N84" i="21"/>
  <c r="N96" i="21"/>
  <c r="P97" i="21"/>
  <c r="I100" i="21"/>
  <c r="I44" i="21"/>
  <c r="I56" i="21"/>
  <c r="I64" i="21"/>
  <c r="Q21" i="21"/>
  <c r="Q23" i="21"/>
  <c r="N44" i="21"/>
  <c r="P96" i="21"/>
  <c r="I48" i="21"/>
  <c r="I60" i="21"/>
  <c r="I68" i="21"/>
  <c r="N80" i="21"/>
  <c r="I96" i="21"/>
  <c r="Q22" i="21"/>
  <c r="P24" i="9" l="1"/>
  <c r="Q15" i="9" s="1"/>
  <c r="R45" i="21"/>
  <c r="I108" i="21"/>
  <c r="R47" i="21"/>
  <c r="Q10" i="9"/>
  <c r="P88" i="21"/>
  <c r="Q86" i="21"/>
  <c r="R86" i="21" s="1"/>
  <c r="P84" i="21"/>
  <c r="Q82" i="21"/>
  <c r="R82" i="21" s="1"/>
  <c r="P68" i="21"/>
  <c r="Q66" i="21"/>
  <c r="P64" i="21"/>
  <c r="Q62" i="21"/>
  <c r="P60" i="21"/>
  <c r="Q58" i="21"/>
  <c r="R58" i="21" s="1"/>
  <c r="P56" i="21"/>
  <c r="Q54" i="21"/>
  <c r="R54" i="21" s="1"/>
  <c r="P48" i="21"/>
  <c r="Q46" i="21"/>
  <c r="Q107" i="21"/>
  <c r="R107" i="21" s="1"/>
  <c r="P105" i="21"/>
  <c r="Q105" i="21"/>
  <c r="N76" i="21"/>
  <c r="P24" i="21"/>
  <c r="P32" i="21"/>
  <c r="N107" i="21"/>
  <c r="P99" i="21"/>
  <c r="P107" i="21" s="1"/>
  <c r="N100" i="21"/>
  <c r="Q24" i="21"/>
  <c r="N108" i="21"/>
  <c r="P40" i="21"/>
  <c r="Q38" i="21"/>
  <c r="N36" i="21"/>
  <c r="P34" i="21"/>
  <c r="P36" i="21" s="1"/>
  <c r="N16" i="21"/>
  <c r="Q30" i="21"/>
  <c r="Q32" i="21" s="1"/>
  <c r="R105" i="21" l="1"/>
  <c r="R102" i="21"/>
  <c r="R103" i="21"/>
  <c r="R101" i="21"/>
  <c r="R65" i="21"/>
  <c r="R87" i="21"/>
  <c r="R94" i="21"/>
  <c r="R42" i="21"/>
  <c r="R59" i="21"/>
  <c r="R43" i="21"/>
  <c r="R95" i="21"/>
  <c r="R75" i="21"/>
  <c r="R93" i="21"/>
  <c r="R41" i="21"/>
  <c r="R85" i="21"/>
  <c r="R77" i="21"/>
  <c r="R61" i="21"/>
  <c r="R63" i="21"/>
  <c r="R55" i="21"/>
  <c r="R57" i="21"/>
  <c r="R73" i="21"/>
  <c r="R81" i="21"/>
  <c r="R83" i="21"/>
  <c r="R79" i="21"/>
  <c r="R67" i="21"/>
  <c r="R91" i="21"/>
  <c r="R62" i="21"/>
  <c r="R78" i="21"/>
  <c r="R53" i="21"/>
  <c r="Q6" i="9"/>
  <c r="Q13" i="9"/>
  <c r="R46" i="21"/>
  <c r="R66" i="21"/>
  <c r="R89" i="21"/>
  <c r="Q8" i="9"/>
  <c r="R39" i="21"/>
  <c r="R90" i="21"/>
  <c r="P76" i="21"/>
  <c r="Q74" i="21"/>
  <c r="R74" i="21" s="1"/>
  <c r="R38" i="21"/>
  <c r="Q34" i="21"/>
  <c r="R21" i="21"/>
  <c r="R13" i="21"/>
  <c r="R29" i="21"/>
  <c r="R30" i="21"/>
  <c r="R35" i="21"/>
  <c r="R22" i="21"/>
  <c r="R31" i="21"/>
  <c r="R37" i="21"/>
  <c r="R15" i="21"/>
  <c r="R23" i="21"/>
  <c r="R33" i="21"/>
  <c r="Q40" i="21"/>
  <c r="P100" i="21"/>
  <c r="P106" i="21"/>
  <c r="P108" i="21" s="1"/>
  <c r="Q14" i="21"/>
  <c r="Q16" i="21" s="1"/>
  <c r="P16" i="21"/>
  <c r="Q36" i="21" l="1"/>
  <c r="R34" i="21"/>
  <c r="R14" i="21"/>
  <c r="Q106" i="21"/>
  <c r="Q108" i="21" l="1"/>
  <c r="R106" i="21"/>
  <c r="C51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S51" i="45"/>
  <c r="T51" i="45"/>
  <c r="U51" i="45"/>
  <c r="V51" i="45"/>
  <c r="W51" i="45"/>
  <c r="X51" i="45"/>
  <c r="Y51" i="45"/>
  <c r="Z51" i="45"/>
  <c r="AA51" i="45"/>
  <c r="AB51" i="45"/>
  <c r="AC51" i="45"/>
  <c r="AD51" i="45"/>
  <c r="AF51" i="45"/>
  <c r="AG51" i="45"/>
  <c r="AH51" i="45"/>
  <c r="AI51" i="45"/>
  <c r="B51" i="45"/>
  <c r="AF36" i="45"/>
  <c r="AE36" i="45"/>
  <c r="AF32" i="45"/>
  <c r="AE32" i="45"/>
  <c r="AF14" i="45"/>
  <c r="AE14" i="45"/>
  <c r="AF11" i="45"/>
  <c r="R11" i="45"/>
  <c r="R51" i="45" s="1"/>
  <c r="Q11" i="45"/>
  <c r="AE11" i="45" s="1"/>
  <c r="AF8" i="45"/>
  <c r="AE8" i="45"/>
  <c r="AE51" i="45" s="1"/>
  <c r="I19" i="32"/>
  <c r="I15" i="32"/>
  <c r="I13" i="32"/>
  <c r="I10" i="32"/>
  <c r="I6" i="32"/>
  <c r="G21" i="32"/>
  <c r="Q51" i="45" l="1"/>
  <c r="H6" i="32"/>
  <c r="H19" i="32"/>
  <c r="H15" i="32"/>
  <c r="H13" i="32"/>
  <c r="H10" i="32"/>
  <c r="D22" i="32"/>
  <c r="H22" i="32" s="1"/>
  <c r="E22" i="32"/>
  <c r="F22" i="32"/>
  <c r="G22" i="32"/>
  <c r="B22" i="32"/>
  <c r="C22" i="32"/>
  <c r="G13" i="32"/>
  <c r="G11" i="32"/>
  <c r="W23" i="60"/>
  <c r="L23" i="60"/>
  <c r="K22" i="60"/>
  <c r="K23" i="60"/>
  <c r="N17" i="60"/>
  <c r="N8" i="60"/>
  <c r="W36" i="60"/>
  <c r="V36" i="60"/>
  <c r="M36" i="60"/>
  <c r="V35" i="60"/>
  <c r="W34" i="60"/>
  <c r="V34" i="60"/>
  <c r="M34" i="60"/>
  <c r="W33" i="60"/>
  <c r="W31" i="60" s="1"/>
  <c r="M33" i="60"/>
  <c r="V33" i="60" s="1"/>
  <c r="W32" i="60"/>
  <c r="M32" i="60"/>
  <c r="V32" i="60" s="1"/>
  <c r="U31" i="60"/>
  <c r="T31" i="60"/>
  <c r="T37" i="60" s="1"/>
  <c r="S31" i="60"/>
  <c r="R31" i="60"/>
  <c r="Q31" i="60"/>
  <c r="P31" i="60"/>
  <c r="P37" i="60" s="1"/>
  <c r="O31" i="60"/>
  <c r="N31" i="60"/>
  <c r="W30" i="60"/>
  <c r="M30" i="60"/>
  <c r="V30" i="60" s="1"/>
  <c r="W29" i="60"/>
  <c r="M29" i="60"/>
  <c r="V29" i="60" s="1"/>
  <c r="W28" i="60"/>
  <c r="M28" i="60"/>
  <c r="V28" i="60" s="1"/>
  <c r="W27" i="60"/>
  <c r="M27" i="60"/>
  <c r="V27" i="60" s="1"/>
  <c r="W26" i="60"/>
  <c r="M26" i="60"/>
  <c r="V26" i="60" s="1"/>
  <c r="W25" i="60"/>
  <c r="M25" i="60"/>
  <c r="M24" i="60" s="1"/>
  <c r="U24" i="60"/>
  <c r="T24" i="60"/>
  <c r="S24" i="60"/>
  <c r="R24" i="60"/>
  <c r="Q24" i="60"/>
  <c r="P24" i="60"/>
  <c r="O24" i="60"/>
  <c r="N24" i="60"/>
  <c r="M23" i="60"/>
  <c r="V23" i="60" s="1"/>
  <c r="W22" i="60"/>
  <c r="M22" i="60"/>
  <c r="V22" i="60" s="1"/>
  <c r="W21" i="60"/>
  <c r="M21" i="60"/>
  <c r="V21" i="60" s="1"/>
  <c r="W20" i="60"/>
  <c r="M20" i="60"/>
  <c r="V20" i="60" s="1"/>
  <c r="W19" i="60"/>
  <c r="M19" i="60"/>
  <c r="W18" i="60"/>
  <c r="W17" i="60" s="1"/>
  <c r="M18" i="60"/>
  <c r="V18" i="60" s="1"/>
  <c r="U17" i="60"/>
  <c r="T17" i="60"/>
  <c r="S17" i="60"/>
  <c r="R17" i="60"/>
  <c r="Q17" i="60"/>
  <c r="P17" i="60"/>
  <c r="O17" i="60"/>
  <c r="W16" i="60"/>
  <c r="M16" i="60"/>
  <c r="V16" i="60" s="1"/>
  <c r="W15" i="60"/>
  <c r="M15" i="60"/>
  <c r="V15" i="60" s="1"/>
  <c r="W14" i="60"/>
  <c r="M14" i="60"/>
  <c r="V14" i="60" s="1"/>
  <c r="W13" i="60"/>
  <c r="V13" i="60"/>
  <c r="M13" i="60"/>
  <c r="W12" i="60"/>
  <c r="V11" i="60"/>
  <c r="V10" i="60"/>
  <c r="V9" i="60"/>
  <c r="W8" i="60"/>
  <c r="U8" i="60"/>
  <c r="T8" i="60"/>
  <c r="S8" i="60"/>
  <c r="R8" i="60"/>
  <c r="Q8" i="60"/>
  <c r="P8" i="60"/>
  <c r="O8" i="60"/>
  <c r="K36" i="60"/>
  <c r="K35" i="60"/>
  <c r="K34" i="60"/>
  <c r="K33" i="60"/>
  <c r="K32" i="60"/>
  <c r="J31" i="60" s="1"/>
  <c r="J37" i="60" s="1"/>
  <c r="L31" i="60"/>
  <c r="I31" i="60"/>
  <c r="I37" i="60" s="1"/>
  <c r="H31" i="60"/>
  <c r="H37" i="60" s="1"/>
  <c r="G31" i="60"/>
  <c r="F31" i="60"/>
  <c r="E31" i="60"/>
  <c r="E37" i="60" s="1"/>
  <c r="D31" i="60"/>
  <c r="D37" i="60" s="1"/>
  <c r="C31" i="60"/>
  <c r="B31" i="60"/>
  <c r="K30" i="60"/>
  <c r="K29" i="60"/>
  <c r="K28" i="60"/>
  <c r="K27" i="60"/>
  <c r="K26" i="60"/>
  <c r="K25" i="60"/>
  <c r="K24" i="60" s="1"/>
  <c r="L24" i="60"/>
  <c r="J24" i="60"/>
  <c r="I24" i="60"/>
  <c r="H24" i="60"/>
  <c r="G24" i="60"/>
  <c r="F24" i="60"/>
  <c r="E24" i="60"/>
  <c r="D24" i="60"/>
  <c r="C24" i="60"/>
  <c r="B24" i="60"/>
  <c r="B37" i="60" s="1"/>
  <c r="K21" i="60"/>
  <c r="K20" i="60"/>
  <c r="K19" i="60"/>
  <c r="K18" i="60"/>
  <c r="L17" i="60"/>
  <c r="J17" i="60"/>
  <c r="I17" i="60"/>
  <c r="H17" i="60"/>
  <c r="G17" i="60"/>
  <c r="G37" i="60" s="1"/>
  <c r="F17" i="60"/>
  <c r="E17" i="60"/>
  <c r="D17" i="60"/>
  <c r="C17" i="60"/>
  <c r="C37" i="60" s="1"/>
  <c r="B17" i="60"/>
  <c r="B8" i="60"/>
  <c r="K16" i="60"/>
  <c r="K15" i="60"/>
  <c r="K14" i="60"/>
  <c r="K13" i="60"/>
  <c r="K12" i="60"/>
  <c r="K11" i="60"/>
  <c r="K10" i="60"/>
  <c r="K9" i="60"/>
  <c r="L8" i="60"/>
  <c r="J8" i="60"/>
  <c r="I8" i="60"/>
  <c r="H8" i="60"/>
  <c r="G8" i="60"/>
  <c r="F8" i="60"/>
  <c r="F37" i="60" s="1"/>
  <c r="E8" i="60"/>
  <c r="D8" i="60"/>
  <c r="C8" i="60"/>
  <c r="L37" i="60" l="1"/>
  <c r="K17" i="60"/>
  <c r="K31" i="60"/>
  <c r="M8" i="60"/>
  <c r="V25" i="60"/>
  <c r="Q37" i="60"/>
  <c r="W24" i="60"/>
  <c r="W37" i="60" s="1"/>
  <c r="R37" i="60"/>
  <c r="S37" i="60"/>
  <c r="M17" i="60"/>
  <c r="U37" i="60"/>
  <c r="N37" i="60"/>
  <c r="V31" i="60"/>
  <c r="O37" i="60"/>
  <c r="I22" i="32"/>
  <c r="V24" i="60"/>
  <c r="V12" i="60"/>
  <c r="V8" i="60" s="1"/>
  <c r="M31" i="60"/>
  <c r="V19" i="60"/>
  <c r="V17" i="60" s="1"/>
  <c r="K8" i="60"/>
  <c r="M37" i="60" l="1"/>
  <c r="K37" i="60"/>
  <c r="V37" i="60"/>
  <c r="Q6" i="30" l="1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5" i="30"/>
  <c r="O22" i="30"/>
  <c r="L22" i="30"/>
  <c r="E22" i="30"/>
  <c r="F22" i="30"/>
  <c r="H22" i="30"/>
  <c r="D22" i="30"/>
  <c r="R12" i="30" l="1"/>
  <c r="R19" i="30"/>
  <c r="R18" i="30"/>
  <c r="R10" i="30"/>
  <c r="R17" i="30"/>
  <c r="R15" i="30"/>
  <c r="R7" i="30"/>
  <c r="R14" i="30"/>
  <c r="R6" i="30"/>
  <c r="R21" i="30"/>
  <c r="Q22" i="30"/>
  <c r="R9" i="30" s="1"/>
  <c r="C52" i="70"/>
  <c r="H17" i="73"/>
  <c r="F18" i="73"/>
  <c r="I30" i="70"/>
  <c r="F12" i="73"/>
  <c r="G12" i="73" s="1"/>
  <c r="G13" i="73"/>
  <c r="G10" i="73"/>
  <c r="C11" i="73"/>
  <c r="G11" i="73" s="1"/>
  <c r="C13" i="73"/>
  <c r="H43" i="70"/>
  <c r="G49" i="70"/>
  <c r="B52" i="70"/>
  <c r="G47" i="70"/>
  <c r="B35" i="70"/>
  <c r="C35" i="70"/>
  <c r="G28" i="70" s="1"/>
  <c r="D52" i="70"/>
  <c r="D35" i="70"/>
  <c r="C18" i="70"/>
  <c r="D18" i="70"/>
  <c r="B18" i="70"/>
  <c r="R5" i="30" l="1"/>
  <c r="R11" i="30"/>
  <c r="R20" i="30"/>
  <c r="R8" i="30"/>
  <c r="R13" i="30"/>
  <c r="R16" i="30"/>
  <c r="G33" i="70"/>
  <c r="C6" i="73" l="1"/>
  <c r="B18" i="73"/>
  <c r="B12" i="73"/>
  <c r="D19" i="73"/>
  <c r="C19" i="73"/>
  <c r="F24" i="73" s="1"/>
  <c r="B19" i="73"/>
  <c r="D13" i="73"/>
  <c r="B13" i="73"/>
  <c r="C7" i="73"/>
  <c r="D7" i="73"/>
  <c r="B7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<sst xmlns="http://schemas.openxmlformats.org/spreadsheetml/2006/main" count="1168" uniqueCount="759">
  <si>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</si>
  <si>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</si>
  <si>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</si>
  <si>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</si>
  <si>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</si>
  <si>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</si>
  <si>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</si>
  <si>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</si>
  <si>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>FUENTE DE FINANCIAMIENTO</t>
  </si>
  <si>
    <t xml:space="preserve"> REMUNERATIVA</t>
  </si>
  <si>
    <t>CATEGORIA</t>
  </si>
  <si>
    <t>PEA</t>
  </si>
  <si>
    <t>F-1</t>
  </si>
  <si>
    <t>SPA</t>
  </si>
  <si>
    <t>SPE</t>
  </si>
  <si>
    <t>STA</t>
  </si>
  <si>
    <t>STE</t>
  </si>
  <si>
    <t>SAA</t>
  </si>
  <si>
    <t>SAE</t>
  </si>
  <si>
    <t>S/.</t>
  </si>
  <si>
    <t>Est. %</t>
  </si>
  <si>
    <t>EST. %</t>
  </si>
  <si>
    <t>GASTOS CORRIENTES */</t>
  </si>
  <si>
    <t>TOTAL (A)</t>
  </si>
  <si>
    <t>OTROS</t>
  </si>
  <si>
    <t>COSTO ANUAL</t>
  </si>
  <si>
    <t>OBLIGACIONES DEL EMPLEADOR (CARGAS SOCIALES)</t>
  </si>
  <si>
    <t>GASTOS VARIABLES Y OCASIONALES</t>
  </si>
  <si>
    <t>TRANSFERENCIAS CAFAE</t>
  </si>
  <si>
    <t>RUBROS</t>
  </si>
  <si>
    <t>NUEVOS SOLES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</si>
  <si>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</si>
  <si>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</si>
  <si>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</si>
  <si>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</si>
  <si>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</si>
  <si>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</si>
  <si>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</si>
  <si>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</si>
  <si>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</si>
  <si>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</si>
  <si>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</si>
  <si>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</si>
  <si>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</si>
  <si>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</si>
  <si>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</si>
  <si>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</si>
  <si>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</si>
  <si>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</si>
  <si>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</si>
  <si>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</si>
  <si>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</si>
  <si>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</si>
  <si>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</si>
  <si>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</si>
  <si>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……</t>
  </si>
  <si>
    <t>ASISTENCIALES NO PROFESIONALES DE LA SALUD</t>
  </si>
  <si>
    <t>LEY DEL PROFESORADO</t>
  </si>
  <si>
    <t>CARRERA MEDICA Y PROFESIONALES  DE LA SALUD</t>
  </si>
  <si>
    <t>CARRERA JUDICIAL</t>
  </si>
  <si>
    <t>LEY UNIVERSITARIA</t>
  </si>
  <si>
    <t>LEY DEL SERVICIO DIPLOMATICO</t>
  </si>
  <si>
    <t>PERSONAL MILITAR Y POLICIAL</t>
  </si>
  <si>
    <t xml:space="preserve">OBREROS </t>
  </si>
  <si>
    <t>SERUMISTAS</t>
  </si>
  <si>
    <t xml:space="preserve">     ANIMADORES</t>
  </si>
  <si>
    <t xml:space="preserve">     ………….</t>
  </si>
  <si>
    <t xml:space="preserve">    INTERNOS DE MEDICINA HUMANA Y ODONTOLOGIA</t>
  </si>
  <si>
    <t xml:space="preserve">    SERVICIOS NO PERSONAL </t>
  </si>
  <si>
    <t xml:space="preserve">    PROYECTOS DE INVERSION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</si>
  <si>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</si>
  <si>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</si>
  <si>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</si>
  <si>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</si>
  <si>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</si>
  <si>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</si>
  <si>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</si>
  <si>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</si>
  <si>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</si>
  <si>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</si>
  <si>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</si>
  <si>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</si>
  <si>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</si>
  <si>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</si>
  <si>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</si>
  <si>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</si>
  <si>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</si>
  <si>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</si>
  <si>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</si>
  <si>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</si>
  <si>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</si>
  <si>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</si>
  <si>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</si>
  <si>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</si>
  <si>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</si>
  <si>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</si>
  <si>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</si>
  <si>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</si>
  <si>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</si>
  <si>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FAG</t>
  </si>
  <si>
    <t>TIPO DE CONTRATO</t>
  </si>
  <si>
    <t>PNUD</t>
  </si>
  <si>
    <t>SNP</t>
  </si>
  <si>
    <t>…</t>
  </si>
  <si>
    <t>PLIEGO</t>
  </si>
  <si>
    <t>UNIDAD EJECUTORA</t>
  </si>
  <si>
    <t xml:space="preserve">OTROS 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</si>
  <si>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</si>
  <si>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</si>
  <si>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</si>
  <si>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</si>
  <si>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</si>
  <si>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</si>
  <si>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</si>
  <si>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</si>
  <si>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</si>
  <si>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</si>
  <si>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</si>
  <si>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</si>
  <si>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</si>
  <si>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</si>
  <si>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</si>
  <si>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</si>
  <si>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</si>
  <si>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</si>
  <si>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</si>
  <si>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</si>
  <si>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</si>
  <si>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</si>
  <si>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</si>
  <si>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</si>
  <si>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</si>
  <si>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</si>
  <si>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</si>
  <si>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</si>
  <si>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</si>
  <si>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</si>
  <si>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</si>
  <si>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</si>
  <si>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</si>
  <si>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</si>
  <si>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</si>
  <si>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</si>
  <si>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</si>
  <si>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</si>
  <si>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</si>
  <si>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</si>
  <si>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</si>
  <si>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</si>
  <si>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</si>
  <si>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</si>
  <si>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</si>
  <si>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</si>
  <si>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</si>
  <si>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</si>
  <si>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</si>
  <si>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</si>
  <si>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</si>
  <si>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</si>
  <si>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</si>
  <si>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</si>
  <si>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</si>
  <si>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</si>
  <si>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</si>
  <si>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</si>
  <si>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</si>
  <si>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</si>
  <si>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</si>
  <si>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</si>
  <si>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</si>
  <si>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</si>
  <si>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</si>
  <si>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</si>
  <si>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</si>
  <si>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</si>
  <si>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</si>
  <si>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</si>
  <si>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</si>
  <si>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</si>
  <si>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</si>
  <si>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</si>
  <si>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</si>
  <si>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</si>
  <si>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</si>
  <si>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</si>
  <si>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</si>
  <si>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</si>
  <si>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</si>
  <si>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</si>
  <si>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</si>
  <si>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</si>
  <si>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</si>
  <si>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</si>
  <si>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</si>
  <si>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</si>
  <si>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</si>
  <si>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</si>
  <si>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</si>
  <si>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</si>
  <si>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</si>
  <si>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</si>
  <si>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</si>
  <si>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</si>
  <si>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</si>
  <si>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</si>
  <si>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</si>
  <si>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</si>
  <si>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</si>
  <si>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</si>
  <si>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</si>
  <si>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</si>
  <si>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</si>
  <si>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</si>
  <si>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</si>
  <si>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</si>
  <si>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</si>
  <si>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</si>
  <si>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</si>
  <si>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</si>
  <si>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</si>
  <si>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</si>
  <si>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</si>
  <si>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</si>
  <si>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</si>
  <si>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</si>
  <si>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</si>
  <si>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</si>
  <si>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</si>
  <si>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</si>
  <si>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</si>
  <si>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</si>
  <si>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</si>
  <si>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</si>
  <si>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</si>
  <si>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</si>
  <si>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</si>
  <si>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</si>
  <si>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</si>
  <si>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</si>
  <si>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</si>
  <si>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</si>
  <si>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</si>
  <si>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</si>
  <si>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</si>
  <si>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</si>
  <si>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</si>
  <si>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</si>
  <si>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</si>
  <si>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</si>
  <si>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</si>
  <si>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</si>
  <si>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</si>
  <si>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</si>
  <si>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</si>
  <si>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</si>
  <si>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</si>
  <si>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</si>
  <si>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</si>
  <si>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</si>
  <si>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</si>
  <si>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</si>
  <si>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</si>
  <si>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</si>
  <si>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</si>
  <si>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</si>
  <si>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</si>
  <si>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</si>
  <si>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</si>
  <si>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</si>
  <si>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</si>
  <si>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</si>
  <si>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</si>
  <si>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</si>
  <si>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</si>
  <si>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</si>
  <si>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</si>
  <si>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</si>
  <si>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</si>
  <si>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</si>
  <si>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CAFAE MENSUAL (cada persona)</t>
  </si>
  <si>
    <t>Linea Base</t>
  </si>
  <si>
    <t>Meta 2021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</si>
  <si>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</si>
  <si>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</si>
  <si>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</si>
  <si>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</si>
  <si>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</si>
  <si>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</si>
  <si>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</si>
  <si>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</si>
  <si>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</si>
  <si>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</si>
  <si>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</si>
  <si>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</si>
  <si>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</si>
  <si>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</si>
  <si>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</si>
  <si>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</si>
  <si>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</si>
  <si>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</si>
  <si>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</si>
  <si>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PLIEGOS DEL SECTOR O GOBIERNO REGIONAL</t>
  </si>
  <si>
    <t>PLIEGO O ENTIDAD DEL SECTOR</t>
  </si>
  <si>
    <t>Nombre del Indicador</t>
  </si>
  <si>
    <t>Objetivo Estrategico Institucional
(Código y Enunciado)</t>
  </si>
  <si>
    <t>Objetivo Estrategico Sectorial
(Código)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</si>
  <si>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</si>
  <si>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</si>
  <si>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</si>
  <si>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</si>
  <si>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</si>
  <si>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</si>
  <si>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</si>
  <si>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</si>
  <si>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 xml:space="preserve">Total </t>
  </si>
  <si>
    <t>S/ (****)</t>
  </si>
  <si>
    <t>S/ Anual (****)</t>
  </si>
  <si>
    <t>Practicantes (***)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</si>
  <si>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</si>
  <si>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</si>
  <si>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</si>
  <si>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</si>
  <si>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</si>
  <si>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</si>
  <si>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</si>
  <si>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</si>
  <si>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</si>
  <si>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</si>
  <si>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</si>
  <si>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</si>
  <si>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</si>
  <si>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</si>
  <si>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</si>
  <si>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</si>
  <si>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</si>
  <si>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EJECUCIÓN 
POR FUENTE DE FINANCIAMIENTO</t>
  </si>
  <si>
    <t>PIM 
POR FUENTE DE FINANCIAMIENTO</t>
  </si>
  <si>
    <t>PIA 
POR FUENTE DE FINANCIAMIENTO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</si>
  <si>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</si>
  <si>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</si>
  <si>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</si>
  <si>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</si>
  <si>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</si>
  <si>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</si>
  <si>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PIA
POR PROGRAMA PRESUPUESTAL</t>
  </si>
  <si>
    <t>PIM
POR PROGRAMA PRESUPUESTAL</t>
  </si>
  <si>
    <t>EJECUCIÓN
POR PROGRAMA PRESUPUESTAL</t>
  </si>
  <si>
    <t>Decreto Legislativo 276 (Regimen Público)</t>
  </si>
  <si>
    <t>(*) DEBE COINCIDIR CON LOS MONTOS ASIGNADOS EN LA GENERICA 1. PERSONAL Y OBLIGACIONES SOCIALES CONSIDERADAS EN EL PRESUPUESTO</t>
  </si>
  <si>
    <r>
      <t xml:space="preserve">PLIEGO: </t>
    </r>
    <r>
      <rPr>
        <sz val="9"/>
        <rFont val="Arial"/>
        <family val="2"/>
      </rPr>
      <t>Todos los pliego del sector y cada pliego del sector</t>
    </r>
  </si>
  <si>
    <t>EJECUCIÓN S/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</si>
  <si>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</si>
  <si>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</si>
  <si>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</si>
  <si>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</si>
  <si>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</si>
  <si>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</si>
  <si>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</si>
  <si>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</si>
  <si>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</si>
  <si>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</si>
  <si>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</si>
  <si>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ÍNDICE DE FORMATOS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</si>
  <si>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</si>
  <si>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</si>
  <si>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</si>
  <si>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</si>
  <si>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</si>
  <si>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</si>
  <si>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</si>
  <si>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</si>
  <si>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</si>
  <si>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</si>
  <si>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</si>
  <si>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</si>
  <si>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</si>
  <si>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</si>
  <si>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</si>
  <si>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</si>
  <si>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</si>
  <si>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</si>
  <si>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</si>
  <si>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</si>
  <si>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</si>
  <si>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</si>
  <si>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DIferencia 
(2020-2021)</t>
  </si>
  <si>
    <t>2020 (PIA)</t>
  </si>
  <si>
    <t>Variación % (2020-2021)</t>
  </si>
  <si>
    <t>Diferencia PIA (2020-2021)</t>
  </si>
  <si>
    <t>INGRESOS PERSONAL PRESUPUESTO 2020</t>
  </si>
  <si>
    <t>FORMATO 01: INDICADORES DE GESTIÓN SEGÚN OBJETIVOS ESTRATÉGICOS INSTITUCIONALES AL 2022</t>
  </si>
  <si>
    <t>FORMATO 02: DISTRIBUCIÓN DEL PRESUPUESTO POR CATEGORÍA PRESUPUESTAL 2020, 2021 Y PROYECTO 2022</t>
  </si>
  <si>
    <t>2021 (*)</t>
  </si>
  <si>
    <t>2022 (**)</t>
  </si>
  <si>
    <t>(*) Proyección al 31/12/2021</t>
  </si>
  <si>
    <t>(**) Proyecto 2022</t>
  </si>
  <si>
    <t>FORMATO 03: DISTRIBUCIÓN DEL PRESUPUESTO POR FUENTE DE FINANCIAMIENTO 2020, 2021 Y PROYECTO 2022</t>
  </si>
  <si>
    <t>FORMATO 04: DISTRIBUCIÓN DEL GASTO POR UNIDADES EJECUTORAS / ENTIDAD PÚBLICA Y FUENTES DE FINANCIAMIENTO - PROYECTO 2022</t>
  </si>
  <si>
    <t>FORMATO 05: DISTRIBUCIÓN DEL PRESUPUESTO POR PROGRAMA PRESUPUESTAL 2020, 2021 Y 2022</t>
  </si>
  <si>
    <t>FORMATO 06: PROGRAMAS SOCIALES PRIORIZADOS SEGÚN EL CICLO DE VIDA POR FUENTE DE FINANCIAMIENTO 2020, 2021 Y PROYECTO 2022</t>
  </si>
  <si>
    <t>Proyecto 2022</t>
  </si>
  <si>
    <t>Estimado 2021 (**)</t>
  </si>
  <si>
    <t>DIferencia 
(2021-2022)</t>
  </si>
  <si>
    <t>FORMATO 07: RESUMEN POR GRUPO GENÉRICO Y FUENTES DE FINANCIAMIENTO PROYECTO 2022</t>
  </si>
  <si>
    <t>GASTO CORRIENTE 2022</t>
  </si>
  <si>
    <t>GASTO CAPITAL 2022</t>
  </si>
  <si>
    <t>SERVICIO DE DEUDA 2022</t>
  </si>
  <si>
    <t>FORMATO 08: RESUMEN DE PRESUPUESTO POR FUNCIONES PIA 2020, 2021 Y PROYECTO 2022</t>
  </si>
  <si>
    <t>Var. % (2021-2022)</t>
  </si>
  <si>
    <t>FORMATO 09: COMPARATIVO DEL NÚMERO DE PLAZAS EN EL PRESUPUESTO  2021 Y PROYECTO 2022</t>
  </si>
  <si>
    <t>2021 (PIA)</t>
  </si>
  <si>
    <t>2022  (PROYECTO)</t>
  </si>
  <si>
    <t>VARIACION 2020-2021</t>
  </si>
  <si>
    <t>FORMATO 11: INGRESOS MENSUALES POR PERIODO DEL PERSONAL ACTIVO -  COMPARATIVO PRESUPUESTO 2020, 2021 Y PROYECTO 2022</t>
  </si>
  <si>
    <t>INGRESOS PERSONAL PRESUPUESTO 2021</t>
  </si>
  <si>
    <t>DIFERENCIA 
(2020 -2021)</t>
  </si>
  <si>
    <t>PROYECTO 2022</t>
  </si>
  <si>
    <t>PPTO 2020
(PIA)</t>
  </si>
  <si>
    <t>FORMATO 12: ASIGNACIÓN DE BIENES Y SERVICIOS - COMPARATIVO PRESUPUESTO 2020, 2021 Y PROYECTO 2022</t>
  </si>
  <si>
    <t>PPTO 2021 
(PIA)</t>
  </si>
  <si>
    <t>PPTO 2021
(PIM 30 JUNIO)</t>
  </si>
  <si>
    <t>PPTO 2022 (PROYECTO)</t>
  </si>
  <si>
    <t>Diferencia PIA (2021-2022)</t>
  </si>
  <si>
    <t>FORMATO 13: CONTRATOS DE OBRAS SUSCRITOS EN LOS AÑOS 2020 Y 2021</t>
  </si>
  <si>
    <t>FORMATO 14: PRINCIPALES ADQUISICIONES DE BIENES Y SERVICIOS - PRESUPUESTO 2020, 2021 Y PROYECTO 2022</t>
  </si>
  <si>
    <t>FORMATO 15: DETALLE DE CONSULTORIAS PERSONAS JURÍDICAS Y NATURALES - PRESUPUESTO 2020 Y 2021</t>
  </si>
  <si>
    <t>FORMATO 16: TESORERIA - RESUMEN POR GRUPO GENERICO Y FUENTES DE FINANCIAMIENTO 2020 Y 2021</t>
  </si>
  <si>
    <t>FORMATO 17: NOMBRES E INGRESOS MENSUALES DEL PERSONAL CONTRATADO FUERA DEL PAP EN LOS AÑOS FISCALES 2020 Y 2021</t>
  </si>
  <si>
    <t>(*) Al 30 de junio de 2021</t>
  </si>
  <si>
    <t>FORMATO 18: ALQUILER DE INMUEBLES EN LOS AÑOS FISCALES 2020 Y 2021</t>
  </si>
  <si>
    <t>(*) = Al 30 de junio de 2021</t>
  </si>
  <si>
    <t>(*) Saldo al 31 de Diciembre de 2021</t>
  </si>
  <si>
    <t>(**) Saldo al 30 de Junio de 2021</t>
  </si>
  <si>
    <t>INDICADORES DE GESTIÓN SEGÚN OBJETIVOS ESTRATÉGICOS INSTITUCIONALES AL 2022</t>
  </si>
  <si>
    <t>DISTRIBUCIÓN DEL PRESUPUESTO POR CATEGORÍA PRESUPUESTAL 2020, 2021 Y PROYECTO 2022</t>
  </si>
  <si>
    <t>DISTRIBUCIÓN DEL PRESUPUESTO POR FUENTE DE FINANCIAMIENTO 2020, 2021 Y PROYECTO 2022</t>
  </si>
  <si>
    <t>DISTRIBUCIÓN DEL GASTO POR UNIDADES EJECUTORAS / ENTIDAD PÚBLICA Y FUENTES DE FINANCIAMIENTO - PROYECTO 2022</t>
  </si>
  <si>
    <t>DISTRIBUCIÓN DEL PRESUPUESTO POR PROGRAMA PRESUPUESTAL 2020, 2021 Y 2022</t>
  </si>
  <si>
    <t>PROGRAMAS SOCIALES PRIORIZADOS SEGÚN EL CICLO DE VIDA POR FUENTE DE FINANCIAMIENTO 2020, 2021 Y PROYECTO 2022</t>
  </si>
  <si>
    <t>RESUMEN POR GRUPO GENÉRICO Y FUENTES DE FINANCIAMIENTO PROYECTO 2022</t>
  </si>
  <si>
    <t>RESUMEN DE PRESUPUESTO POR FUNCIONES PIA 2020, 2021 Y PROYECTO 2022</t>
  </si>
  <si>
    <t>COMPARATIVO DEL NÚMERO DE PLAZAS EN EL PRESUPUESTO 2020, 2021 Y PROYECTO 2022</t>
  </si>
  <si>
    <t>INFORMACIÓN DE REMUNERACIONES Y NÚMERO DE PLAZAS - PRESUPUESTO 2020, 2021 Y PROYECTO 2022</t>
  </si>
  <si>
    <t>INGRESOS MENSUALES POR PERIODO DEL PERSONAL ACTIVO -  COMPARATIVO PRESUPUESTO 2020, 2021 Y PROYECTO 2022</t>
  </si>
  <si>
    <t>ASIGNACIÓN DE BIENES Y SERVICIOS - COMPARATIVO PRESUPUESTO 2020, 2021 Y PROYECTO 2022</t>
  </si>
  <si>
    <t>CONTRATOS DE OBRAS SUSCRITOS EN LOS AÑOS 2020 Y 2021</t>
  </si>
  <si>
    <t>PRINCIPALES ADQUISICIONES DE BIENES Y SERVICIOS - PRESUPUESTO 2020, 2021 Y PROYECTO 2022</t>
  </si>
  <si>
    <t>DETALLE DE CONSULTORIAS PERSONAS JURÍDICAS Y NATURALES - PRESUPUESTO 2020, 2021 Y PROYECTO 2022</t>
  </si>
  <si>
    <t>TESORERIA - RESUMEN POR GRUPO GENERICO Y FUENTES DE FINANCIAMIENTO 2020 Y 2021</t>
  </si>
  <si>
    <t>NOMBRES E INGRESOS MENSUALES DEL PERSONAL CONTRATADO FUERA DEL PAP EN LOS AÑOS FISCALES 2020 Y 2021</t>
  </si>
  <si>
    <t>ALQUILER DE INMUEBLES EN LOS AÑOS FISCALES 2020 Y 2021</t>
  </si>
  <si>
    <t>SALDO 2021 (*)</t>
  </si>
  <si>
    <t>PPTO 2020 (AL 31/12)</t>
  </si>
  <si>
    <t>PPTO 2021 (AL 30/06)</t>
  </si>
  <si>
    <t>PPTO 2022 (PROYECCI{ON 31/12)</t>
  </si>
  <si>
    <t>2021 (JUNIO)</t>
  </si>
  <si>
    <t>PROYECCIÓN 2022 (JUNIO)</t>
  </si>
  <si>
    <t>SALDO 2021 (**)</t>
  </si>
  <si>
    <t>EJECUCIÓN 2021 (*)</t>
  </si>
  <si>
    <t>(**) Estimado al 31 de diciembre de 2021</t>
  </si>
  <si>
    <t>FORMATO Nº 10: INFORMACIÓN DE REMUNERACIONES Y NÚMERO DE PLAZAS - PRESUPUESTO 2020, 2021 Y PROYECTO 2022</t>
  </si>
  <si>
    <t>TOTAL INGRESO ANUAL PEA (Proyección al 31 de diciembre de  2021)</t>
  </si>
  <si>
    <t>TOTAL INGRESO ANUAL PEA (Proyección al 31 de diciembre de 2022)</t>
  </si>
  <si>
    <t>AÑO FISCAL 2020</t>
  </si>
  <si>
    <t>AÑO FISCAL 2021 (*)</t>
  </si>
  <si>
    <t>EJECUCIÓN 2020</t>
  </si>
  <si>
    <t>Formatos</t>
  </si>
  <si>
    <t>Rita </t>
  </si>
  <si>
    <t>Yomira</t>
  </si>
  <si>
    <t>Hojas 13,14,15,16, y 18</t>
  </si>
  <si>
    <t>Giani</t>
  </si>
  <si>
    <t>Hojas 1,2,3,4, y 6</t>
  </si>
  <si>
    <t xml:space="preserve">Hojas 5,7,8,12 y 17 </t>
  </si>
  <si>
    <t>violeta</t>
  </si>
  <si>
    <t>Hojas 09,10, y 11</t>
  </si>
  <si>
    <t>Resumen Ejecutivo</t>
  </si>
  <si>
    <t>PPT</t>
  </si>
  <si>
    <t>Hojas 5,6,7,8,9,25y 26</t>
  </si>
  <si>
    <t>Pag 01 a la 12  (Incluye cdro 1,2,3,4,5 y 6)</t>
  </si>
  <si>
    <t>Pag 13 a la 20 (Incluye cdro 7 , 8, 9,10,11 y 12) </t>
  </si>
  <si>
    <t>Pag 21 a la 27 (Incluye cdro 13,Descentralizacion,politicas publicas, concluciones)</t>
  </si>
  <si>
    <t>Hojas 15, 16, 17,18,19,20,21,22 y 23</t>
  </si>
  <si>
    <t>Hojas 9,10, 12,13,</t>
  </si>
  <si>
    <t>SECTOR o GOB. REGIONAL 449 GOBIERNO REGIONAL DEL DEPARTAMENTO DE ICA</t>
  </si>
  <si>
    <t>OET.01</t>
  </si>
  <si>
    <t>OEI.01  Fortalecer la Igualdad de oportunidades de la población de la región Ica, con énfasis en la poblacion vulnerable.</t>
  </si>
  <si>
    <t>Porcentaje de población con al menos una necesidad básica insatisfecha</t>
  </si>
  <si>
    <t>11.4% Habitantes por cada 100 (2014)</t>
  </si>
  <si>
    <t>Encuenta Nacional de Hogares (ENAHO)</t>
  </si>
  <si>
    <t>Gerencia Regional de Desarrollo Social</t>
  </si>
  <si>
    <t>OEI.02  Mejorara la calidad de la educacion para la población en la región Ica.</t>
  </si>
  <si>
    <t>Porcentaje de Niños y Niñas de segundo Grado de primaria de Instituciones Educativas Públicas, que se encuentran en el nivel satisfactorio en comprensión lectora.</t>
  </si>
  <si>
    <t>52.1% por cada 100 alunmos (2016)</t>
  </si>
  <si>
    <t>Evaluación Censal de Estudiantes (ECE)</t>
  </si>
  <si>
    <t>Dirección Regional de Educación</t>
  </si>
  <si>
    <t>Porcentaje de Niños y Niñas de segundo Grado de primaria de Instituciones Educativas Públicas, que se encuentran en el nivel satisfactorio en matemática.</t>
  </si>
  <si>
    <t>39.7% por cada 100 alumnos  (2016)</t>
  </si>
  <si>
    <t>OEI.03  Incrementar la oferta de los servicios de salud de calidad para la poblacion en la región Ica.</t>
  </si>
  <si>
    <t>Porcentaje de la población afiliada al Seguro Integral de Salud - SIS</t>
  </si>
  <si>
    <t xml:space="preserve">9.0% de cada 100 habitantes (2005) </t>
  </si>
  <si>
    <t>Dirección Regional de Salud</t>
  </si>
  <si>
    <t>Proporcion de niños de 6 a menos de 36  meses de edad con anemia</t>
  </si>
  <si>
    <t>50.6% de cada 100 habitantes (2007)</t>
  </si>
  <si>
    <t>Escuela Demografica de Salud Familiar (ENDES)</t>
  </si>
  <si>
    <t>OET.03</t>
  </si>
  <si>
    <t>OEI.04  Promover el desarrollo de la competitividad y el empleo en la región Ica.</t>
  </si>
  <si>
    <t>Porcentaje del Valor Agregado Bruto del sector minero en el departamento de Ica.</t>
  </si>
  <si>
    <t>10.9%  (2009)</t>
  </si>
  <si>
    <t>Dirección Regional de Energia y Minas</t>
  </si>
  <si>
    <t>Porcentaje del Valor Agregado Bruto del sector agropecuario del departamento de Ica.</t>
  </si>
  <si>
    <t>13.7% (2009)</t>
  </si>
  <si>
    <t>Dirección Regional Agraria</t>
  </si>
  <si>
    <t>OEI.05  Fortalecer el desarrollo de la conectividad en la región Ica.</t>
  </si>
  <si>
    <t>Porcentaje de la red vial departamental pavimentada</t>
  </si>
  <si>
    <t>6.6% de cada 100 habitantes (2014)</t>
  </si>
  <si>
    <t>Ministerio de Transporte y Comunicaciones (MTC)</t>
  </si>
  <si>
    <t>Direccion Regional de Trasnporte y Comunicaciones</t>
  </si>
  <si>
    <t>Proporcion  de la población rural con servicio de calidad en telecomunicaciones</t>
  </si>
  <si>
    <t>19.7% (2010)</t>
  </si>
  <si>
    <t>OET.02</t>
  </si>
  <si>
    <t>OEI.06  Mejorar las condiciones de habitabilidad de vivienda en la región Ica.</t>
  </si>
  <si>
    <t>Porcentaje de hogares con déficit cualitativo de viviendas</t>
  </si>
  <si>
    <t>33.9% de cada 100 habitantes  (2016)</t>
  </si>
  <si>
    <t>Dirección Regional de Vivienda Construcción y Saneamiento</t>
  </si>
  <si>
    <t>OEI.07   Ejecutar la gestión de riesgos de desastres eb la región Ica.</t>
  </si>
  <si>
    <t>Porcentaje de operatividad del Centro de Operaciones de Emergencia Regional (COER)</t>
  </si>
  <si>
    <t>68.00% de cada 100 habitantes (2013)</t>
  </si>
  <si>
    <t>Fichas de Evaluación y Operatividad de los Centros de Operaciones de Emergencia Regional</t>
  </si>
  <si>
    <t>Subgerencia de Gestión de Riesgos de Desastres</t>
  </si>
  <si>
    <t>OET.04</t>
  </si>
  <si>
    <t>OEI.08  Mejorar el aprovechamiento sostenible de los recursos naturales en la región Ica.</t>
  </si>
  <si>
    <t>Indice de Huella Ecológica</t>
  </si>
  <si>
    <t>1.7%  (2012)</t>
  </si>
  <si>
    <t>Sistema Nacional de Información Ambiental (SINIA)</t>
  </si>
  <si>
    <t>Gerencia Regional de Recursos Natrurales y Gestion del Medio Ambiente</t>
  </si>
  <si>
    <t>OET.05</t>
  </si>
  <si>
    <t>OEI.09  Reducir la inseguridad ciudadana en la región Ica.</t>
  </si>
  <si>
    <t>Porcentaje de poblacion de 15 y mas años de edad del área urbana que ha sido victima de algún acto delictivo contra su seguridad</t>
  </si>
  <si>
    <t>30.3% de cada  100 habitantes (2011)</t>
  </si>
  <si>
    <t>Encuenta Nacional de Programas Estratégicos (ENAPRES)</t>
  </si>
  <si>
    <t>Gerencia Regional de Seguridad Defensa Nacional y Gestión del Riesgo de Desastre</t>
  </si>
  <si>
    <t>OET.06</t>
  </si>
  <si>
    <t>OEI.10  Mejorara la gestión institucional</t>
  </si>
  <si>
    <t>Porcentaje de ciudadanos atendidos en el Gobierno Regional de Ica que consideran que la atención brindada fue "excelente" o "buena"</t>
  </si>
  <si>
    <t>92 % de cada 100 habitantes (2016)</t>
  </si>
  <si>
    <t>Oficina de Coordinacion Regional</t>
  </si>
  <si>
    <t>PLIEGO 449 GOBIERNO REGIONAL DEL DEPARTAMENTO DE ICA</t>
  </si>
  <si>
    <t>SECTOR o GOB. REGIONAL:  449 GOBIERNO REGIONAL DEL DEPARTAMENTO DE ICA</t>
  </si>
  <si>
    <t>21.09.21</t>
  </si>
  <si>
    <t>EJEC 21.09.21</t>
  </si>
  <si>
    <t xml:space="preserve"> -</t>
  </si>
  <si>
    <t>001. SEDE ICA</t>
  </si>
  <si>
    <t>002. PROYECTO ESPECIAL TAMBO-CCARACOCHA</t>
  </si>
  <si>
    <t>100. AGRICULTURA ICA</t>
  </si>
  <si>
    <t>200. TRANSPORTES ICA</t>
  </si>
  <si>
    <t>300. EDUCACION ICA</t>
  </si>
  <si>
    <t>301. EDUCACION CHINCHA</t>
  </si>
  <si>
    <t>302. EDUCACION NASCA</t>
  </si>
  <si>
    <t>303. EDUCACION PISCO</t>
  </si>
  <si>
    <t>304. EDUCACION PALPA</t>
  </si>
  <si>
    <t>400. SALUD ICA</t>
  </si>
  <si>
    <t>401. HOSPITAL SAN JOSE DE CHINCHA</t>
  </si>
  <si>
    <t>402. SALUD PALPA - NASCA</t>
  </si>
  <si>
    <t>403. HOSPITAL REGIONAL DE ICA</t>
  </si>
  <si>
    <t>404. HOSPITAL SAN JUAN DE DIOS - PISCO</t>
  </si>
  <si>
    <t>405. HOSPITAL DE APOYO SANTA MARIA DEL SOCORRO</t>
  </si>
  <si>
    <t>406. RED DE SALUD ICA</t>
  </si>
  <si>
    <t>407. HOSPITAL DE APOYO DE PALPA</t>
  </si>
  <si>
    <t>449 GOBIERNO REGIONAL DE ICA</t>
  </si>
  <si>
    <t>SECTOR o GOB. REGIONAL: 449 GOBIERNO REGIONAL DEL DEPARTAMENTO DE ICA</t>
  </si>
  <si>
    <t>SECTOR  o GOB. REGIONAL: 449 GOBIERNO REGIONAL DEL DEPARTAMENTO DE ICA</t>
  </si>
  <si>
    <t>SECTOR O GOB. REGIONAL: 449 GOBIERNO REGIONAL DEL DEPARTAMENTO DE ICA</t>
  </si>
  <si>
    <t>SECTOR o GOB. REGIONAL: GOBIERNO REGIONAL DEL DEPARTAMENTO DE ICA</t>
  </si>
  <si>
    <t>PLIEGO: 449 GOBIERNO REGIONAL DEL DEPARTAMENTO DE ICA</t>
  </si>
  <si>
    <t>F-7</t>
  </si>
  <si>
    <t>F-6</t>
  </si>
  <si>
    <t>F-5</t>
  </si>
  <si>
    <t>F-4</t>
  </si>
  <si>
    <t>F-3</t>
  </si>
  <si>
    <t>F-2</t>
  </si>
  <si>
    <t>SPB</t>
  </si>
  <si>
    <t>SPC</t>
  </si>
  <si>
    <t>SPD</t>
  </si>
  <si>
    <t>SPF</t>
  </si>
  <si>
    <t>STB</t>
  </si>
  <si>
    <t>STC</t>
  </si>
  <si>
    <t>STD</t>
  </si>
  <si>
    <t>STF</t>
  </si>
  <si>
    <t>SAB</t>
  </si>
  <si>
    <t>SAC</t>
  </si>
  <si>
    <t>SAD</t>
  </si>
  <si>
    <t>OTROS (CTS, PALMAS MAG, GUARDIAS HOSP, OTRAS RETRIB Y COMPL) (**)</t>
  </si>
  <si>
    <t>NO APLICA</t>
  </si>
  <si>
    <t>0039: MEJORA DE LA SANIDAD ANIMAL</t>
  </si>
  <si>
    <t>0040: MEJORA Y MANTENIMIENTO DE LA SANIDAD VEGETAL</t>
  </si>
  <si>
    <t>0041: MEJORA DE LA INOCUIDAD AGROALIMENTARIA</t>
  </si>
  <si>
    <t>0042: APROVECHAMIENTO DE LOS RECURSOS HIDRICOS PARA USO AGRARIO</t>
  </si>
  <si>
    <t>0051: PREVENCION Y TRATAMIENTO DEL CONSUMO DE DROGAS</t>
  </si>
  <si>
    <t>0068: REDUCCION DE VULNERABILIDAD Y ATENCION DE EMERGENCIAS POR DESASTRES</t>
  </si>
  <si>
    <t>0080: LUCHA CONTRA LA VIOLENCIA FAMILIAR</t>
  </si>
  <si>
    <t>0083: PROGRAMA NACIONAL DE SANEAMIENTO RURAL</t>
  </si>
  <si>
    <t>0090: LOGROS DE APRENDIZAJE DE ESTUDIANTES DE LA EDUCACION BASICA REGULAR</t>
  </si>
  <si>
    <t>0103: FORTALECIMIENTO DE LAS CONDICIONES LABORALES</t>
  </si>
  <si>
    <t>0104: REDUCCION DE LA MORTALIDAD POR EMERGENCIAS Y URGENCIAS MEDICAS</t>
  </si>
  <si>
    <t>0106: INCLUSION DE NIÑOS, NIÑAS Y JOVENES CON DISCAPACIDAD EN LA EDUCACION BASICA Y TECNICO PRODUCTIVA</t>
  </si>
  <si>
    <t>0107: MEJORA DE LA FORMACION EN CARRERAS DOCENTES EN INSTITUTOS DE EDUCACION SUPERIOR NO UNIVERSITARIA</t>
  </si>
  <si>
    <t>0116: MEJORAMIENTO DE LA EMPLEABILIDAD E INSERCION LABORAL-PROEMPLEO</t>
  </si>
  <si>
    <t>0121: MEJORA DE LA ARTICULACION DE PEQUEÑOS PRODUCTORES AL MERCADO</t>
  </si>
  <si>
    <t>0126: FORMALIZACION MINERA DE LA PEQUEÑA MINERIA Y MINERIA ARTESANAL</t>
  </si>
  <si>
    <t>0129: PREVENCION Y MANEJO DE CONDICIONES SECUNDARIAS DE SALUD EN PERSONAS CON DISCAPACIDAD</t>
  </si>
  <si>
    <t>0131: CONTROL Y PREVENCION EN SALUD MENTAL</t>
  </si>
  <si>
    <t>0138: REDUCCION DEL COSTO, TIEMPO E INSEGURIDAD EN EL SISTEMA DE TRANSPORTE</t>
  </si>
  <si>
    <t>0147: FORTALECIMIENTO DE LA EDUCACION SUPERIOR TECNOLOGICA</t>
  </si>
  <si>
    <t xml:space="preserve">0150: INCREMENTO EN EL ACCESO DE LA POBLACION A LOS SERVICIOS EDUCATIVOS PUBLICOS DE LA EDUCACION BASICA </t>
  </si>
  <si>
    <t>1002: PRODUCTOS ESPECIFICOS PARA REDUCCION DE LA VIOLENCIA CONTRA LA MUJER</t>
  </si>
  <si>
    <t>1001. PRODUCTOS ESPECIFICOS PARA DESARROLLO INFANTIL TEMPRANO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</si>
  <si>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</si>
  <si>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</si>
  <si>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</si>
  <si>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</si>
  <si>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</si>
  <si>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</si>
  <si>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PIA</t>
  </si>
  <si>
    <t>PIM</t>
  </si>
  <si>
    <t>DEV</t>
  </si>
  <si>
    <t>0150: INCREMENTO EN EL ACCESO DE LA POBLACION A LOS SERVICIOS EDUCATIVOS PUBLICOS DE LA EDUCACION BASICA</t>
  </si>
  <si>
    <t>9001: ACCIONES CENTRALES</t>
  </si>
  <si>
    <t>9002: ASIGNACIONES PRESUPUESTARIAS QUE NO RESULTAN EN PRODUCTOS</t>
  </si>
  <si>
    <t>Categoría Presupuestal 2021</t>
  </si>
  <si>
    <t>0144: CONSERVACION Y USO SOSTENIBLE DE ECOSISTEMAS PARA LA PROVISION DE SERVICIOS ECOSISTEMICOS</t>
  </si>
  <si>
    <t>BANCO DE LA NACION</t>
  </si>
  <si>
    <t>00-601-026007</t>
  </si>
  <si>
    <t>SOLES</t>
  </si>
  <si>
    <t>1. COMBUSTIBLES, CARBURANTES, LUBRICANTES Y AFINES</t>
  </si>
  <si>
    <t>1. COMPRA DE OTROS BIENES</t>
  </si>
  <si>
    <t>1. CONTRATO ADMINISTRATIVO DE SERVICIOS</t>
  </si>
  <si>
    <t>1. DE OFICINA</t>
  </si>
  <si>
    <t>1. ENSERES</t>
  </si>
  <si>
    <t>1. LOCACIÓN DE SERVICIOS RELACIONADAS AL ROL DE LA ENTIDAD</t>
  </si>
  <si>
    <t>1. MATERIALES Y UTILES DE ENSEÑANZA</t>
  </si>
  <si>
    <t>1. PRODUCTOS FARMACEUTICOS</t>
  </si>
  <si>
    <t>1. REPUESTOS Y ACCESORIOS</t>
  </si>
  <si>
    <t>1. SERVICIOS ADMINISTRATIVOS</t>
  </si>
  <si>
    <t>1. SERVICIOS DE CONSULTORIAS Y SIMILARES DESARROLLADOS POR PERSONAS JURIDICAS</t>
  </si>
  <si>
    <t>1. SERVICIOS DE ENERGIA ELECTRICA, AGUA Y GAS</t>
  </si>
  <si>
    <t>1. SERVICIOS DE LIMPIEZA, SEGURIDAD Y VIGILANCIA</t>
  </si>
  <si>
    <t>1. SUMINISTROS PARA MANTENIMIENTO Y REPARACION</t>
  </si>
  <si>
    <t>1. SUMINISTROS PARA USO AGROPECUARIO, FORESTAL Y VETERINARIO</t>
  </si>
  <si>
    <t>1. VESTUARIO, ZAPATERIA Y ACCESORIOS, TALABARTERIA Y MATERIALES TEXTILES</t>
  </si>
  <si>
    <t>1. VIAJES INTERNACIONALES</t>
  </si>
  <si>
    <t>10. SERVICIO POR ATENCIONES Y CELEBRACIONES</t>
  </si>
  <si>
    <t>11. OTROS SERVICIOS</t>
  </si>
  <si>
    <t>14. SERVICIOS TÉCNICOS Y PROFESIONALES DESARROLLADOS POR PERSONAS NATURALES</t>
  </si>
  <si>
    <t>2. AGROPECUARIO, GANADERO Y DE JARDINERIA</t>
  </si>
  <si>
    <t>2. DE EDIFICACIONES, OFICINAS Y ESTRUCTURAS</t>
  </si>
  <si>
    <t>2. MATERIAL,INSUMOS,INSTRUMENTAL Y ACCESORIOS MEDICOS,QUIRURGICOS, ODONTOLOGICOS Y DE LABORATORIO</t>
  </si>
  <si>
    <t>2. SERVICIOS DE CONSULTORIAS Y SIMILARES DESARROLLADOS POR PERSONAS NATURALES</t>
  </si>
  <si>
    <t>2. SERVICIOS DE TELEFONIA E INTERNET</t>
  </si>
  <si>
    <t>2. SERVICIOS FINANCIEROS</t>
  </si>
  <si>
    <t>2. VIAJES DOMESTICOS</t>
  </si>
  <si>
    <t>3. ASEO, LIMPIEZA Y COCINA</t>
  </si>
  <si>
    <t>3. DE CARRETERAS, CAMINOS Y PUENTES  NO CONCESIONADOS</t>
  </si>
  <si>
    <t>3. SEGUROS</t>
  </si>
  <si>
    <t>3. SERVICIO DE CAPACITACION Y PERFECCIONAMIENTO</t>
  </si>
  <si>
    <t>3. SERVICIOS DE MENSAJERIA, TELECOMUNICACIONES Y OTROS AFINES</t>
  </si>
  <si>
    <t>4. ELECTRICIDAD, ILUMINACION Y ELECTRONICA</t>
  </si>
  <si>
    <t>4. SERVICIO DE PUBLICIDAD, IMPRESIONES, DIFUSION E IMAGEN INSTITUCIONAL</t>
  </si>
  <si>
    <t>4. SERVICIOS DE PROCESAMIENTO DE DATOS E INFORMATICA</t>
  </si>
  <si>
    <t>4. SERVICIOS DE SALUD</t>
  </si>
  <si>
    <t>5. DE VEHICULOS</t>
  </si>
  <si>
    <t>5. PRACTICANTES, SECIGRISTAS Y SIMILARES</t>
  </si>
  <si>
    <t>5. SERVICIOS DE DIFUSIÓN EN EL DIARIO OFICIAL</t>
  </si>
  <si>
    <t>6. DE MOBILIARIO Y SIMILARES</t>
  </si>
  <si>
    <t>7. DE MAQUINARIAS Y EQUIPOS</t>
  </si>
  <si>
    <t>7. SERVICIOS RELACIONADOS CON EL MEDIO AMBIENTE REALIZADO POR PERSONAS JURÍDICAS</t>
  </si>
  <si>
    <t>8. SERVICIOS RELACIONADOS CON SANEAMIENTO REALIZADO POR PERSONAS JURÍDICAS</t>
  </si>
  <si>
    <t>9. SERVICIOS DE ORGANIZACION DE EVENTOS</t>
  </si>
  <si>
    <t>99. DE OTROS BIENES Y ACTIVOS</t>
  </si>
  <si>
    <t>99. OTROS</t>
  </si>
  <si>
    <t>1. ALIMENTOS DE PERSONAS</t>
  </si>
  <si>
    <t>1. ALQUILERES DE MUEBLES E INMUEBLES</t>
  </si>
  <si>
    <t>(*) DEBE COINCIDIR CON LOS MONTOS ASIGNADOS EN LA GENERICA 3. BIENES Y SERVICIOS CONSIDERADAS EN EL PRESUPUESTO 2020 - 2021 - 2022</t>
  </si>
  <si>
    <t>1ADQUISICION DE TABLERO DE CONTROL DE ENERGIA ELECTRICA PARA LA IMPLEMENTACION DEL INSTITUTO SUPERIOR TECNOLÓGICO PUBLICO NASCA DISTRITO DE NASCA, PROVINCIA DE NASCA, DEPARTAMENTO ICA</t>
  </si>
  <si>
    <t>ADJUDICACION SIMPLIFICADA</t>
  </si>
  <si>
    <t>NO CORRESPONDE</t>
  </si>
  <si>
    <t>15-2020</t>
  </si>
  <si>
    <t>CONSORCIO INGENIERIA :
20602216609 - TECNOLOGIA Y EQUIPAMIENTO KANG S.A.C.
20600451562 - CORPORACION HALLIBUR S.A.C.</t>
  </si>
  <si>
    <t>2ADQUISION DE MESAS PARA IMPLEMENTACION EN EL(LA) INSTITUTO SUPERIOR TECNOLÓGICO PUBLICO NASCA DISTRITO DE NASCA, PROVINCIA NASCA, DEPARTAMENTO IC</t>
  </si>
  <si>
    <t>002-2020</t>
  </si>
  <si>
    <t>10218706288 - BAILETTI VASQUEZ EDGARDO YVAN</t>
  </si>
  <si>
    <t>3ADQUISION DE SILLA UNIPERSONAL PARA IMPLEMENTACION EN EL(LA) INSTITUTO SUPERIOR TECNOLÓGICO PUBLICO NASCA DISTRITO DE NASCA, PROVINCIA NASCA, DEPARTAMENTO ICA</t>
  </si>
  <si>
    <t>004-2020</t>
  </si>
  <si>
    <t>20534507764 - INVERSIONES Y SERVICIOS YORANG FOX E.I.R.L.</t>
  </si>
  <si>
    <t xml:space="preserve"> ADQUISION DE MESA UNIPERSONAL PARA IMPLEMENTACION EN EL(LA) INSTITUTO SUPERIOR TECNOLÓGICO PUBLICO NASCA DISTRITO DE NASCA, PROVINCIA NASCA, DEPARTAMENTO ICA
</t>
  </si>
  <si>
    <t>COMPARACION DE PRECIOS</t>
  </si>
  <si>
    <t>003-2020</t>
  </si>
  <si>
    <t xml:space="preserve">1.RECONSTRUCCION Y REHABILITACION DEL CAMINO DEPARTAMENTAL 30KM EN EMP. IC-107 (DV A COCHARCAS) COCHARCAS QUILQUE PAMPAHUASI ESPINAL HUAMBO TINGO - L.D. HUANCAVELICA (SAUCES HV 118A ANDAMARCA)
</t>
  </si>
  <si>
    <t xml:space="preserve">PROCEDIMIENTO ESPECIAL DE CONTRATACION </t>
  </si>
  <si>
    <t>SIN MODALIDAD</t>
  </si>
  <si>
    <t>CONSORCIO TINGO :
20534500247 - CONSTRUCTORA CKL S.A.C.
20494263484 - GARCIA &amp; PICKMANN CONTRATISTAS GENERALES SAC</t>
  </si>
  <si>
    <t xml:space="preserve">2. RECONSTRUCCIÓN Y REHABILITACIÓN DE CAMINO DEPARTAMENTAL - 81 KM EN EMP. PE-26 (SAN JUAN) - HORNILLO - TOTORUME - CACACHO - SAN JUAN DE YANAC - BELLAVISTA - LISCAY - YANACO - SAN PEDRO DE HUACARPANA
</t>
  </si>
  <si>
    <t>CONSORCIO VIAL LISCAY :
20367759551 - CONSTRUCCIONES Y MAQUINARIAS DEL SUR SAC
20452371414 - R Y J CONSTRUCCIONES Y SERVICIOS S.A.C</t>
  </si>
  <si>
    <t xml:space="preserve">3. REHABILITACION Y MEJORAMIENTO DE CAMINO VECINAL -28+511KM EN EMP. PE 26 (ECHOCAN)- SIHUAY DISTRITO DE SAN JUAN DE YANAC-CHINCHA ALTA-ICA
</t>
  </si>
  <si>
    <t>005-2020</t>
  </si>
  <si>
    <t>CONSORCIO VIAL SIHUAY :
20523386469 - ALTAVISTA INVERSIONES GLOBALES SOCIEDAD ANONIMA CERRADA - AIG S.A.C.
20603476400 - CONSTRUCOES ENGENHARIA E PAVIMENTACAO ENPAVI LTDA SUCURSAL DEL PERU</t>
  </si>
  <si>
    <t xml:space="preserve">4. CONTRATACIÓN DE LA EJECUCIÓN Y FINANCIAMIENTO DEL PROYECTO DE INVERSIÓN: ELABORACIÓN DE EXPEDIENTE TÉCNICO Y EJECUCIÓN DE LA OBRA DEL PROYECTO ¿MEJORAMIENTO DE LA CARRETERA DEPARTAMENTAL IC-105, TRAMO: PROG. 1+940 (CC.PP. COMATRANA) ¿ PLAYA CARHUAZ EN LAS PROVINCIAS DE ICA Y PISCO DEPARTAMENTO DE ICA, CON CÓDIGO UNICO DE INVERSIONES N2436545
</t>
  </si>
  <si>
    <t xml:space="preserve">REGIMEN ESPECIAL OBRAS POR IMPUESTOS </t>
  </si>
  <si>
    <t>001-2021</t>
  </si>
  <si>
    <t>20367759551 - CONSTRUCCIONES Y MAQUINARIAS DEL SUR SAC</t>
  </si>
  <si>
    <t xml:space="preserve">5EJECUCION DE LA OBRA INSTALACIÓN DEL SERVICIO DE EDUCACIÓN INICIAL ESCOLARIZADO CENTRO EDUCATIVO INICIAL N°510 EN EL CONJUNTO HABITACIONAL AGRUPAMIENTO LA ANGOSTURA I ETAPA DEL DISTRITO DE SUBTANJALLA, PROVINCIA DE ICA, DE LA REGIÓN ICA EN EL MARCO DEL PR
</t>
  </si>
  <si>
    <t>014-2019</t>
  </si>
  <si>
    <t>1.187.106,55</t>
  </si>
  <si>
    <t xml:space="preserve">08/01/2020
</t>
  </si>
  <si>
    <t xml:space="preserve">TECVIA INGENIEROS S.A.C.
</t>
  </si>
  <si>
    <t>PPTO 2020 (PIM)</t>
  </si>
  <si>
    <t>SECTOR o GOB. REGIONAL:</t>
  </si>
  <si>
    <t>1SERVICIO DE CONSULTORIA PARA LA ELABORACION DE FICHA TECNICA ESTANDAR DE LA REFORMULACION DEL PROYECTO DE INVERSION AMPLIACION, MEJORAMIENTO Y EQUIPAMIENTO DE LA INFRAESTRUCTURA EN LAS INSTITUCIONES EDUCATIVAS PUBLICASPOLIDOCENTE DE EDUCACION INICIAL EN LA PROVINCIA DE ICA -ICA</t>
  </si>
  <si>
    <t xml:space="preserve">CONSORCIO EDUCATIVO :
20604749591 - FEMSYCON S.A.C.
10028683052 - GONZALES BUSTAMANTE JORGE FELIX
</t>
  </si>
  <si>
    <t>FICHA TECNICA</t>
  </si>
  <si>
    <t>2 SERVICIO DE CONSULTORIA PARA LA ELABORACION DE LA FICHA TECNICA ESTANDAR DE LA FORMULACION DEL PROYECTO DE INVERSION AMPLIACION Y MEJORAMIENTO Y EQUIPAMIENTO DE INFRAESTRUCTURA EN LAS INSTITUCIONES EDUCATIVAS PUBLICAS POLIDOCENTES DE EDUCACION INICIAL EN LA PROVINCIA DE PISCO- ICA</t>
  </si>
  <si>
    <t>CONSORCIO EDUCATIVO :
20604749591 - FEMSYCON S.A.C.
10028683052 - GONZALES BUSTAMANTE JORGE FELIX
…</t>
  </si>
  <si>
    <t>3CONTRATACION DEL SERVICIO DE CONSULTORIA PARA LA ELABORACION DE LOS FORMATOS N°06-B DE REGISTRO Y EL SUSTENTO TECNICO PARA EL PROYECTO DE INVERSION ¿MEJORAMIENTO DEL SERVICIO DE EDUCACION TECNICO PRODUCTIVA EN EL CETPRO GUADALUPE, DISTRITO DE SALAS ¿ PROVINCIA DE ICA ¿ DEPARTAMENTO DE ICA¿ Y ¿MEJORAMIENTO DEL SERVICIO DE EDUCACION TECNICO PRODUCTIVA EN EL CETPRO SN BARTOLOME SECTOR LAS CASUARINAS, DISTRITO DE ICA- PROVINCIA DE ICADEPARTAMENTO DE ICA"</t>
  </si>
  <si>
    <t>CONSORCIO CETPRO :
20494793441 - RDC INGENIEROS S.R.L.
10215363011 - MARCILLA MIRANDA MARIANO PERCY…</t>
  </si>
  <si>
    <t xml:space="preserve">FORMATOS N°06-B </t>
  </si>
  <si>
    <t>4CONTRATACION DEL SERVICIO DE CONSULTORIA PARA LA ELABORACION DE LA FICHA TECNICA ESTANDAR Y EL SUSTENTO TECNICO PARA EL PROYECTO DE INVERSION MEJORAMIENTO DEL SERVICIO DE EDUCACION SECUNDARIA Y EDUCACION PRIMARIA DE LA I.E. JOSE MARIA ARGUEDAS, DISTRITO DE PARCONA, PROVINCIA DE ICA, DEPARTAMENTO DE ICA</t>
  </si>
  <si>
    <t>20495177425 - CONSULTORES Y CONTRATISTAS E.B.A. INGENIEROS EMPRESA INDIVIDUAL DE RESPONSABILIDAD LIMITADA</t>
  </si>
  <si>
    <t>5SERVICIO DE CONSULTORIA PARA LA ELABORACION DEL FORMATO N°06 - B REGISTRO Y EL SUSTENTO TECNICO PARA EL PROYECTO DE INVERSION RECUPERACION DEL SERVICIO DEPORTIVO DE COMPETENCIA EN EL ESTADIO FELIX CASTILLO TARDIO, DISTRITO DE PUEBLO NUEVO, PROVINCIA DE CHINCHA, DEPARTAMENTO DE ICA</t>
  </si>
  <si>
    <t>CONSORCIO ESTADIO CHINCHA :
20494793441 - RDC INGENIEROS S.R.L.
10214622888 - RUIZ DE CASTILLA HUAMAN CARLOS MARTIN
10215363011 - MARCILLA MIRANDA MARIANO PERCY</t>
  </si>
  <si>
    <t xml:space="preserve">6CONTRATACIÓN DEL SERVICIO DE CONSULTORÍA PARA LA ELABORACIÓN DE LA FICHA TÉCNICA ESTÁNDAR DEL PROYECTO DE INVERSIÓN Y EL SUSTENTO DEL PROYECTO DE INVERSIÓN: MEJORAMIENTO Y AMPLIACIÓN DEL SERVICIO EDUCATIVO EN LAS INSTITUCIONES EDUCATIVAS PÚBLICAS DE NIVEL INICIAL N241, 08, 709 Y 235, EN LOS DISTRITOS DE EL CARMEN, ALTO LARAN Y CHINCHA ALTA, PROVINCIA DE CHINCHA-ICA
</t>
  </si>
  <si>
    <t xml:space="preserve">CONSORCIO CHINCHA :
10215474173 - TORRES AQUIJE JIMMY ENRIQUE
10453511613 - RISCO CARBAJAL LUZ KATHERINE
10401112460 - ECHEGARAY PACHECO PAUL GIANCARLOS
</t>
  </si>
  <si>
    <t xml:space="preserve">7CONTRATACIÓN DEL SERVICIO DE CONSULTORÍA PARA LA ELABORACIÓN DEL FORMATO 06-B DE REGISTRO Y EL SUSTENTO TÉCNICO DEL PROYECTO DE INVERSIÓN: MEJORAMIENTO DEL SERVICIO DE EDUCACIÓN SUPERIOR EN EL INSTITUTO SUPERIOR PEDAGÓGICO JUAN XXIII, DISTRITO DE ICA-PROVINCIA DE ICA-DEPARTAMENTO DE ICA.
</t>
  </si>
  <si>
    <t xml:space="preserve">20494793441 - RDC INGENIEROS S.R.L.
</t>
  </si>
  <si>
    <t xml:space="preserve">SERVICIO DE SUPERVISION DE OBRA DEL PROYECTO: MEJORAMIENTO DEL RECINTO DEPORTIVO DEL DISTRITO DE PISCO, PROVINCIA DE PISCO- REGION ICA
</t>
  </si>
  <si>
    <t>10214232273 - ALDORADIN CARRASCO WILLIAM LEONCIO</t>
  </si>
  <si>
    <t>SUPERVISION DE OBRAS</t>
  </si>
  <si>
    <t xml:space="preserve">9ELABORACIÓN DEL EXPEDIENTE TÉCNICO DE OBRA Y EQUIPAMIENTO DE LA ACTIVIDAD REPOSICIÓN Y MEJORAMIENTO DE LOS SERVICIOS DE SALUD DEL ESTABLECIMIENTO DE SALUD TAMBO DE MORA, DISTRITO DE TAMBO DE MORA, PROVINCIA DE CHINCHA, DEPARTAMENTO DE ICA
</t>
  </si>
  <si>
    <t xml:space="preserve">CONSORCIO GyS :
10220763001 - HUAYHUA ESPINOZA FELICIANO
10198001240 - ROJAS SOTO GILBERTO VIDAL
</t>
  </si>
  <si>
    <t>EXPEDIENTE TECNICO</t>
  </si>
  <si>
    <t xml:space="preserve">SERVICIO DE CONSULTORIA PARA LA REALIZACION DEL PERITAJE TECNICO FINANCIERO DE OBRA Y LA ELABORACION DEL EXPEDIENTE TECNICO DE SALDO DE OBRA MEJORAMIENTO DEL SISTEMA DE AGUA POTABLE EN LINEA DE CONDUCCION ADUCCION Y RESERVORIO (500M3)PARA LA COBERTURA DE LOS DISTRITOS DE PUEBLO NUEVO Y GROCIO PRADO
</t>
  </si>
  <si>
    <t>10222888978 - GARCIA ARTEAGA DENNIS RENALT</t>
  </si>
  <si>
    <t xml:space="preserve">CONTRATACIÓN DEL SERVICIO DE CONSULTORÍA DE OBRA PARA LA SUPERVISION DE LA ELABORACION DEL EXPEDIENTE TECNICO DE OBRA Y EQUIPAMIENTO DEL PROYECTO DE INVERSION PUBLICA MEJORAMIENTO Y AMPLIACION DE LOS SERVICIOS DE SALUD DEL ESTABLECIMIENTO DE SALUD DE APOYO DE PALPA, DISTRITO DE PALPA-PROVINCIA DE PALPA, DEPARTAMENTO DE ICA
</t>
  </si>
  <si>
    <t>20510286864 - MEGAPROYECT CONSULTORES S.A.C.</t>
  </si>
  <si>
    <t>CONTRATACIÓN DEL SERVICIO DE CONSULTORÍA DE OBRA PARA LA SUPERVISION DE LA ELABORACION DEL EXPEDIENTE TECNICO DE OBRA Y EQUIPAMIENTO DEL PROYECTO DE INVERSION PUBLICA MEJORAMIENTO DE LOS SERVICIOS DE SALUD DEL ESTABLECIMIENTO DE SALUD TUPAC AMARU, DISTRITO DE TUPAC AMARU INCA-PROVINCIA DE PISCO, DEPARTAMENTO DE ICA</t>
  </si>
  <si>
    <t xml:space="preserve">CONSORCIO TUPAC AMARU :
10421455304 - PINEDA MENESES SAMUEL MOISES
20570706170 - "RBG INGENIEROS S.A.C"
</t>
  </si>
  <si>
    <t>SUPERVISION ELABORACION DE EXPEDIENTE TECNICO</t>
  </si>
  <si>
    <t>SUPERVISION DE LA ELABORACIÓN DEL EXPEDIENTE TÉCNICO DE OBRA Y EQUIPAMIENTO DE LA ACTIVIDAD REPOSICIÓN Y MEJORAMIENTO DE LOS SERVICIOS DE SALUD DEL ESTABLECIMIENTO DE SALUD TAMBO DE MORA, DISTRITO DE TAMBO DE MORA, PROVINCIA DE CHINCHA, DEPARTAMENTO DE ICA</t>
  </si>
  <si>
    <t>10453522542 - POMA PUMACANCHARI JUAN IRWIN</t>
  </si>
  <si>
    <t xml:space="preserve">SUPERVISION DEL PROYECTO RECONSTRUCCION Y REHABILITACION DEL CAMINO DEPARTAMENTAL 30KM EN EMP. IC-107 (DV A COCHARCAS) COCHARCAS QUILQUE PAMPAHUASI ESPINAL HUAMBO TINGO - L.D. HUANCAVELICA (SAUCES HV 118A ANDAMARCA)
</t>
  </si>
  <si>
    <t xml:space="preserve">CONSORCIO LIBERTAD :
10181885934 - LUNA GUERRERO TOMAS ORLANDO
10165700541 - FERNANDEZ IDROGO SEGUNDO GRIMANIEL
</t>
  </si>
  <si>
    <t xml:space="preserve">SUPERVISION DEL PROYECTO RECONSTRUCCIÓN Y REHABILITACIÓN DE CAMINO DEPARTAMENTAL - 81 KM EN EMP. PE-26 (SAN JUAN) - HORNILLO - TOTORUME - CACACHO - SAN JUAN DE YANAC - BELLAVISTA - LISCAY - YANACO - SAN PEDRO DE HUACARPANA
</t>
  </si>
  <si>
    <t>CONSORCIO SUPERVISOR CHINCHA :
10181885934 - LUNA GUERRERO TOMAS ORLANDO
10165700541 - FERNANDEZ IDROGO SEGUNDO GRIMANIEL</t>
  </si>
  <si>
    <t xml:space="preserve">SUPERVISION DEL PROYECTO REHABILITACION Y MEJORAMIENTO DE CAMINO VECINAL -28+511KM EN EMP. PE 26 (ECHOCAN)- SIHUAY DISTRITO DE SAN JUAN DE YANAC-CHINCHA ALTA-ICA
</t>
  </si>
  <si>
    <t>CONSORCIO SAN JUAN :
10165700541 - FERNANDEZ IDROGO SEGUNDO GRIMANIEL
10181885934 - LUNA GUERRERO TOMAS ORLANDO</t>
  </si>
  <si>
    <t>SUPERVISION DE EXPEDIENTE TECNICO Y EJECUCION DEL PROYECTO ¿MEJORAMIENTO DE LA CARRETERA DEPARTAMENTAL IC 105 TRAMO: PROG. 1+940 (CC.PP. COMATRANA), DISTRITO DE ICA, PROVINCIA DE ICA-PLAYA CARHUAS, DISTRITO DE PARACAS, -PROVINCIA DE PISCO-DEPARTAMENTO DE ICA¿</t>
  </si>
  <si>
    <t xml:space="preserve">CONSORCIO JUNTOS :
10214267204 - YAÑEZ RODRIGUEZ JESUS DANIEL
10267226933 - QUIROZ AYASTA JULIO CESAR
</t>
  </si>
  <si>
    <t xml:space="preserve">CONTRATACIÓN DEL SERVICIO DE LA ENTIDAD PRIVADA SUPERVISORA DEL PROYECTO: MEJORAMIENTO Y AMPLIACION DEL SERVICIO EDUCATIVO DEL IESTP LUIS FELIPE DE LAS CASAS GRIEVE DE MARCONA, DISTRITO DE MARCONA - PROVINCIA DE NASCA- DEPARTAMENTO DE ICA (SALDO DE SUPERVISION)
</t>
  </si>
  <si>
    <t>CONSORCIO IESTP :
10214219579 - ORMEÑO CALDERON JAVIER ANTONIO
10215363011 - MARCILLA MIRANDA MARIANO PERCY</t>
  </si>
  <si>
    <t xml:space="preserve">CONTRATACIÓN DEL SERVICIO DE LA ENTIDAD PRIVADA SUPERVISORA DEL PROYECTO: SUPERVISION DE EXPEDIENTE TECNICO Y EJECUCION DEL PROYECTO ¿MEJORAMIENTO DE LA CARRETERA DEPARTAMENTAL IC 105 TRAMO: PROG. 1+940 (CC.PP. COMATRANA), DISTRITO DE ICA, PROVINCIA
</t>
  </si>
  <si>
    <t xml:space="preserve">CONSORCIO PLAYA CARHUAS 
10215363011 - MARCILLA MIRANDA MARIANO PERCY
10214622888 - RUIZ DE CASTILLA HUAMAN CARLOS MARTIN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</si>
</sst>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80A]d&quot; de &quot;mmmm&quot; de &quot;yyyy;@"/>
    <numFmt numFmtId="165" formatCode="0.0%"/>
    <numFmt numFmtId="166" formatCode="#,##0.0"/>
    <numFmt numFmtId="167" formatCode="&quot;S/&quot;#,##0.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u/>
      <sz val="8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2"/>
      <color rgb="FF22222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9"/>
      <color rgb="FF000000"/>
      <name val="Agency FB"/>
      <family val="2"/>
    </font>
    <font>
      <b/>
      <sz val="9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49" fontId="7" fillId="0" borderId="0"/>
    <xf numFmtId="0" fontId="1" fillId="0" borderId="0"/>
    <xf numFmtId="9" fontId="24" fillId="0" borderId="0" applyFont="0" applyFill="0" applyBorder="0" applyAlignment="0" applyProtection="0"/>
  </cellStyleXfs>
  <cellXfs count="636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9" fillId="0" borderId="0" xfId="0" applyFont="1"/>
    <xf numFmtId="0" fontId="9" fillId="0" borderId="3" xfId="0" applyFont="1" applyBorder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8" xfId="0" applyFont="1" applyBorder="1"/>
    <xf numFmtId="0" fontId="9" fillId="0" borderId="0" xfId="0" applyFont="1" applyBorder="1"/>
    <xf numFmtId="0" fontId="10" fillId="0" borderId="0" xfId="0" applyFont="1" applyBorder="1"/>
    <xf numFmtId="49" fontId="9" fillId="0" borderId="0" xfId="3" applyFont="1" applyAlignment="1">
      <alignment vertical="center"/>
    </xf>
    <xf numFmtId="0" fontId="9" fillId="0" borderId="13" xfId="0" applyFont="1" applyBorder="1"/>
    <xf numFmtId="0" fontId="9" fillId="0" borderId="44" xfId="0" applyFont="1" applyBorder="1"/>
    <xf numFmtId="0" fontId="9" fillId="0" borderId="45" xfId="0" applyFont="1" applyBorder="1"/>
    <xf numFmtId="0" fontId="10" fillId="0" borderId="0" xfId="0" applyFont="1"/>
    <xf numFmtId="0" fontId="9" fillId="0" borderId="14" xfId="0" applyFont="1" applyBorder="1"/>
    <xf numFmtId="0" fontId="9" fillId="0" borderId="4" xfId="0" applyFont="1" applyBorder="1"/>
    <xf numFmtId="0" fontId="9" fillId="0" borderId="20" xfId="0" applyFont="1" applyBorder="1"/>
    <xf numFmtId="0" fontId="9" fillId="0" borderId="5" xfId="0" applyFont="1" applyBorder="1"/>
    <xf numFmtId="0" fontId="9" fillId="0" borderId="18" xfId="0" applyFont="1" applyBorder="1"/>
    <xf numFmtId="49" fontId="13" fillId="0" borderId="0" xfId="1" quotePrefix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0" fontId="9" fillId="0" borderId="6" xfId="0" applyFont="1" applyBorder="1"/>
    <xf numFmtId="0" fontId="9" fillId="0" borderId="49" xfId="0" applyFont="1" applyBorder="1"/>
    <xf numFmtId="0" fontId="9" fillId="0" borderId="21" xfId="0" applyFont="1" applyBorder="1"/>
    <xf numFmtId="49" fontId="9" fillId="0" borderId="3" xfId="0" applyNumberFormat="1" applyFont="1" applyBorder="1" applyAlignment="1">
      <alignment horizontal="left"/>
    </xf>
    <xf numFmtId="0" fontId="9" fillId="0" borderId="50" xfId="0" applyFont="1" applyBorder="1"/>
    <xf numFmtId="0" fontId="9" fillId="0" borderId="7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53" xfId="0" applyFont="1" applyBorder="1"/>
    <xf numFmtId="0" fontId="9" fillId="0" borderId="0" xfId="2" applyFont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9" fillId="0" borderId="57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6" xfId="2" applyFont="1" applyBorder="1" applyAlignment="1">
      <alignment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42" xfId="2" applyFont="1" applyFill="1" applyBorder="1" applyAlignment="1">
      <alignment vertical="center"/>
    </xf>
    <xf numFmtId="0" fontId="10" fillId="2" borderId="17" xfId="2" applyFont="1" applyFill="1" applyBorder="1" applyAlignment="1">
      <alignment vertical="center"/>
    </xf>
    <xf numFmtId="0" fontId="10" fillId="2" borderId="20" xfId="2" applyFont="1" applyFill="1" applyBorder="1" applyAlignment="1">
      <alignment vertical="center"/>
    </xf>
    <xf numFmtId="0" fontId="10" fillId="2" borderId="18" xfId="2" applyFont="1" applyFill="1" applyBorder="1" applyAlignment="1">
      <alignment vertical="center"/>
    </xf>
    <xf numFmtId="0" fontId="10" fillId="2" borderId="43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14" xfId="2" applyFont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9" fillId="0" borderId="14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9" fillId="0" borderId="12" xfId="0" applyFont="1" applyBorder="1"/>
    <xf numFmtId="0" fontId="9" fillId="0" borderId="11" xfId="0" applyFont="1" applyBorder="1"/>
    <xf numFmtId="0" fontId="10" fillId="2" borderId="7" xfId="2" applyFont="1" applyFill="1" applyBorder="1" applyAlignment="1">
      <alignment horizontal="center" vertical="center"/>
    </xf>
    <xf numFmtId="0" fontId="10" fillId="0" borderId="57" xfId="2" applyFont="1" applyFill="1" applyBorder="1" applyAlignment="1">
      <alignment vertical="center"/>
    </xf>
    <xf numFmtId="0" fontId="10" fillId="2" borderId="21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9" fillId="0" borderId="57" xfId="0" applyFont="1" applyBorder="1"/>
    <xf numFmtId="0" fontId="9" fillId="0" borderId="22" xfId="0" applyFont="1" applyBorder="1"/>
    <xf numFmtId="0" fontId="9" fillId="0" borderId="59" xfId="0" applyFont="1" applyBorder="1"/>
    <xf numFmtId="0" fontId="9" fillId="0" borderId="9" xfId="0" applyFont="1" applyBorder="1"/>
    <xf numFmtId="0" fontId="9" fillId="0" borderId="16" xfId="0" applyFont="1" applyBorder="1"/>
    <xf numFmtId="164" fontId="9" fillId="0" borderId="0" xfId="0" applyNumberFormat="1" applyFont="1"/>
    <xf numFmtId="0" fontId="9" fillId="0" borderId="15" xfId="0" applyFont="1" applyBorder="1"/>
    <xf numFmtId="0" fontId="10" fillId="0" borderId="26" xfId="2" applyFont="1" applyFill="1" applyBorder="1" applyAlignment="1">
      <alignment vertical="center"/>
    </xf>
    <xf numFmtId="0" fontId="10" fillId="0" borderId="29" xfId="2" applyFont="1" applyFill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56" xfId="0" applyFont="1" applyBorder="1"/>
    <xf numFmtId="0" fontId="9" fillId="0" borderId="13" xfId="0" applyFont="1" applyBorder="1" applyAlignment="1"/>
    <xf numFmtId="0" fontId="9" fillId="0" borderId="50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0" fillId="0" borderId="4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vertical="center"/>
    </xf>
    <xf numFmtId="0" fontId="10" fillId="0" borderId="11" xfId="2" applyFont="1" applyBorder="1" applyAlignment="1">
      <alignment horizontal="left" vertical="center"/>
    </xf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2" applyFont="1" applyFill="1" applyBorder="1" applyAlignment="1">
      <alignment vertical="center"/>
    </xf>
    <xf numFmtId="0" fontId="9" fillId="0" borderId="60" xfId="0" applyFont="1" applyBorder="1"/>
    <xf numFmtId="0" fontId="10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9" fillId="0" borderId="51" xfId="0" applyFont="1" applyBorder="1"/>
    <xf numFmtId="0" fontId="10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9" fillId="0" borderId="10" xfId="0" applyFont="1" applyBorder="1"/>
    <xf numFmtId="0" fontId="9" fillId="0" borderId="0" xfId="0" applyFont="1"/>
    <xf numFmtId="0" fontId="10" fillId="2" borderId="21" xfId="2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9" fillId="0" borderId="31" xfId="0" applyNumberFormat="1" applyFont="1" applyBorder="1"/>
    <xf numFmtId="0" fontId="9" fillId="0" borderId="29" xfId="0" applyNumberFormat="1" applyFont="1" applyBorder="1"/>
    <xf numFmtId="0" fontId="9" fillId="0" borderId="37" xfId="0" applyNumberFormat="1" applyFont="1" applyBorder="1"/>
    <xf numFmtId="0" fontId="9" fillId="3" borderId="39" xfId="0" applyNumberFormat="1" applyFont="1" applyFill="1" applyBorder="1"/>
    <xf numFmtId="0" fontId="9" fillId="0" borderId="25" xfId="0" applyNumberFormat="1" applyFont="1" applyBorder="1"/>
    <xf numFmtId="0" fontId="9" fillId="0" borderId="56" xfId="0" applyFont="1" applyBorder="1" applyAlignment="1"/>
    <xf numFmtId="0" fontId="9" fillId="0" borderId="57" xfId="0" applyFont="1" applyBorder="1" applyAlignment="1"/>
    <xf numFmtId="0" fontId="9" fillId="0" borderId="0" xfId="0" applyFont="1"/>
    <xf numFmtId="0" fontId="10" fillId="2" borderId="19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164" fontId="9" fillId="0" borderId="4" xfId="0" applyNumberFormat="1" applyFont="1" applyBorder="1"/>
    <xf numFmtId="164" fontId="9" fillId="0" borderId="18" xfId="0" applyNumberFormat="1" applyFont="1" applyBorder="1"/>
    <xf numFmtId="0" fontId="9" fillId="0" borderId="50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164" fontId="9" fillId="0" borderId="60" xfId="0" applyNumberFormat="1" applyFont="1" applyBorder="1"/>
    <xf numFmtId="164" fontId="9" fillId="0" borderId="57" xfId="0" applyNumberFormat="1" applyFont="1" applyBorder="1"/>
    <xf numFmtId="164" fontId="9" fillId="0" borderId="42" xfId="0" applyNumberFormat="1" applyFont="1" applyBorder="1"/>
    <xf numFmtId="164" fontId="9" fillId="0" borderId="49" xfId="0" applyNumberFormat="1" applyFont="1" applyBorder="1"/>
    <xf numFmtId="164" fontId="9" fillId="0" borderId="50" xfId="0" applyNumberFormat="1" applyFont="1" applyBorder="1"/>
    <xf numFmtId="164" fontId="9" fillId="0" borderId="16" xfId="0" applyNumberFormat="1" applyFont="1" applyBorder="1"/>
    <xf numFmtId="0" fontId="9" fillId="0" borderId="67" xfId="0" applyFont="1" applyBorder="1"/>
    <xf numFmtId="0" fontId="10" fillId="0" borderId="0" xfId="0" applyFont="1" applyFill="1"/>
    <xf numFmtId="0" fontId="8" fillId="5" borderId="0" xfId="0" applyFont="1" applyFill="1" applyBorder="1"/>
    <xf numFmtId="0" fontId="9" fillId="5" borderId="0" xfId="0" applyFont="1" applyFill="1" applyBorder="1"/>
    <xf numFmtId="0" fontId="6" fillId="5" borderId="0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 textRotation="90" wrapText="1"/>
    </xf>
    <xf numFmtId="0" fontId="10" fillId="5" borderId="0" xfId="2" applyFont="1" applyFill="1" applyBorder="1" applyAlignment="1">
      <alignment vertical="center"/>
    </xf>
    <xf numFmtId="0" fontId="8" fillId="5" borderId="0" xfId="0" applyFont="1" applyFill="1"/>
    <xf numFmtId="0" fontId="9" fillId="0" borderId="47" xfId="2" applyFont="1" applyFill="1" applyBorder="1" applyAlignment="1">
      <alignment horizontal="left" vertical="center"/>
    </xf>
    <xf numFmtId="0" fontId="9" fillId="0" borderId="0" xfId="0" applyFont="1"/>
    <xf numFmtId="0" fontId="10" fillId="5" borderId="0" xfId="0" applyFont="1" applyFill="1"/>
    <xf numFmtId="0" fontId="10" fillId="5" borderId="0" xfId="2" applyFont="1" applyFill="1" applyAlignment="1">
      <alignment vertical="center"/>
    </xf>
    <xf numFmtId="0" fontId="10" fillId="5" borderId="0" xfId="0" applyFont="1" applyFill="1" applyBorder="1"/>
    <xf numFmtId="0" fontId="9" fillId="5" borderId="0" xfId="0" applyFont="1" applyFill="1"/>
    <xf numFmtId="0" fontId="8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/>
    <xf numFmtId="0" fontId="10" fillId="0" borderId="0" xfId="2" applyFont="1" applyFill="1" applyAlignment="1">
      <alignment vertical="center"/>
    </xf>
    <xf numFmtId="0" fontId="10" fillId="0" borderId="0" xfId="0" applyFont="1" applyFill="1" applyAlignment="1"/>
    <xf numFmtId="0" fontId="8" fillId="0" borderId="0" xfId="0" applyFont="1" applyFill="1"/>
    <xf numFmtId="0" fontId="8" fillId="0" borderId="0" xfId="2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49" fontId="8" fillId="0" borderId="0" xfId="3" applyFont="1" applyFill="1" applyAlignment="1">
      <alignment vertical="center"/>
    </xf>
    <xf numFmtId="49" fontId="8" fillId="0" borderId="0" xfId="3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2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2" applyFont="1" applyFill="1" applyAlignment="1">
      <alignment vertical="center"/>
    </xf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Fill="1" applyAlignment="1">
      <alignment horizontal="centerContinuous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8" fillId="0" borderId="0" xfId="3" applyFont="1" applyBorder="1" applyAlignment="1">
      <alignment horizontal="left" vertical="center"/>
    </xf>
    <xf numFmtId="3" fontId="17" fillId="0" borderId="0" xfId="3" applyNumberFormat="1" applyFont="1" applyBorder="1" applyAlignment="1">
      <alignment vertical="center"/>
    </xf>
    <xf numFmtId="3" fontId="17" fillId="0" borderId="0" xfId="3" applyNumberFormat="1" applyFont="1" applyAlignment="1">
      <alignment vertical="center"/>
    </xf>
    <xf numFmtId="3" fontId="17" fillId="0" borderId="0" xfId="3" applyNumberFormat="1" applyFont="1" applyAlignment="1">
      <alignment horizontal="right" vertical="center"/>
    </xf>
    <xf numFmtId="3" fontId="17" fillId="0" borderId="14" xfId="0" applyNumberFormat="1" applyFont="1" applyBorder="1"/>
    <xf numFmtId="3" fontId="17" fillId="0" borderId="0" xfId="0" applyNumberFormat="1" applyFont="1" applyBorder="1"/>
    <xf numFmtId="3" fontId="17" fillId="0" borderId="4" xfId="0" applyNumberFormat="1" applyFont="1" applyBorder="1"/>
    <xf numFmtId="3" fontId="17" fillId="0" borderId="0" xfId="0" applyNumberFormat="1" applyFont="1" applyBorder="1" applyAlignment="1"/>
    <xf numFmtId="3" fontId="17" fillId="0" borderId="14" xfId="0" applyNumberFormat="1" applyFont="1" applyBorder="1" applyAlignment="1"/>
    <xf numFmtId="0" fontId="17" fillId="0" borderId="11" xfId="0" applyFont="1" applyBorder="1"/>
    <xf numFmtId="0" fontId="18" fillId="0" borderId="0" xfId="0" applyFont="1" applyAlignment="1">
      <alignment horizontal="center" vertical="center" textRotation="90"/>
    </xf>
    <xf numFmtId="0" fontId="18" fillId="0" borderId="14" xfId="0" applyFont="1" applyBorder="1" applyAlignment="1"/>
    <xf numFmtId="0" fontId="18" fillId="0" borderId="0" xfId="0" applyFont="1" applyFill="1" applyAlignment="1">
      <alignment horizontal="center" vertical="center" wrapText="1"/>
    </xf>
    <xf numFmtId="0" fontId="17" fillId="0" borderId="14" xfId="0" applyFont="1" applyBorder="1"/>
    <xf numFmtId="3" fontId="17" fillId="0" borderId="4" xfId="0" applyNumberFormat="1" applyFont="1" applyBorder="1" applyAlignment="1"/>
    <xf numFmtId="0" fontId="17" fillId="0" borderId="0" xfId="0" applyFont="1" applyBorder="1"/>
    <xf numFmtId="0" fontId="17" fillId="0" borderId="4" xfId="0" applyFont="1" applyBorder="1"/>
    <xf numFmtId="49" fontId="18" fillId="0" borderId="19" xfId="3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9" fillId="0" borderId="43" xfId="0" applyFont="1" applyBorder="1"/>
    <xf numFmtId="0" fontId="9" fillId="0" borderId="55" xfId="2" applyFont="1" applyBorder="1" applyAlignment="1">
      <alignment horizontal="left" vertical="center"/>
    </xf>
    <xf numFmtId="0" fontId="9" fillId="0" borderId="55" xfId="0" applyFont="1" applyBorder="1"/>
    <xf numFmtId="0" fontId="9" fillId="0" borderId="55" xfId="0" applyFont="1" applyBorder="1" applyAlignment="1"/>
    <xf numFmtId="0" fontId="9" fillId="0" borderId="17" xfId="0" applyFont="1" applyBorder="1"/>
    <xf numFmtId="0" fontId="9" fillId="0" borderId="42" xfId="0" applyFont="1" applyBorder="1"/>
    <xf numFmtId="0" fontId="3" fillId="0" borderId="0" xfId="0" applyFont="1" applyAlignment="1">
      <alignment horizontal="center" vertical="center"/>
    </xf>
    <xf numFmtId="0" fontId="0" fillId="0" borderId="28" xfId="0" applyBorder="1"/>
    <xf numFmtId="0" fontId="1" fillId="0" borderId="28" xfId="0" applyFont="1" applyFill="1" applyBorder="1" applyAlignment="1">
      <alignment horizontal="left" indent="2"/>
    </xf>
    <xf numFmtId="0" fontId="1" fillId="0" borderId="28" xfId="0" applyFont="1" applyFill="1" applyBorder="1"/>
    <xf numFmtId="0" fontId="1" fillId="0" borderId="0" xfId="0" applyFont="1" applyFill="1"/>
    <xf numFmtId="0" fontId="3" fillId="6" borderId="28" xfId="0" applyFont="1" applyFill="1" applyBorder="1"/>
    <xf numFmtId="0" fontId="1" fillId="0" borderId="0" xfId="0" applyFont="1" applyFill="1" applyBorder="1"/>
    <xf numFmtId="0" fontId="3" fillId="6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6" borderId="28" xfId="0" applyFont="1" applyFill="1" applyBorder="1" applyAlignment="1">
      <alignment horizontal="right" vertical="center" indent="2"/>
    </xf>
    <xf numFmtId="0" fontId="17" fillId="0" borderId="0" xfId="0" applyFont="1"/>
    <xf numFmtId="0" fontId="3" fillId="7" borderId="28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textRotation="90" wrapText="1"/>
    </xf>
    <xf numFmtId="0" fontId="18" fillId="7" borderId="5" xfId="0" applyFont="1" applyFill="1" applyBorder="1" applyAlignment="1">
      <alignment horizontal="center" vertical="center" textRotation="90" wrapText="1"/>
    </xf>
    <xf numFmtId="0" fontId="18" fillId="7" borderId="20" xfId="0" applyFont="1" applyFill="1" applyBorder="1" applyAlignment="1">
      <alignment horizontal="center" vertical="center" textRotation="90" wrapText="1"/>
    </xf>
    <xf numFmtId="49" fontId="14" fillId="7" borderId="38" xfId="3" applyFont="1" applyFill="1" applyBorder="1" applyAlignment="1">
      <alignment horizontal="center" textRotation="90" wrapText="1"/>
    </xf>
    <xf numFmtId="49" fontId="14" fillId="7" borderId="40" xfId="3" applyFont="1" applyFill="1" applyBorder="1" applyAlignment="1">
      <alignment horizontal="center" textRotation="90" wrapText="1"/>
    </xf>
    <xf numFmtId="49" fontId="14" fillId="7" borderId="39" xfId="3" applyFont="1" applyFill="1" applyBorder="1" applyAlignment="1">
      <alignment horizontal="center" textRotation="90" wrapText="1"/>
    </xf>
    <xf numFmtId="49" fontId="14" fillId="7" borderId="52" xfId="3" applyFont="1" applyFill="1" applyBorder="1" applyAlignment="1">
      <alignment horizontal="center" textRotation="90" wrapText="1"/>
    </xf>
    <xf numFmtId="49" fontId="12" fillId="7" borderId="40" xfId="3" applyFont="1" applyFill="1" applyBorder="1" applyAlignment="1">
      <alignment horizontal="center" textRotation="90" wrapText="1"/>
    </xf>
    <xf numFmtId="49" fontId="10" fillId="7" borderId="39" xfId="3" applyFont="1" applyFill="1" applyBorder="1" applyAlignment="1">
      <alignment horizontal="center" textRotation="90" wrapText="1"/>
    </xf>
    <xf numFmtId="0" fontId="6" fillId="7" borderId="63" xfId="2" applyFont="1" applyFill="1" applyBorder="1" applyAlignment="1">
      <alignment horizontal="center" vertical="center"/>
    </xf>
    <xf numFmtId="0" fontId="6" fillId="7" borderId="47" xfId="2" applyFont="1" applyFill="1" applyBorder="1" applyAlignment="1">
      <alignment horizontal="center" vertical="center" wrapText="1"/>
    </xf>
    <xf numFmtId="0" fontId="2" fillId="7" borderId="27" xfId="2" applyFont="1" applyFill="1" applyBorder="1" applyAlignment="1">
      <alignment horizontal="center" vertical="center" textRotation="90" wrapText="1"/>
    </xf>
    <xf numFmtId="0" fontId="2" fillId="7" borderId="28" xfId="2" applyFont="1" applyFill="1" applyBorder="1" applyAlignment="1">
      <alignment horizontal="center" vertical="center" textRotation="90" wrapText="1"/>
    </xf>
    <xf numFmtId="0" fontId="6" fillId="7" borderId="28" xfId="2" applyFont="1" applyFill="1" applyBorder="1" applyAlignment="1">
      <alignment horizontal="center" vertical="center" textRotation="90" wrapText="1"/>
    </xf>
    <xf numFmtId="0" fontId="6" fillId="7" borderId="1" xfId="2" applyFont="1" applyFill="1" applyBorder="1" applyAlignment="1">
      <alignment horizontal="center" vertical="center" textRotation="90" wrapText="1"/>
    </xf>
    <xf numFmtId="0" fontId="6" fillId="7" borderId="29" xfId="2" applyFont="1" applyFill="1" applyBorder="1" applyAlignment="1">
      <alignment horizontal="center" vertical="center" textRotation="90" wrapText="1"/>
    </xf>
    <xf numFmtId="0" fontId="10" fillId="7" borderId="12" xfId="2" applyFont="1" applyFill="1" applyBorder="1" applyAlignment="1">
      <alignment horizontal="center" vertical="center"/>
    </xf>
    <xf numFmtId="0" fontId="10" fillId="7" borderId="12" xfId="2" applyFont="1" applyFill="1" applyBorder="1" applyAlignment="1">
      <alignment horizontal="center" vertical="center" wrapText="1"/>
    </xf>
    <xf numFmtId="0" fontId="10" fillId="7" borderId="21" xfId="2" applyFont="1" applyFill="1" applyBorder="1" applyAlignment="1">
      <alignment horizontal="center" vertical="center" wrapText="1"/>
    </xf>
    <xf numFmtId="0" fontId="10" fillId="7" borderId="61" xfId="2" applyFont="1" applyFill="1" applyBorder="1" applyAlignment="1">
      <alignment horizontal="center" vertical="center" wrapText="1"/>
    </xf>
    <xf numFmtId="0" fontId="10" fillId="7" borderId="31" xfId="2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textRotation="90" wrapText="1"/>
    </xf>
    <xf numFmtId="0" fontId="10" fillId="7" borderId="13" xfId="0" applyFont="1" applyFill="1" applyBorder="1" applyAlignment="1">
      <alignment horizontal="center" vertical="center" textRotation="90" wrapText="1"/>
    </xf>
    <xf numFmtId="0" fontId="10" fillId="7" borderId="50" xfId="0" applyFont="1" applyFill="1" applyBorder="1" applyAlignment="1">
      <alignment horizontal="center" vertical="center" textRotation="90" wrapText="1"/>
    </xf>
    <xf numFmtId="0" fontId="10" fillId="7" borderId="55" xfId="0" applyFont="1" applyFill="1" applyBorder="1" applyAlignment="1">
      <alignment horizontal="center" vertical="center" textRotation="90" wrapText="1"/>
    </xf>
    <xf numFmtId="0" fontId="10" fillId="7" borderId="60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>
      <alignment horizontal="center" vertical="center" textRotation="90" wrapText="1"/>
    </xf>
    <xf numFmtId="0" fontId="10" fillId="7" borderId="11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51" xfId="0" applyFont="1" applyFill="1" applyBorder="1" applyAlignment="1">
      <alignment horizontal="center"/>
    </xf>
    <xf numFmtId="0" fontId="10" fillId="7" borderId="51" xfId="0" quotePrefix="1" applyFont="1" applyFill="1" applyBorder="1" applyAlignment="1">
      <alignment horizontal="center"/>
    </xf>
    <xf numFmtId="0" fontId="10" fillId="7" borderId="58" xfId="0" quotePrefix="1" applyFont="1" applyFill="1" applyBorder="1" applyAlignment="1">
      <alignment horizontal="center"/>
    </xf>
    <xf numFmtId="0" fontId="10" fillId="7" borderId="9" xfId="0" quotePrefix="1" applyFont="1" applyFill="1" applyBorder="1" applyAlignment="1">
      <alignment horizontal="center"/>
    </xf>
    <xf numFmtId="0" fontId="10" fillId="7" borderId="8" xfId="0" quotePrefix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5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 wrapText="1"/>
    </xf>
    <xf numFmtId="0" fontId="10" fillId="7" borderId="19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64" fontId="10" fillId="7" borderId="42" xfId="0" applyNumberFormat="1" applyFont="1" applyFill="1" applyBorder="1" applyAlignment="1">
      <alignment horizontal="center" textRotation="90" wrapText="1"/>
    </xf>
    <xf numFmtId="164" fontId="10" fillId="7" borderId="16" xfId="0" applyNumberFormat="1" applyFont="1" applyFill="1" applyBorder="1" applyAlignment="1">
      <alignment horizontal="center" textRotation="90" wrapText="1"/>
    </xf>
    <xf numFmtId="164" fontId="10" fillId="7" borderId="43" xfId="0" applyNumberFormat="1" applyFont="1" applyFill="1" applyBorder="1" applyAlignment="1">
      <alignment horizontal="center" textRotation="90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164" fontId="10" fillId="7" borderId="16" xfId="0" applyNumberFormat="1" applyFont="1" applyFill="1" applyBorder="1" applyAlignment="1">
      <alignment horizontal="center" vertical="center" textRotation="90" wrapText="1"/>
    </xf>
    <xf numFmtId="164" fontId="10" fillId="7" borderId="43" xfId="0" applyNumberFormat="1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49" fontId="19" fillId="7" borderId="42" xfId="3" applyFont="1" applyFill="1" applyBorder="1" applyAlignment="1">
      <alignment horizontal="center" textRotation="90" wrapText="1"/>
    </xf>
    <xf numFmtId="49" fontId="19" fillId="7" borderId="16" xfId="3" applyFont="1" applyFill="1" applyBorder="1" applyAlignment="1">
      <alignment horizontal="center" textRotation="90" wrapText="1"/>
    </xf>
    <xf numFmtId="49" fontId="19" fillId="7" borderId="17" xfId="3" applyFont="1" applyFill="1" applyBorder="1" applyAlignment="1">
      <alignment horizontal="center" textRotation="90" wrapText="1"/>
    </xf>
    <xf numFmtId="49" fontId="6" fillId="7" borderId="42" xfId="3" applyNumberFormat="1" applyFont="1" applyFill="1" applyBorder="1" applyAlignment="1" applyProtection="1">
      <alignment horizontal="center" textRotation="90" wrapText="1"/>
    </xf>
    <xf numFmtId="49" fontId="6" fillId="7" borderId="43" xfId="3" applyFont="1" applyFill="1" applyBorder="1" applyAlignment="1">
      <alignment horizontal="center" textRotation="90" wrapText="1"/>
    </xf>
    <xf numFmtId="49" fontId="2" fillId="0" borderId="62" xfId="3" applyFont="1" applyBorder="1" applyAlignment="1">
      <alignment vertical="center"/>
    </xf>
    <xf numFmtId="4" fontId="6" fillId="0" borderId="22" xfId="3" applyNumberFormat="1" applyFont="1" applyBorder="1" applyAlignment="1">
      <alignment vertical="center"/>
    </xf>
    <xf numFmtId="4" fontId="6" fillId="0" borderId="23" xfId="3" applyNumberFormat="1" applyFont="1" applyBorder="1" applyAlignment="1">
      <alignment vertical="center"/>
    </xf>
    <xf numFmtId="4" fontId="6" fillId="0" borderId="24" xfId="3" applyNumberFormat="1" applyFont="1" applyBorder="1" applyAlignment="1">
      <alignment vertical="center"/>
    </xf>
    <xf numFmtId="49" fontId="2" fillId="0" borderId="2" xfId="3" applyFont="1" applyBorder="1" applyAlignment="1">
      <alignment vertical="center"/>
    </xf>
    <xf numFmtId="4" fontId="6" fillId="0" borderId="26" xfId="3" applyNumberFormat="1" applyFont="1" applyBorder="1" applyAlignment="1">
      <alignment vertical="center"/>
    </xf>
    <xf numFmtId="4" fontId="6" fillId="0" borderId="28" xfId="3" applyNumberFormat="1" applyFont="1" applyBorder="1" applyAlignment="1">
      <alignment vertical="center"/>
    </xf>
    <xf numFmtId="4" fontId="6" fillId="0" borderId="1" xfId="3" applyNumberFormat="1" applyFont="1" applyBorder="1" applyAlignment="1">
      <alignment vertical="center"/>
    </xf>
    <xf numFmtId="4" fontId="2" fillId="0" borderId="26" xfId="3" applyNumberFormat="1" applyFont="1" applyBorder="1" applyAlignment="1">
      <alignment horizontal="justify" vertical="center"/>
    </xf>
    <xf numFmtId="4" fontId="2" fillId="0" borderId="28" xfId="3" applyNumberFormat="1" applyFont="1" applyBorder="1" applyAlignment="1">
      <alignment horizontal="justify" vertical="center"/>
    </xf>
    <xf numFmtId="4" fontId="2" fillId="0" borderId="28" xfId="3" applyNumberFormat="1" applyFont="1" applyBorder="1" applyAlignment="1">
      <alignment horizontal="right" vertical="center"/>
    </xf>
    <xf numFmtId="4" fontId="2" fillId="0" borderId="1" xfId="3" applyNumberFormat="1" applyFont="1" applyBorder="1" applyAlignment="1">
      <alignment horizontal="justify" vertical="center"/>
    </xf>
    <xf numFmtId="4" fontId="2" fillId="0" borderId="1" xfId="3" applyNumberFormat="1" applyFont="1" applyBorder="1" applyAlignment="1">
      <alignment horizontal="right" vertical="center"/>
    </xf>
    <xf numFmtId="4" fontId="2" fillId="0" borderId="26" xfId="3" applyNumberFormat="1" applyFont="1" applyBorder="1" applyAlignment="1">
      <alignment vertical="center"/>
    </xf>
    <xf numFmtId="4" fontId="2" fillId="0" borderId="28" xfId="3" applyNumberFormat="1" applyFont="1" applyBorder="1" applyAlignment="1">
      <alignment vertical="center"/>
    </xf>
    <xf numFmtId="4" fontId="2" fillId="0" borderId="1" xfId="3" applyNumberFormat="1" applyFont="1" applyBorder="1" applyAlignment="1">
      <alignment vertical="center"/>
    </xf>
    <xf numFmtId="49" fontId="2" fillId="0" borderId="1" xfId="3" applyFont="1" applyBorder="1" applyAlignment="1">
      <alignment vertical="center"/>
    </xf>
    <xf numFmtId="49" fontId="2" fillId="0" borderId="26" xfId="3" applyFont="1" applyBorder="1" applyAlignment="1">
      <alignment vertical="center"/>
    </xf>
    <xf numFmtId="49" fontId="6" fillId="2" borderId="19" xfId="3" applyFont="1" applyFill="1" applyBorder="1" applyAlignment="1">
      <alignment horizontal="center" vertical="center"/>
    </xf>
    <xf numFmtId="4" fontId="6" fillId="2" borderId="42" xfId="3" applyNumberFormat="1" applyFont="1" applyFill="1" applyBorder="1" applyAlignment="1">
      <alignment horizontal="right" vertical="center"/>
    </xf>
    <xf numFmtId="4" fontId="6" fillId="2" borderId="16" xfId="3" applyNumberFormat="1" applyFont="1" applyFill="1" applyBorder="1" applyAlignment="1">
      <alignment horizontal="right" vertical="center"/>
    </xf>
    <xf numFmtId="4" fontId="6" fillId="2" borderId="17" xfId="3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0" xfId="0" quotePrefix="1" applyFont="1" applyFill="1" applyAlignment="1"/>
    <xf numFmtId="0" fontId="6" fillId="7" borderId="42" xfId="0" applyFont="1" applyFill="1" applyBorder="1" applyAlignment="1">
      <alignment horizontal="center" vertical="center" textRotation="90" wrapText="1"/>
    </xf>
    <xf numFmtId="0" fontId="6" fillId="7" borderId="16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0" fontId="6" fillId="7" borderId="18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0" fillId="0" borderId="14" xfId="0" applyFont="1" applyFill="1" applyBorder="1" applyAlignment="1">
      <alignment wrapText="1"/>
    </xf>
    <xf numFmtId="3" fontId="6" fillId="0" borderId="57" xfId="0" applyNumberFormat="1" applyFont="1" applyBorder="1"/>
    <xf numFmtId="3" fontId="6" fillId="0" borderId="50" xfId="0" applyNumberFormat="1" applyFont="1" applyBorder="1"/>
    <xf numFmtId="3" fontId="6" fillId="0" borderId="13" xfId="0" applyNumberFormat="1" applyFont="1" applyBorder="1"/>
    <xf numFmtId="3" fontId="6" fillId="0" borderId="4" xfId="0" applyNumberFormat="1" applyFont="1" applyBorder="1"/>
    <xf numFmtId="0" fontId="2" fillId="0" borderId="14" xfId="0" applyFont="1" applyFill="1" applyBorder="1" applyAlignment="1">
      <alignment wrapText="1"/>
    </xf>
    <xf numFmtId="3" fontId="2" fillId="0" borderId="57" xfId="0" applyNumberFormat="1" applyFont="1" applyBorder="1"/>
    <xf numFmtId="3" fontId="2" fillId="0" borderId="50" xfId="0" applyNumberFormat="1" applyFont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quotePrefix="1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 wrapText="1"/>
    </xf>
    <xf numFmtId="3" fontId="6" fillId="0" borderId="69" xfId="0" applyNumberFormat="1" applyFont="1" applyFill="1" applyBorder="1"/>
    <xf numFmtId="3" fontId="6" fillId="0" borderId="70" xfId="0" applyNumberFormat="1" applyFont="1" applyFill="1" applyBorder="1"/>
    <xf numFmtId="3" fontId="6" fillId="0" borderId="71" xfId="0" applyNumberFormat="1" applyFont="1" applyFill="1" applyBorder="1"/>
    <xf numFmtId="3" fontId="6" fillId="0" borderId="68" xfId="0" applyNumberFormat="1" applyFont="1" applyFill="1" applyBorder="1"/>
    <xf numFmtId="0" fontId="6" fillId="0" borderId="5" xfId="0" applyFont="1" applyFill="1" applyBorder="1" applyAlignment="1">
      <alignment horizontal="center" wrapText="1"/>
    </xf>
    <xf numFmtId="3" fontId="6" fillId="0" borderId="42" xfId="0" applyNumberFormat="1" applyFont="1" applyFill="1" applyBorder="1"/>
    <xf numFmtId="3" fontId="6" fillId="0" borderId="20" xfId="0" applyNumberFormat="1" applyFont="1" applyFill="1" applyBorder="1"/>
    <xf numFmtId="3" fontId="6" fillId="0" borderId="15" xfId="0" applyNumberFormat="1" applyFont="1" applyFill="1" applyBorder="1"/>
    <xf numFmtId="3" fontId="6" fillId="0" borderId="18" xfId="0" applyNumberFormat="1" applyFont="1" applyFill="1" applyBorder="1"/>
    <xf numFmtId="3" fontId="6" fillId="0" borderId="72" xfId="0" applyNumberFormat="1" applyFont="1" applyFill="1" applyBorder="1"/>
    <xf numFmtId="3" fontId="2" fillId="0" borderId="60" xfId="0" applyNumberFormat="1" applyFont="1" applyFill="1" applyBorder="1"/>
    <xf numFmtId="3" fontId="2" fillId="0" borderId="48" xfId="0" applyNumberFormat="1" applyFont="1" applyFill="1" applyBorder="1"/>
    <xf numFmtId="3" fontId="2" fillId="0" borderId="54" xfId="0" applyNumberFormat="1" applyFont="1" applyFill="1" applyBorder="1"/>
    <xf numFmtId="3" fontId="2" fillId="0" borderId="53" xfId="0" applyNumberFormat="1" applyFont="1" applyFill="1" applyBorder="1"/>
    <xf numFmtId="3" fontId="2" fillId="0" borderId="21" xfId="0" applyNumberFormat="1" applyFont="1" applyFill="1" applyBorder="1"/>
    <xf numFmtId="3" fontId="6" fillId="0" borderId="43" xfId="0" applyNumberFormat="1" applyFont="1" applyFill="1" applyBorder="1"/>
    <xf numFmtId="3" fontId="6" fillId="0" borderId="73" xfId="0" applyNumberFormat="1" applyFont="1" applyFill="1" applyBorder="1"/>
    <xf numFmtId="3" fontId="2" fillId="0" borderId="49" xfId="0" applyNumberFormat="1" applyFont="1" applyFill="1" applyBorder="1"/>
    <xf numFmtId="3" fontId="6" fillId="0" borderId="16" xfId="0" applyNumberFormat="1" applyFont="1" applyFill="1" applyBorder="1"/>
    <xf numFmtId="0" fontId="3" fillId="0" borderId="0" xfId="2" applyFont="1" applyFill="1" applyAlignment="1">
      <alignment vertical="center"/>
    </xf>
    <xf numFmtId="0" fontId="3" fillId="5" borderId="0" xfId="0" applyFont="1" applyFill="1"/>
    <xf numFmtId="0" fontId="10" fillId="0" borderId="55" xfId="2" applyFont="1" applyFill="1" applyBorder="1" applyAlignment="1">
      <alignment vertical="center"/>
    </xf>
    <xf numFmtId="0" fontId="9" fillId="0" borderId="55" xfId="2" applyFont="1" applyBorder="1" applyAlignment="1">
      <alignment vertical="center"/>
    </xf>
    <xf numFmtId="0" fontId="10" fillId="0" borderId="50" xfId="2" applyFont="1" applyFill="1" applyBorder="1" applyAlignment="1">
      <alignment vertical="center"/>
    </xf>
    <xf numFmtId="0" fontId="9" fillId="0" borderId="50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9" fillId="0" borderId="0" xfId="4" applyFont="1"/>
    <xf numFmtId="0" fontId="9" fillId="0" borderId="20" xfId="4" applyFont="1" applyBorder="1"/>
    <xf numFmtId="0" fontId="10" fillId="0" borderId="11" xfId="4" applyFont="1" applyBorder="1" applyAlignment="1">
      <alignment horizontal="center"/>
    </xf>
    <xf numFmtId="0" fontId="10" fillId="0" borderId="7" xfId="4" applyFont="1" applyBorder="1" applyAlignment="1">
      <alignment horizontal="center"/>
    </xf>
    <xf numFmtId="0" fontId="9" fillId="0" borderId="4" xfId="4" applyFont="1" applyBorder="1"/>
    <xf numFmtId="0" fontId="9" fillId="0" borderId="14" xfId="4" applyFont="1" applyBorder="1"/>
    <xf numFmtId="0" fontId="9" fillId="0" borderId="0" xfId="4" applyFont="1" applyBorder="1"/>
    <xf numFmtId="0" fontId="9" fillId="0" borderId="8" xfId="4" applyFont="1" applyBorder="1"/>
    <xf numFmtId="0" fontId="9" fillId="0" borderId="11" xfId="4" applyFont="1" applyBorder="1"/>
    <xf numFmtId="3" fontId="9" fillId="0" borderId="4" xfId="4" applyNumberFormat="1" applyFont="1" applyBorder="1"/>
    <xf numFmtId="3" fontId="9" fillId="0" borderId="14" xfId="4" applyNumberFormat="1" applyFont="1" applyBorder="1"/>
    <xf numFmtId="3" fontId="9" fillId="0" borderId="0" xfId="4" applyNumberFormat="1" applyFont="1" applyBorder="1"/>
    <xf numFmtId="3" fontId="9" fillId="0" borderId="4" xfId="4" applyNumberFormat="1" applyFont="1" applyBorder="1" applyAlignment="1"/>
    <xf numFmtId="0" fontId="9" fillId="0" borderId="21" xfId="4" applyFont="1" applyBorder="1"/>
    <xf numFmtId="0" fontId="9" fillId="0" borderId="12" xfId="4" applyFont="1" applyBorder="1"/>
    <xf numFmtId="0" fontId="10" fillId="0" borderId="0" xfId="4" applyFont="1" applyFill="1" applyAlignment="1">
      <alignment horizontal="center"/>
    </xf>
    <xf numFmtId="0" fontId="10" fillId="8" borderId="18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 wrapText="1"/>
    </xf>
    <xf numFmtId="0" fontId="10" fillId="8" borderId="19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/>
    </xf>
    <xf numFmtId="0" fontId="16" fillId="0" borderId="0" xfId="4" applyFont="1" applyFill="1"/>
    <xf numFmtId="0" fontId="8" fillId="0" borderId="0" xfId="4" applyFont="1" applyFill="1"/>
    <xf numFmtId="0" fontId="8" fillId="0" borderId="0" xfId="4" applyFont="1" applyFill="1" applyAlignment="1"/>
    <xf numFmtId="0" fontId="10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6" borderId="36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3" fillId="0" borderId="28" xfId="0" applyFont="1" applyBorder="1" applyAlignment="1">
      <alignment horizontal="left" vertical="center"/>
    </xf>
    <xf numFmtId="0" fontId="22" fillId="9" borderId="0" xfId="0" applyFont="1" applyFill="1" applyAlignment="1">
      <alignment horizontal="center"/>
    </xf>
    <xf numFmtId="0" fontId="21" fillId="10" borderId="28" xfId="0" applyFont="1" applyFill="1" applyBorder="1" applyAlignment="1">
      <alignment vertical="center"/>
    </xf>
    <xf numFmtId="0" fontId="21" fillId="0" borderId="27" xfId="0" applyFont="1" applyBorder="1" applyAlignment="1">
      <alignment wrapText="1"/>
    </xf>
    <xf numFmtId="0" fontId="21" fillId="10" borderId="23" xfId="0" applyFont="1" applyFill="1" applyBorder="1" applyAlignment="1">
      <alignment vertical="center"/>
    </xf>
    <xf numFmtId="0" fontId="21" fillId="0" borderId="45" xfId="0" applyFont="1" applyBorder="1" applyAlignment="1">
      <alignment wrapText="1"/>
    </xf>
    <xf numFmtId="0" fontId="21" fillId="0" borderId="0" xfId="0" applyFont="1"/>
    <xf numFmtId="0" fontId="21" fillId="0" borderId="27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28" xfId="0" applyFont="1" applyBorder="1" applyAlignment="1">
      <alignment wrapText="1"/>
    </xf>
    <xf numFmtId="0" fontId="6" fillId="7" borderId="23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165" fontId="2" fillId="0" borderId="28" xfId="5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9" fontId="2" fillId="0" borderId="28" xfId="5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justify" vertical="center" wrapText="1"/>
    </xf>
    <xf numFmtId="10" fontId="2" fillId="0" borderId="28" xfId="5" applyNumberFormat="1" applyFont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justify" vertical="center" wrapText="1"/>
    </xf>
    <xf numFmtId="0" fontId="2" fillId="16" borderId="38" xfId="0" applyFont="1" applyFill="1" applyBorder="1" applyAlignment="1">
      <alignment horizontal="justify" vertical="center" wrapText="1"/>
    </xf>
    <xf numFmtId="0" fontId="25" fillId="0" borderId="38" xfId="0" applyFont="1" applyBorder="1" applyAlignment="1">
      <alignment horizontal="justify" vertical="center" wrapText="1"/>
    </xf>
    <xf numFmtId="0" fontId="25" fillId="0" borderId="40" xfId="0" applyFont="1" applyBorder="1" applyAlignment="1">
      <alignment horizontal="justify" vertical="center" wrapText="1"/>
    </xf>
    <xf numFmtId="165" fontId="2" fillId="0" borderId="40" xfId="5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/>
    <xf numFmtId="3" fontId="3" fillId="6" borderId="28" xfId="0" applyNumberFormat="1" applyFont="1" applyFill="1" applyBorder="1" applyAlignment="1">
      <alignment vertical="center"/>
    </xf>
    <xf numFmtId="3" fontId="1" fillId="0" borderId="0" xfId="0" applyNumberFormat="1" applyFont="1" applyFill="1"/>
    <xf numFmtId="166" fontId="1" fillId="0" borderId="0" xfId="0" applyNumberFormat="1" applyFont="1" applyFill="1" applyBorder="1"/>
    <xf numFmtId="3" fontId="1" fillId="0" borderId="55" xfId="0" applyNumberFormat="1" applyFont="1" applyFill="1" applyBorder="1"/>
    <xf numFmtId="3" fontId="0" fillId="0" borderId="0" xfId="0" applyNumberFormat="1"/>
    <xf numFmtId="0" fontId="2" fillId="0" borderId="28" xfId="0" applyFont="1" applyBorder="1" applyAlignment="1">
      <alignment horizontal="center" vertical="center" wrapText="1"/>
    </xf>
    <xf numFmtId="10" fontId="26" fillId="0" borderId="28" xfId="0" applyNumberFormat="1" applyFont="1" applyBorder="1" applyAlignment="1">
      <alignment horizontal="center" vertical="center"/>
    </xf>
    <xf numFmtId="3" fontId="2" fillId="0" borderId="28" xfId="3" applyNumberFormat="1" applyFont="1" applyBorder="1" applyAlignment="1">
      <alignment horizontal="right" vertical="center"/>
    </xf>
    <xf numFmtId="3" fontId="2" fillId="0" borderId="28" xfId="3" applyNumberFormat="1" applyFont="1" applyBorder="1" applyAlignment="1">
      <alignment vertical="center"/>
    </xf>
    <xf numFmtId="3" fontId="2" fillId="0" borderId="23" xfId="3" applyNumberFormat="1" applyFont="1" applyBorder="1" applyAlignment="1">
      <alignment vertical="center"/>
    </xf>
    <xf numFmtId="4" fontId="2" fillId="0" borderId="23" xfId="3" applyNumberFormat="1" applyFont="1" applyBorder="1" applyAlignment="1">
      <alignment vertical="center"/>
    </xf>
    <xf numFmtId="4" fontId="2" fillId="0" borderId="24" xfId="3" applyNumberFormat="1" applyFont="1" applyBorder="1" applyAlignment="1">
      <alignment vertical="center"/>
    </xf>
    <xf numFmtId="3" fontId="6" fillId="2" borderId="16" xfId="3" applyNumberFormat="1" applyFont="1" applyFill="1" applyBorder="1" applyAlignment="1">
      <alignment horizontal="right" vertical="center"/>
    </xf>
    <xf numFmtId="3" fontId="2" fillId="0" borderId="22" xfId="3" applyNumberFormat="1" applyFont="1" applyBorder="1" applyAlignment="1">
      <alignment vertical="center"/>
    </xf>
    <xf numFmtId="165" fontId="27" fillId="0" borderId="77" xfId="5" applyNumberFormat="1" applyFont="1" applyBorder="1" applyAlignment="1">
      <alignment horizontal="center" wrapText="1" readingOrder="1"/>
    </xf>
    <xf numFmtId="9" fontId="6" fillId="2" borderId="43" xfId="5" applyFont="1" applyFill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3" fontId="10" fillId="2" borderId="0" xfId="2" applyNumberFormat="1" applyFont="1" applyFill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3" fontId="10" fillId="2" borderId="20" xfId="2" applyNumberFormat="1" applyFont="1" applyFill="1" applyBorder="1" applyAlignment="1">
      <alignment vertical="center"/>
    </xf>
    <xf numFmtId="3" fontId="10" fillId="2" borderId="20" xfId="2" applyNumberFormat="1" applyFont="1" applyFill="1" applyBorder="1" applyAlignment="1">
      <alignment horizontal="center" vertical="center"/>
    </xf>
    <xf numFmtId="3" fontId="10" fillId="0" borderId="29" xfId="2" applyNumberFormat="1" applyFont="1" applyFill="1" applyBorder="1" applyAlignment="1">
      <alignment vertical="center"/>
    </xf>
    <xf numFmtId="3" fontId="10" fillId="0" borderId="74" xfId="2" applyNumberFormat="1" applyFont="1" applyFill="1" applyBorder="1" applyAlignment="1">
      <alignment vertical="center"/>
    </xf>
    <xf numFmtId="3" fontId="10" fillId="4" borderId="29" xfId="2" applyNumberFormat="1" applyFont="1" applyFill="1" applyBorder="1" applyAlignment="1">
      <alignment vertical="center"/>
    </xf>
    <xf numFmtId="3" fontId="10" fillId="0" borderId="37" xfId="2" applyNumberFormat="1" applyFont="1" applyFill="1" applyBorder="1" applyAlignment="1">
      <alignment vertical="center"/>
    </xf>
    <xf numFmtId="3" fontId="10" fillId="4" borderId="5" xfId="2" applyNumberFormat="1" applyFont="1" applyFill="1" applyBorder="1" applyAlignment="1">
      <alignment vertical="center"/>
    </xf>
    <xf numFmtId="3" fontId="10" fillId="2" borderId="42" xfId="2" applyNumberFormat="1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7" xfId="2" applyFont="1" applyFill="1" applyBorder="1" applyAlignment="1">
      <alignment vertical="center"/>
    </xf>
    <xf numFmtId="3" fontId="9" fillId="0" borderId="0" xfId="0" applyNumberFormat="1" applyFont="1"/>
    <xf numFmtId="3" fontId="9" fillId="0" borderId="4" xfId="0" applyNumberFormat="1" applyFont="1" applyFill="1" applyBorder="1"/>
    <xf numFmtId="3" fontId="9" fillId="0" borderId="14" xfId="0" applyNumberFormat="1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57" xfId="0" applyFont="1" applyFill="1" applyBorder="1"/>
    <xf numFmtId="3" fontId="9" fillId="0" borderId="14" xfId="0" applyNumberFormat="1" applyFont="1" applyBorder="1"/>
    <xf numFmtId="3" fontId="28" fillId="0" borderId="14" xfId="0" applyNumberFormat="1" applyFont="1" applyBorder="1"/>
    <xf numFmtId="3" fontId="28" fillId="0" borderId="14" xfId="0" applyNumberFormat="1" applyFont="1" applyFill="1" applyBorder="1"/>
    <xf numFmtId="3" fontId="9" fillId="0" borderId="67" xfId="0" applyNumberFormat="1" applyFont="1" applyBorder="1"/>
    <xf numFmtId="0" fontId="9" fillId="0" borderId="45" xfId="0" applyFont="1" applyFill="1" applyBorder="1"/>
    <xf numFmtId="0" fontId="9" fillId="0" borderId="44" xfId="0" applyFont="1" applyFill="1" applyBorder="1"/>
    <xf numFmtId="0" fontId="9" fillId="0" borderId="67" xfId="0" applyFont="1" applyFill="1" applyBorder="1"/>
    <xf numFmtId="3" fontId="9" fillId="0" borderId="59" xfId="0" applyNumberFormat="1" applyFont="1" applyFill="1" applyBorder="1"/>
    <xf numFmtId="3" fontId="9" fillId="0" borderId="67" xfId="0" applyNumberFormat="1" applyFont="1" applyFill="1" applyBorder="1"/>
    <xf numFmtId="0" fontId="9" fillId="0" borderId="22" xfId="0" applyFont="1" applyFill="1" applyBorder="1"/>
    <xf numFmtId="3" fontId="9" fillId="0" borderId="13" xfId="0" applyNumberFormat="1" applyFont="1" applyFill="1" applyBorder="1"/>
    <xf numFmtId="3" fontId="9" fillId="0" borderId="0" xfId="0" applyNumberFormat="1" applyFont="1" applyFill="1" applyBorder="1"/>
    <xf numFmtId="3" fontId="9" fillId="0" borderId="13" xfId="0" applyNumberFormat="1" applyFont="1" applyBorder="1"/>
    <xf numFmtId="3" fontId="9" fillId="0" borderId="0" xfId="0" applyNumberFormat="1" applyFont="1" applyBorder="1"/>
    <xf numFmtId="3" fontId="9" fillId="0" borderId="4" xfId="0" applyNumberFormat="1" applyFont="1" applyBorder="1"/>
    <xf numFmtId="3" fontId="9" fillId="0" borderId="64" xfId="0" applyNumberFormat="1" applyFont="1" applyBorder="1"/>
    <xf numFmtId="3" fontId="18" fillId="0" borderId="5" xfId="0" applyNumberFormat="1" applyFont="1" applyBorder="1"/>
    <xf numFmtId="3" fontId="26" fillId="0" borderId="0" xfId="0" applyNumberFormat="1" applyFont="1"/>
    <xf numFmtId="3" fontId="2" fillId="0" borderId="30" xfId="0" applyNumberFormat="1" applyFont="1" applyBorder="1"/>
    <xf numFmtId="3" fontId="2" fillId="0" borderId="32" xfId="0" applyNumberFormat="1" applyFont="1" applyBorder="1"/>
    <xf numFmtId="3" fontId="2" fillId="17" borderId="31" xfId="0" applyNumberFormat="1" applyFont="1" applyFill="1" applyBorder="1"/>
    <xf numFmtId="3" fontId="2" fillId="0" borderId="65" xfId="0" applyNumberFormat="1" applyFont="1" applyBorder="1"/>
    <xf numFmtId="3" fontId="2" fillId="0" borderId="26" xfId="0" applyNumberFormat="1" applyFont="1" applyBorder="1"/>
    <xf numFmtId="3" fontId="2" fillId="0" borderId="28" xfId="0" applyNumberFormat="1" applyFont="1" applyBorder="1"/>
    <xf numFmtId="3" fontId="2" fillId="17" borderId="29" xfId="0" applyNumberFormat="1" applyFont="1" applyFill="1" applyBorder="1"/>
    <xf numFmtId="3" fontId="2" fillId="0" borderId="27" xfId="0" applyNumberFormat="1" applyFont="1" applyBorder="1"/>
    <xf numFmtId="3" fontId="2" fillId="0" borderId="34" xfId="0" applyNumberFormat="1" applyFont="1" applyBorder="1"/>
    <xf numFmtId="3" fontId="2" fillId="0" borderId="36" xfId="0" applyNumberFormat="1" applyFont="1" applyBorder="1"/>
    <xf numFmtId="3" fontId="2" fillId="17" borderId="37" xfId="0" applyNumberFormat="1" applyFont="1" applyFill="1" applyBorder="1"/>
    <xf numFmtId="3" fontId="2" fillId="0" borderId="35" xfId="0" applyNumberFormat="1" applyFont="1" applyBorder="1"/>
    <xf numFmtId="3" fontId="2" fillId="3" borderId="38" xfId="0" applyNumberFormat="1" applyFont="1" applyFill="1" applyBorder="1"/>
    <xf numFmtId="3" fontId="2" fillId="3" borderId="40" xfId="0" applyNumberFormat="1" applyFont="1" applyFill="1" applyBorder="1"/>
    <xf numFmtId="3" fontId="2" fillId="7" borderId="39" xfId="0" applyNumberFormat="1" applyFont="1" applyFill="1" applyBorder="1"/>
    <xf numFmtId="3" fontId="2" fillId="3" borderId="52" xfId="0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17" borderId="25" xfId="0" applyNumberFormat="1" applyFont="1" applyFill="1" applyBorder="1"/>
    <xf numFmtId="3" fontId="2" fillId="0" borderId="45" xfId="0" applyNumberFormat="1" applyFont="1" applyBorder="1"/>
    <xf numFmtId="3" fontId="2" fillId="3" borderId="40" xfId="0" applyNumberFormat="1" applyFont="1" applyFill="1" applyBorder="1" applyAlignment="1"/>
    <xf numFmtId="3" fontId="2" fillId="7" borderId="40" xfId="0" applyNumberFormat="1" applyFont="1" applyFill="1" applyBorder="1"/>
    <xf numFmtId="3" fontId="2" fillId="0" borderId="0" xfId="0" applyNumberFormat="1" applyFont="1"/>
    <xf numFmtId="4" fontId="2" fillId="3" borderId="40" xfId="0" applyNumberFormat="1" applyFont="1" applyFill="1" applyBorder="1"/>
    <xf numFmtId="3" fontId="0" fillId="0" borderId="28" xfId="0" applyNumberFormat="1" applyBorder="1"/>
    <xf numFmtId="0" fontId="1" fillId="0" borderId="28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4" xfId="4" applyFont="1" applyBorder="1" applyAlignment="1">
      <alignment horizontal="center" vertical="center"/>
    </xf>
    <xf numFmtId="3" fontId="9" fillId="0" borderId="14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4" fontId="9" fillId="0" borderId="4" xfId="4" applyNumberFormat="1" applyFont="1" applyBorder="1"/>
    <xf numFmtId="0" fontId="9" fillId="0" borderId="4" xfId="4" applyFont="1" applyBorder="1" applyAlignment="1">
      <alignment vertical="center"/>
    </xf>
    <xf numFmtId="4" fontId="10" fillId="0" borderId="5" xfId="4" applyNumberFormat="1" applyFont="1" applyBorder="1"/>
    <xf numFmtId="3" fontId="9" fillId="0" borderId="14" xfId="2" applyNumberFormat="1" applyFont="1" applyFill="1" applyBorder="1" applyAlignment="1">
      <alignment vertical="center"/>
    </xf>
    <xf numFmtId="3" fontId="10" fillId="0" borderId="3" xfId="2" applyNumberFormat="1" applyFont="1" applyFill="1" applyBorder="1" applyAlignment="1">
      <alignment vertical="center"/>
    </xf>
    <xf numFmtId="3" fontId="10" fillId="2" borderId="5" xfId="2" applyNumberFormat="1" applyFont="1" applyFill="1" applyBorder="1" applyAlignment="1">
      <alignment vertical="center"/>
    </xf>
    <xf numFmtId="0" fontId="10" fillId="0" borderId="1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14" fontId="10" fillId="0" borderId="4" xfId="2" applyNumberFormat="1" applyFont="1" applyFill="1" applyBorder="1" applyAlignment="1">
      <alignment vertical="center"/>
    </xf>
    <xf numFmtId="17" fontId="10" fillId="0" borderId="0" xfId="2" applyNumberFormat="1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justify" vertical="center" wrapText="1"/>
    </xf>
    <xf numFmtId="0" fontId="10" fillId="0" borderId="4" xfId="2" applyFont="1" applyFill="1" applyBorder="1" applyAlignment="1">
      <alignment vertical="center" wrapText="1"/>
    </xf>
    <xf numFmtId="17" fontId="10" fillId="0" borderId="4" xfId="2" applyNumberFormat="1" applyFont="1" applyFill="1" applyBorder="1" applyAlignment="1">
      <alignment horizontal="center" vertical="center"/>
    </xf>
    <xf numFmtId="4" fontId="10" fillId="0" borderId="4" xfId="2" applyNumberFormat="1" applyFont="1" applyFill="1" applyBorder="1" applyAlignment="1">
      <alignment vertical="center"/>
    </xf>
    <xf numFmtId="0" fontId="10" fillId="0" borderId="4" xfId="2" applyFont="1" applyFill="1" applyBorder="1" applyAlignment="1">
      <alignment horizontal="justify" vertical="center" wrapText="1"/>
    </xf>
    <xf numFmtId="0" fontId="10" fillId="0" borderId="4" xfId="2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10" fontId="17" fillId="0" borderId="14" xfId="5" applyNumberFormat="1" applyFont="1" applyBorder="1"/>
    <xf numFmtId="10" fontId="17" fillId="0" borderId="14" xfId="0" applyNumberFormat="1" applyFont="1" applyBorder="1"/>
    <xf numFmtId="10" fontId="9" fillId="0" borderId="31" xfId="5" applyNumberFormat="1" applyFont="1" applyBorder="1"/>
    <xf numFmtId="10" fontId="9" fillId="3" borderId="39" xfId="5" applyNumberFormat="1" applyFont="1" applyFill="1" applyBorder="1"/>
    <xf numFmtId="10" fontId="9" fillId="0" borderId="29" xfId="5" applyNumberFormat="1" applyFont="1" applyBorder="1"/>
    <xf numFmtId="10" fontId="9" fillId="0" borderId="39" xfId="5" applyNumberFormat="1" applyFont="1" applyBorder="1"/>
    <xf numFmtId="0" fontId="9" fillId="3" borderId="39" xfId="0" applyNumberFormat="1" applyFont="1" applyFill="1" applyBorder="1" applyAlignment="1">
      <alignment horizontal="center"/>
    </xf>
    <xf numFmtId="167" fontId="10" fillId="0" borderId="57" xfId="2" applyNumberFormat="1" applyFont="1" applyFill="1" applyBorder="1" applyAlignment="1">
      <alignment vertical="center"/>
    </xf>
    <xf numFmtId="167" fontId="10" fillId="0" borderId="0" xfId="2" applyNumberFormat="1" applyFont="1" applyFill="1" applyBorder="1" applyAlignment="1">
      <alignment vertical="center"/>
    </xf>
    <xf numFmtId="167" fontId="10" fillId="0" borderId="0" xfId="2" applyNumberFormat="1" applyFont="1" applyFill="1" applyBorder="1" applyAlignment="1">
      <alignment vertical="center" wrapText="1"/>
    </xf>
    <xf numFmtId="167" fontId="10" fillId="0" borderId="57" xfId="2" applyNumberFormat="1" applyFont="1" applyFill="1" applyBorder="1" applyAlignment="1">
      <alignment vertical="center" wrapText="1"/>
    </xf>
    <xf numFmtId="0" fontId="10" fillId="0" borderId="56" xfId="2" applyFont="1" applyFill="1" applyBorder="1" applyAlignment="1">
      <alignment vertical="center" wrapText="1"/>
    </xf>
    <xf numFmtId="15" fontId="10" fillId="7" borderId="12" xfId="2" applyNumberFormat="1" applyFont="1" applyFill="1" applyBorder="1" applyAlignment="1">
      <alignment horizontal="center" vertical="center" wrapText="1"/>
    </xf>
    <xf numFmtId="0" fontId="10" fillId="7" borderId="8" xfId="2" applyFont="1" applyFill="1" applyBorder="1" applyAlignment="1">
      <alignment horizontal="center" vertical="center" wrapText="1"/>
    </xf>
    <xf numFmtId="0" fontId="0" fillId="0" borderId="0" xfId="0" applyNumberFormat="1"/>
    <xf numFmtId="3" fontId="9" fillId="0" borderId="57" xfId="2" applyNumberFormat="1" applyFont="1" applyFill="1" applyBorder="1" applyAlignment="1">
      <alignment vertical="center"/>
    </xf>
    <xf numFmtId="165" fontId="9" fillId="0" borderId="4" xfId="5" applyNumberFormat="1" applyFont="1" applyFill="1" applyBorder="1" applyAlignment="1">
      <alignment vertical="center"/>
    </xf>
    <xf numFmtId="3" fontId="9" fillId="0" borderId="4" xfId="2" applyNumberFormat="1" applyFont="1" applyFill="1" applyBorder="1" applyAlignment="1">
      <alignment vertical="center"/>
    </xf>
    <xf numFmtId="3" fontId="9" fillId="0" borderId="12" xfId="2" applyNumberFormat="1" applyFont="1" applyFill="1" applyBorder="1" applyAlignment="1">
      <alignment vertical="center"/>
    </xf>
    <xf numFmtId="0" fontId="0" fillId="0" borderId="14" xfId="0" applyNumberFormat="1" applyBorder="1"/>
    <xf numFmtId="0" fontId="0" fillId="0" borderId="78" xfId="0" applyNumberFormat="1" applyBorder="1"/>
    <xf numFmtId="0" fontId="9" fillId="0" borderId="11" xfId="2" applyFont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74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60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2" fillId="13" borderId="76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11" borderId="76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" fillId="12" borderId="76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67" xfId="0" applyFont="1" applyFill="1" applyBorder="1" applyAlignment="1">
      <alignment horizontal="center" vertical="center" wrapText="1"/>
    </xf>
    <xf numFmtId="49" fontId="6" fillId="7" borderId="12" xfId="3" applyNumberFormat="1" applyFont="1" applyFill="1" applyBorder="1" applyAlignment="1" applyProtection="1">
      <alignment horizontal="center" vertical="center" wrapText="1"/>
    </xf>
    <xf numFmtId="49" fontId="6" fillId="7" borderId="11" xfId="3" applyNumberFormat="1" applyFont="1" applyFill="1" applyBorder="1" applyAlignment="1" applyProtection="1">
      <alignment horizontal="center" vertical="center" wrapText="1"/>
    </xf>
    <xf numFmtId="49" fontId="6" fillId="7" borderId="6" xfId="3" applyFont="1" applyFill="1" applyBorder="1" applyAlignment="1">
      <alignment horizontal="center" vertical="center" wrapText="1"/>
    </xf>
    <xf numFmtId="49" fontId="6" fillId="7" borderId="48" xfId="3" applyFont="1" applyFill="1" applyBorder="1" applyAlignment="1">
      <alignment horizontal="center" vertical="center" wrapText="1"/>
    </xf>
    <xf numFmtId="49" fontId="6" fillId="7" borderId="21" xfId="3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wrapText="1"/>
    </xf>
    <xf numFmtId="0" fontId="6" fillId="7" borderId="20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48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49" fontId="10" fillId="7" borderId="32" xfId="3" applyFont="1" applyFill="1" applyBorder="1" applyAlignment="1">
      <alignment horizontal="center" vertical="center" wrapText="1"/>
    </xf>
    <xf numFmtId="49" fontId="10" fillId="7" borderId="31" xfId="3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49" fontId="10" fillId="7" borderId="30" xfId="3" applyFont="1" applyFill="1" applyBorder="1" applyAlignment="1">
      <alignment horizontal="center" vertical="center"/>
    </xf>
    <xf numFmtId="49" fontId="10" fillId="7" borderId="32" xfId="3" applyFont="1" applyFill="1" applyBorder="1" applyAlignment="1">
      <alignment horizontal="center" vertical="center"/>
    </xf>
    <xf numFmtId="49" fontId="10" fillId="7" borderId="31" xfId="3" applyFont="1" applyFill="1" applyBorder="1" applyAlignment="1">
      <alignment horizontal="center" vertical="center"/>
    </xf>
    <xf numFmtId="49" fontId="10" fillId="7" borderId="30" xfId="3" applyFont="1" applyFill="1" applyBorder="1" applyAlignment="1">
      <alignment horizontal="center" vertical="center" wrapText="1"/>
    </xf>
    <xf numFmtId="49" fontId="10" fillId="7" borderId="65" xfId="3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6" fillId="7" borderId="62" xfId="2" applyFont="1" applyFill="1" applyBorder="1" applyAlignment="1">
      <alignment horizontal="center" vertical="center"/>
    </xf>
    <xf numFmtId="0" fontId="6" fillId="7" borderId="66" xfId="2" applyFont="1" applyFill="1" applyBorder="1" applyAlignment="1">
      <alignment horizontal="center" vertical="center"/>
    </xf>
    <xf numFmtId="0" fontId="6" fillId="7" borderId="61" xfId="2" applyFont="1" applyFill="1" applyBorder="1" applyAlignment="1">
      <alignment horizontal="center" vertical="center"/>
    </xf>
    <xf numFmtId="0" fontId="10" fillId="7" borderId="48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/>
    </xf>
    <xf numFmtId="0" fontId="10" fillId="7" borderId="20" xfId="2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wrapText="1"/>
    </xf>
    <xf numFmtId="0" fontId="10" fillId="7" borderId="18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 vertical="center" wrapText="1"/>
    </xf>
    <xf numFmtId="0" fontId="10" fillId="7" borderId="19" xfId="2" applyFont="1" applyFill="1" applyBorder="1" applyAlignment="1">
      <alignment horizontal="center" vertical="center" wrapText="1"/>
    </xf>
    <xf numFmtId="0" fontId="10" fillId="7" borderId="30" xfId="2" applyFont="1" applyFill="1" applyBorder="1" applyAlignment="1">
      <alignment horizontal="center" vertical="center" wrapText="1"/>
    </xf>
    <xf numFmtId="0" fontId="10" fillId="7" borderId="38" xfId="2" applyFont="1" applyFill="1" applyBorder="1" applyAlignment="1">
      <alignment horizontal="center" vertical="center" wrapText="1"/>
    </xf>
    <xf numFmtId="0" fontId="10" fillId="7" borderId="33" xfId="2" applyFont="1" applyFill="1" applyBorder="1" applyAlignment="1">
      <alignment horizontal="center" vertical="center" wrapText="1"/>
    </xf>
    <xf numFmtId="0" fontId="10" fillId="7" borderId="41" xfId="2" applyFont="1" applyFill="1" applyBorder="1" applyAlignment="1">
      <alignment horizontal="center" vertical="center" wrapText="1"/>
    </xf>
    <xf numFmtId="0" fontId="10" fillId="7" borderId="31" xfId="2" applyFont="1" applyFill="1" applyBorder="1" applyAlignment="1">
      <alignment horizontal="center" vertical="center" wrapText="1"/>
    </xf>
    <xf numFmtId="0" fontId="10" fillId="7" borderId="39" xfId="2" applyFont="1" applyFill="1" applyBorder="1" applyAlignment="1">
      <alignment horizontal="center" vertical="center" wrapText="1"/>
    </xf>
    <xf numFmtId="0" fontId="10" fillId="7" borderId="63" xfId="2" applyFont="1" applyFill="1" applyBorder="1" applyAlignment="1">
      <alignment horizontal="center" vertical="center" wrapText="1"/>
    </xf>
    <xf numFmtId="0" fontId="10" fillId="7" borderId="64" xfId="2" applyFont="1" applyFill="1" applyBorder="1" applyAlignment="1">
      <alignment horizontal="center" vertical="center" wrapText="1"/>
    </xf>
    <xf numFmtId="0" fontId="10" fillId="7" borderId="62" xfId="2" applyFont="1" applyFill="1" applyBorder="1" applyAlignment="1">
      <alignment horizontal="center" vertical="center" wrapText="1"/>
    </xf>
    <xf numFmtId="0" fontId="10" fillId="7" borderId="65" xfId="2" applyFont="1" applyFill="1" applyBorder="1" applyAlignment="1">
      <alignment horizontal="center" vertical="center" wrapText="1"/>
    </xf>
    <xf numFmtId="0" fontId="10" fillId="7" borderId="52" xfId="2" applyFont="1" applyFill="1" applyBorder="1" applyAlignment="1">
      <alignment horizontal="center" vertical="center" wrapText="1"/>
    </xf>
    <xf numFmtId="0" fontId="10" fillId="7" borderId="12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10" fillId="7" borderId="12" xfId="2" applyFont="1" applyFill="1" applyBorder="1" applyAlignment="1">
      <alignment horizontal="center" vertical="center" wrapText="1"/>
    </xf>
    <xf numFmtId="0" fontId="10" fillId="7" borderId="11" xfId="2" applyFont="1" applyFill="1" applyBorder="1" applyAlignment="1">
      <alignment horizontal="center" vertical="center" wrapText="1"/>
    </xf>
    <xf numFmtId="0" fontId="10" fillId="7" borderId="5" xfId="2" applyFont="1" applyFill="1" applyBorder="1" applyAlignment="1">
      <alignment horizontal="center" vertical="center" wrapText="1"/>
    </xf>
    <xf numFmtId="0" fontId="10" fillId="8" borderId="19" xfId="4" applyFont="1" applyFill="1" applyBorder="1" applyAlignment="1">
      <alignment horizontal="center"/>
    </xf>
    <xf numFmtId="0" fontId="10" fillId="8" borderId="20" xfId="4" applyFont="1" applyFill="1" applyBorder="1" applyAlignment="1">
      <alignment horizontal="center"/>
    </xf>
    <xf numFmtId="0" fontId="10" fillId="8" borderId="18" xfId="4" applyFont="1" applyFill="1" applyBorder="1" applyAlignment="1">
      <alignment horizontal="center"/>
    </xf>
    <xf numFmtId="0" fontId="10" fillId="8" borderId="5" xfId="4" applyFont="1" applyFill="1" applyBorder="1" applyAlignment="1">
      <alignment horizontal="center" vertical="center"/>
    </xf>
    <xf numFmtId="0" fontId="10" fillId="8" borderId="14" xfId="4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 wrapText="1"/>
    </xf>
    <xf numFmtId="164" fontId="10" fillId="7" borderId="20" xfId="0" applyNumberFormat="1" applyFont="1" applyFill="1" applyBorder="1" applyAlignment="1">
      <alignment horizontal="center" vertical="center" wrapText="1"/>
    </xf>
    <xf numFmtId="164" fontId="10" fillId="7" borderId="18" xfId="0" applyNumberFormat="1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_ESTR98" xfId="1" xr:uid="{00000000-0005-0000-0000-000002000000}"/>
    <cellStyle name="Normal_PLAZAS98" xfId="2" xr:uid="{00000000-0005-0000-0000-000003000000}"/>
    <cellStyle name="Normal_SPGG98" xfId="3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topLeftCell="A13" zoomScaleNormal="100" zoomScaleSheetLayoutView="100" zoomScalePageLayoutView="85" workbookViewId="0">
      <selection activeCell="B14" sqref="B14:E14"/>
    </sheetView>
  </sheetViews>
  <sheetFormatPr baseColWidth="10" defaultColWidth="11.42578125" defaultRowHeight="12.75" x14ac:dyDescent="0.2"/>
  <cols>
    <col min="1" max="1" width="19.85546875" style="145" customWidth="1"/>
    <col min="2" max="2" width="69.85546875" style="146" customWidth="1"/>
    <col min="3" max="5" width="8.7109375" style="145" customWidth="1"/>
    <col min="6" max="16384" width="11.42578125" style="145"/>
  </cols>
  <sheetData>
    <row r="1" spans="1:512" s="144" customFormat="1" ht="15.75" x14ac:dyDescent="0.2">
      <c r="A1" s="142" t="s">
        <v>362</v>
      </c>
      <c r="B1" s="143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  <c r="IW1" s="150"/>
      <c r="IX1" s="150"/>
      <c r="IY1" s="150"/>
      <c r="IZ1" s="150"/>
      <c r="JA1" s="150"/>
      <c r="JB1" s="150"/>
      <c r="JC1" s="150"/>
      <c r="JD1" s="150"/>
      <c r="JE1" s="150"/>
      <c r="JF1" s="150"/>
      <c r="JG1" s="150"/>
      <c r="JH1" s="150"/>
      <c r="JI1" s="150"/>
      <c r="JJ1" s="150"/>
      <c r="JK1" s="150"/>
      <c r="JL1" s="150"/>
      <c r="JM1" s="150"/>
      <c r="JN1" s="150"/>
      <c r="JO1" s="150"/>
      <c r="JP1" s="150"/>
      <c r="JQ1" s="150"/>
      <c r="JR1" s="150"/>
      <c r="JS1" s="150"/>
      <c r="JT1" s="150"/>
      <c r="JU1" s="150"/>
      <c r="JV1" s="150"/>
      <c r="JW1" s="150"/>
      <c r="JX1" s="150"/>
      <c r="JY1" s="150"/>
      <c r="JZ1" s="150"/>
      <c r="KA1" s="150"/>
      <c r="KB1" s="150"/>
      <c r="KC1" s="150"/>
      <c r="KD1" s="150"/>
      <c r="KE1" s="150"/>
      <c r="KF1" s="150"/>
      <c r="KG1" s="150"/>
      <c r="KH1" s="150"/>
      <c r="KI1" s="150"/>
      <c r="KJ1" s="150"/>
      <c r="KK1" s="150"/>
      <c r="KL1" s="150"/>
      <c r="KM1" s="150"/>
      <c r="KN1" s="150"/>
      <c r="KO1" s="150"/>
      <c r="KP1" s="150"/>
      <c r="KQ1" s="150"/>
      <c r="KR1" s="150"/>
      <c r="KS1" s="150"/>
      <c r="KT1" s="150"/>
      <c r="KU1" s="150"/>
      <c r="KV1" s="150"/>
      <c r="KW1" s="150"/>
      <c r="KX1" s="150"/>
      <c r="KY1" s="150"/>
      <c r="KZ1" s="150"/>
      <c r="LA1" s="150"/>
      <c r="LB1" s="150"/>
      <c r="LC1" s="150"/>
      <c r="LD1" s="150"/>
      <c r="LE1" s="150"/>
      <c r="LF1" s="150"/>
      <c r="LG1" s="150"/>
      <c r="LH1" s="150"/>
      <c r="LI1" s="150"/>
      <c r="LJ1" s="150"/>
      <c r="LK1" s="150"/>
      <c r="LL1" s="150"/>
      <c r="LM1" s="150"/>
      <c r="LN1" s="150"/>
      <c r="LO1" s="150"/>
      <c r="LP1" s="150"/>
      <c r="LQ1" s="150"/>
      <c r="LR1" s="150"/>
      <c r="LS1" s="150"/>
      <c r="LT1" s="150"/>
      <c r="LU1" s="150"/>
      <c r="LV1" s="150"/>
      <c r="LW1" s="150"/>
      <c r="LX1" s="150"/>
      <c r="LY1" s="150"/>
      <c r="LZ1" s="150"/>
      <c r="MA1" s="150"/>
      <c r="MB1" s="150"/>
      <c r="MC1" s="150"/>
      <c r="MD1" s="150"/>
      <c r="ME1" s="150"/>
      <c r="MF1" s="150"/>
      <c r="MG1" s="150"/>
      <c r="MH1" s="150"/>
      <c r="MI1" s="150"/>
      <c r="MJ1" s="150"/>
      <c r="MK1" s="150"/>
      <c r="ML1" s="150"/>
      <c r="MM1" s="150"/>
      <c r="MN1" s="150"/>
      <c r="MO1" s="150"/>
      <c r="MP1" s="150"/>
      <c r="MQ1" s="150"/>
      <c r="MR1" s="150"/>
      <c r="MS1" s="150"/>
      <c r="MT1" s="150"/>
      <c r="MU1" s="150"/>
      <c r="MV1" s="150"/>
      <c r="MW1" s="150"/>
      <c r="MX1" s="150"/>
      <c r="MY1" s="150"/>
      <c r="MZ1" s="150"/>
      <c r="NA1" s="150"/>
      <c r="NB1" s="150"/>
      <c r="NC1" s="150"/>
      <c r="ND1" s="150"/>
      <c r="NE1" s="150"/>
      <c r="NF1" s="150"/>
      <c r="NG1" s="150"/>
      <c r="NH1" s="150"/>
      <c r="NI1" s="150"/>
      <c r="NJ1" s="150"/>
      <c r="NK1" s="150"/>
      <c r="NL1" s="150"/>
      <c r="NM1" s="150"/>
      <c r="NN1" s="150"/>
      <c r="NO1" s="150"/>
      <c r="NP1" s="150"/>
      <c r="NQ1" s="150"/>
      <c r="NR1" s="150"/>
      <c r="NS1" s="150"/>
      <c r="NT1" s="150"/>
      <c r="NU1" s="150"/>
      <c r="NV1" s="150"/>
      <c r="NW1" s="150"/>
      <c r="NX1" s="150"/>
      <c r="NY1" s="150"/>
      <c r="NZ1" s="150"/>
      <c r="OA1" s="150"/>
      <c r="OB1" s="150"/>
      <c r="OC1" s="150"/>
      <c r="OD1" s="150"/>
      <c r="OE1" s="150"/>
      <c r="OF1" s="150"/>
      <c r="OG1" s="150"/>
      <c r="OH1" s="150"/>
      <c r="OI1" s="150"/>
      <c r="OJ1" s="150"/>
      <c r="OK1" s="150"/>
      <c r="OL1" s="150"/>
      <c r="OM1" s="150"/>
      <c r="ON1" s="150"/>
      <c r="OO1" s="150"/>
      <c r="OP1" s="150"/>
      <c r="OQ1" s="150"/>
      <c r="OR1" s="150"/>
      <c r="OS1" s="150"/>
      <c r="OT1" s="150"/>
      <c r="OU1" s="150"/>
      <c r="OV1" s="150"/>
      <c r="OW1" s="150"/>
      <c r="OX1" s="150"/>
      <c r="OY1" s="150"/>
      <c r="OZ1" s="150"/>
      <c r="PA1" s="150"/>
      <c r="PB1" s="150"/>
      <c r="PC1" s="150"/>
      <c r="PD1" s="150"/>
      <c r="PE1" s="150"/>
      <c r="PF1" s="150"/>
      <c r="PG1" s="150"/>
      <c r="PH1" s="150"/>
      <c r="PI1" s="150"/>
      <c r="PJ1" s="150"/>
      <c r="PK1" s="150"/>
      <c r="PL1" s="150"/>
      <c r="PM1" s="150"/>
      <c r="PN1" s="150"/>
      <c r="PO1" s="150"/>
      <c r="PP1" s="150"/>
      <c r="PQ1" s="150"/>
      <c r="PR1" s="150"/>
      <c r="PS1" s="150"/>
      <c r="PT1" s="150"/>
      <c r="PU1" s="150"/>
      <c r="PV1" s="150"/>
      <c r="PW1" s="150"/>
      <c r="PX1" s="150"/>
      <c r="PY1" s="150"/>
      <c r="PZ1" s="150"/>
      <c r="QA1" s="150"/>
      <c r="QB1" s="150"/>
      <c r="QC1" s="150"/>
      <c r="QD1" s="150"/>
      <c r="QE1" s="150"/>
      <c r="QF1" s="150"/>
      <c r="QG1" s="150"/>
      <c r="QH1" s="150"/>
      <c r="QI1" s="150"/>
      <c r="QJ1" s="150"/>
      <c r="QK1" s="150"/>
      <c r="QL1" s="150"/>
      <c r="QM1" s="150"/>
      <c r="QN1" s="150"/>
      <c r="QO1" s="150"/>
      <c r="QP1" s="150"/>
      <c r="QQ1" s="150"/>
      <c r="QR1" s="150"/>
      <c r="QS1" s="150"/>
      <c r="QT1" s="150"/>
      <c r="QU1" s="150"/>
      <c r="QV1" s="150"/>
      <c r="QW1" s="150"/>
      <c r="QX1" s="150"/>
      <c r="QY1" s="150"/>
      <c r="QZ1" s="150"/>
      <c r="RA1" s="150"/>
      <c r="RB1" s="150"/>
      <c r="RC1" s="150"/>
      <c r="RD1" s="150"/>
      <c r="RE1" s="150"/>
      <c r="RF1" s="150"/>
      <c r="RG1" s="150"/>
      <c r="RH1" s="150"/>
      <c r="RI1" s="150"/>
      <c r="RJ1" s="150"/>
      <c r="RK1" s="150"/>
      <c r="RL1" s="150"/>
      <c r="RM1" s="150"/>
      <c r="RN1" s="150"/>
      <c r="RO1" s="150"/>
      <c r="RP1" s="150"/>
      <c r="RQ1" s="150"/>
      <c r="RR1" s="150"/>
      <c r="RS1" s="150"/>
      <c r="RT1" s="150"/>
      <c r="RU1" s="150"/>
      <c r="RV1" s="150"/>
      <c r="RW1" s="150"/>
      <c r="RX1" s="150"/>
      <c r="RY1" s="150"/>
      <c r="RZ1" s="150"/>
      <c r="SA1" s="150"/>
      <c r="SB1" s="150"/>
      <c r="SC1" s="150"/>
      <c r="SD1" s="150"/>
      <c r="SE1" s="150"/>
      <c r="SF1" s="150"/>
      <c r="SG1" s="150"/>
      <c r="SH1" s="150"/>
      <c r="SI1" s="150"/>
      <c r="SJ1" s="150"/>
      <c r="SK1" s="150"/>
      <c r="SL1" s="150"/>
      <c r="SM1" s="150"/>
      <c r="SN1" s="150"/>
      <c r="SO1" s="150"/>
      <c r="SP1" s="150"/>
      <c r="SQ1" s="150"/>
      <c r="SR1" s="150"/>
    </row>
    <row r="2" spans="1:512" x14ac:dyDescent="0.2">
      <c r="C2" s="147"/>
      <c r="D2" s="147"/>
      <c r="E2" s="152"/>
      <c r="F2" s="151"/>
    </row>
    <row r="3" spans="1:512" x14ac:dyDescent="0.2">
      <c r="A3" s="148" t="s">
        <v>381</v>
      </c>
      <c r="E3" s="151"/>
      <c r="F3" s="151"/>
    </row>
    <row r="4" spans="1:512" x14ac:dyDescent="0.2">
      <c r="E4" s="151"/>
      <c r="F4" s="151"/>
    </row>
    <row r="5" spans="1:512" s="377" customFormat="1" ht="27" customHeight="1" x14ac:dyDescent="0.2">
      <c r="A5" s="382" t="s">
        <v>363</v>
      </c>
      <c r="B5" s="533" t="s">
        <v>433</v>
      </c>
      <c r="C5" s="534"/>
      <c r="D5" s="534"/>
      <c r="E5" s="535"/>
      <c r="F5" s="378"/>
    </row>
    <row r="6" spans="1:512" x14ac:dyDescent="0.2">
      <c r="A6" s="148"/>
      <c r="B6" s="376"/>
      <c r="C6" s="377"/>
      <c r="D6" s="377"/>
      <c r="E6" s="378"/>
      <c r="F6" s="151"/>
    </row>
    <row r="7" spans="1:512" x14ac:dyDescent="0.2">
      <c r="A7" s="148" t="s">
        <v>382</v>
      </c>
      <c r="B7" s="376"/>
      <c r="C7" s="377"/>
      <c r="D7" s="377"/>
      <c r="E7" s="378"/>
      <c r="F7" s="151"/>
    </row>
    <row r="8" spans="1:512" x14ac:dyDescent="0.2">
      <c r="A8" s="148"/>
      <c r="B8" s="376"/>
      <c r="C8" s="377"/>
      <c r="D8" s="377"/>
      <c r="E8" s="378"/>
      <c r="F8" s="151"/>
    </row>
    <row r="9" spans="1:512" s="377" customFormat="1" ht="27" customHeight="1" x14ac:dyDescent="0.2">
      <c r="A9" s="382" t="s">
        <v>364</v>
      </c>
      <c r="B9" s="533" t="s">
        <v>434</v>
      </c>
      <c r="C9" s="534"/>
      <c r="D9" s="534"/>
      <c r="E9" s="535"/>
      <c r="F9" s="378"/>
    </row>
    <row r="10" spans="1:512" s="377" customFormat="1" ht="27" customHeight="1" x14ac:dyDescent="0.2">
      <c r="A10" s="382" t="s">
        <v>365</v>
      </c>
      <c r="B10" s="533" t="s">
        <v>435</v>
      </c>
      <c r="C10" s="534"/>
      <c r="D10" s="534"/>
      <c r="E10" s="535"/>
      <c r="F10" s="378"/>
    </row>
    <row r="11" spans="1:512" s="377" customFormat="1" ht="27" customHeight="1" x14ac:dyDescent="0.2">
      <c r="A11" s="382" t="s">
        <v>366</v>
      </c>
      <c r="B11" s="533" t="s">
        <v>436</v>
      </c>
      <c r="C11" s="534"/>
      <c r="D11" s="534"/>
      <c r="E11" s="535"/>
      <c r="F11" s="378"/>
    </row>
    <row r="12" spans="1:512" s="377" customFormat="1" ht="27" customHeight="1" x14ac:dyDescent="0.2">
      <c r="A12" s="382" t="s">
        <v>367</v>
      </c>
      <c r="B12" s="533" t="s">
        <v>437</v>
      </c>
      <c r="C12" s="534"/>
      <c r="D12" s="534"/>
      <c r="E12" s="535"/>
      <c r="F12" s="378"/>
    </row>
    <row r="13" spans="1:512" s="377" customFormat="1" ht="27" customHeight="1" x14ac:dyDescent="0.2">
      <c r="A13" s="382" t="s">
        <v>368</v>
      </c>
      <c r="B13" s="533" t="s">
        <v>438</v>
      </c>
      <c r="C13" s="534"/>
      <c r="D13" s="534"/>
      <c r="E13" s="535"/>
      <c r="F13" s="378"/>
    </row>
    <row r="14" spans="1:512" s="377" customFormat="1" ht="27" customHeight="1" x14ac:dyDescent="0.2">
      <c r="A14" s="382" t="s">
        <v>369</v>
      </c>
      <c r="B14" s="533" t="s">
        <v>439</v>
      </c>
      <c r="C14" s="534"/>
      <c r="D14" s="534"/>
      <c r="E14" s="535"/>
      <c r="F14" s="378"/>
    </row>
    <row r="15" spans="1:512" s="377" customFormat="1" ht="27" customHeight="1" x14ac:dyDescent="0.2">
      <c r="A15" s="382" t="s">
        <v>370</v>
      </c>
      <c r="B15" s="533" t="s">
        <v>440</v>
      </c>
      <c r="C15" s="534"/>
      <c r="D15" s="534"/>
      <c r="E15" s="535"/>
      <c r="F15" s="378"/>
    </row>
    <row r="16" spans="1:512" x14ac:dyDescent="0.2">
      <c r="A16" s="148"/>
      <c r="B16" s="376"/>
      <c r="C16" s="377"/>
      <c r="D16" s="377"/>
      <c r="E16" s="378"/>
      <c r="F16" s="151"/>
    </row>
    <row r="17" spans="1:6" x14ac:dyDescent="0.2">
      <c r="A17" s="148" t="s">
        <v>383</v>
      </c>
      <c r="B17" s="376"/>
      <c r="C17" s="377"/>
      <c r="D17" s="377"/>
      <c r="E17" s="378"/>
      <c r="F17" s="151"/>
    </row>
    <row r="18" spans="1:6" x14ac:dyDescent="0.2">
      <c r="A18" s="148"/>
      <c r="B18" s="376"/>
      <c r="C18" s="377"/>
      <c r="D18" s="377"/>
      <c r="E18" s="378"/>
      <c r="F18" s="151"/>
    </row>
    <row r="19" spans="1:6" s="377" customFormat="1" ht="27" customHeight="1" x14ac:dyDescent="0.2">
      <c r="A19" s="382" t="s">
        <v>371</v>
      </c>
      <c r="B19" s="533" t="s">
        <v>441</v>
      </c>
      <c r="C19" s="534"/>
      <c r="D19" s="534"/>
      <c r="E19" s="535"/>
      <c r="F19" s="378"/>
    </row>
    <row r="20" spans="1:6" s="377" customFormat="1" ht="27" customHeight="1" x14ac:dyDescent="0.2">
      <c r="A20" s="382" t="s">
        <v>372</v>
      </c>
      <c r="B20" s="533" t="s">
        <v>442</v>
      </c>
      <c r="C20" s="534"/>
      <c r="D20" s="534"/>
      <c r="E20" s="535"/>
      <c r="F20" s="378"/>
    </row>
    <row r="21" spans="1:6" s="377" customFormat="1" ht="27" customHeight="1" x14ac:dyDescent="0.2">
      <c r="A21" s="382" t="s">
        <v>373</v>
      </c>
      <c r="B21" s="533" t="s">
        <v>443</v>
      </c>
      <c r="C21" s="534"/>
      <c r="D21" s="534"/>
      <c r="E21" s="535"/>
      <c r="F21" s="378"/>
    </row>
    <row r="22" spans="1:6" x14ac:dyDescent="0.2">
      <c r="A22" s="148"/>
      <c r="B22" s="376"/>
      <c r="C22" s="377"/>
      <c r="D22" s="377"/>
      <c r="E22" s="378"/>
      <c r="F22" s="151"/>
    </row>
    <row r="23" spans="1:6" x14ac:dyDescent="0.2">
      <c r="A23" s="148" t="s">
        <v>384</v>
      </c>
      <c r="B23" s="376"/>
      <c r="C23" s="377"/>
      <c r="D23" s="377"/>
      <c r="E23" s="378"/>
      <c r="F23" s="151"/>
    </row>
    <row r="24" spans="1:6" x14ac:dyDescent="0.2">
      <c r="A24" s="148"/>
      <c r="B24" s="376"/>
      <c r="C24" s="377"/>
      <c r="D24" s="377"/>
      <c r="E24" s="378"/>
      <c r="F24" s="151"/>
    </row>
    <row r="25" spans="1:6" s="377" customFormat="1" ht="27" customHeight="1" x14ac:dyDescent="0.2">
      <c r="A25" s="382" t="s">
        <v>374</v>
      </c>
      <c r="B25" s="533" t="s">
        <v>444</v>
      </c>
      <c r="C25" s="534"/>
      <c r="D25" s="534"/>
      <c r="E25" s="535"/>
      <c r="F25" s="378"/>
    </row>
    <row r="26" spans="1:6" s="377" customFormat="1" ht="27" customHeight="1" x14ac:dyDescent="0.2">
      <c r="A26" s="382" t="s">
        <v>375</v>
      </c>
      <c r="B26" s="533" t="s">
        <v>445</v>
      </c>
      <c r="C26" s="534"/>
      <c r="D26" s="534"/>
      <c r="E26" s="535"/>
      <c r="F26" s="378"/>
    </row>
    <row r="27" spans="1:6" s="377" customFormat="1" ht="27" customHeight="1" x14ac:dyDescent="0.2">
      <c r="A27" s="382" t="s">
        <v>376</v>
      </c>
      <c r="B27" s="533" t="s">
        <v>446</v>
      </c>
      <c r="C27" s="534"/>
      <c r="D27" s="534"/>
      <c r="E27" s="535"/>
      <c r="F27" s="378"/>
    </row>
    <row r="28" spans="1:6" s="377" customFormat="1" ht="27" customHeight="1" x14ac:dyDescent="0.2">
      <c r="A28" s="382" t="s">
        <v>377</v>
      </c>
      <c r="B28" s="533" t="s">
        <v>447</v>
      </c>
      <c r="C28" s="534"/>
      <c r="D28" s="534"/>
      <c r="E28" s="535"/>
      <c r="F28" s="378"/>
    </row>
    <row r="29" spans="1:6" s="377" customFormat="1" ht="27" customHeight="1" x14ac:dyDescent="0.2">
      <c r="A29" s="382" t="s">
        <v>378</v>
      </c>
      <c r="B29" s="533" t="s">
        <v>448</v>
      </c>
      <c r="C29" s="534"/>
      <c r="D29" s="534"/>
      <c r="E29" s="535"/>
      <c r="F29" s="378"/>
    </row>
    <row r="30" spans="1:6" x14ac:dyDescent="0.2">
      <c r="A30" s="148"/>
      <c r="B30" s="376"/>
      <c r="C30" s="377"/>
      <c r="D30" s="377"/>
      <c r="E30" s="378"/>
      <c r="F30" s="151"/>
    </row>
    <row r="31" spans="1:6" x14ac:dyDescent="0.2">
      <c r="A31" s="148" t="s">
        <v>24</v>
      </c>
      <c r="B31" s="376"/>
      <c r="C31" s="377"/>
      <c r="D31" s="377"/>
      <c r="E31" s="378"/>
      <c r="F31" s="151"/>
    </row>
    <row r="32" spans="1:6" x14ac:dyDescent="0.2">
      <c r="A32" s="148"/>
      <c r="B32" s="376"/>
      <c r="C32" s="377"/>
      <c r="D32" s="377"/>
      <c r="E32" s="378"/>
      <c r="F32" s="151"/>
    </row>
    <row r="33" spans="1:6" s="377" customFormat="1" ht="27" customHeight="1" x14ac:dyDescent="0.2">
      <c r="A33" s="382" t="s">
        <v>379</v>
      </c>
      <c r="B33" s="533" t="s">
        <v>449</v>
      </c>
      <c r="C33" s="534"/>
      <c r="D33" s="534"/>
      <c r="E33" s="535"/>
      <c r="F33" s="378"/>
    </row>
    <row r="34" spans="1:6" s="377" customFormat="1" ht="27" customHeight="1" x14ac:dyDescent="0.2">
      <c r="A34" s="382" t="s">
        <v>380</v>
      </c>
      <c r="B34" s="533" t="s">
        <v>450</v>
      </c>
      <c r="C34" s="534"/>
      <c r="D34" s="534"/>
      <c r="E34" s="535"/>
      <c r="F34" s="378"/>
    </row>
  </sheetData>
  <mergeCells count="18"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  <mergeCell ref="B5:E5"/>
    <mergeCell ref="B12:E12"/>
    <mergeCell ref="B13:E13"/>
    <mergeCell ref="B14:E14"/>
    <mergeCell ref="B19:E19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 xml:space="preserve">&amp;C&amp;"Arial,Negrita"&amp;18FORMATOS DEL PROYECTO DE PRESUPUESTO 2022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AB41"/>
  <sheetViews>
    <sheetView topLeftCell="A16" zoomScaleNormal="100" zoomScaleSheetLayoutView="90" zoomScalePageLayoutView="85" workbookViewId="0">
      <selection sqref="A1:W41"/>
    </sheetView>
  </sheetViews>
  <sheetFormatPr baseColWidth="10" defaultColWidth="11.42578125" defaultRowHeight="12.75" x14ac:dyDescent="0.2"/>
  <cols>
    <col min="1" max="1" width="24" style="31" customWidth="1"/>
    <col min="2" max="2" width="7" style="31" customWidth="1"/>
    <col min="3" max="3" width="5.140625" style="31" bestFit="1" customWidth="1"/>
    <col min="4" max="4" width="7" style="31" customWidth="1"/>
    <col min="5" max="5" width="5.28515625" style="31" customWidth="1"/>
    <col min="6" max="7" width="5.140625" style="31" bestFit="1" customWidth="1"/>
    <col min="8" max="8" width="7" style="31" customWidth="1"/>
    <col min="9" max="9" width="3" style="31" bestFit="1" customWidth="1"/>
    <col min="10" max="10" width="5.140625" style="31" bestFit="1" customWidth="1"/>
    <col min="11" max="11" width="6.7109375" style="31" customWidth="1"/>
    <col min="12" max="12" width="11.28515625" style="31" customWidth="1"/>
    <col min="13" max="13" width="7" style="31" customWidth="1"/>
    <col min="14" max="14" width="5.140625" style="31" bestFit="1" customWidth="1"/>
    <col min="15" max="15" width="7" style="31" customWidth="1"/>
    <col min="16" max="18" width="5.140625" style="31" bestFit="1" customWidth="1"/>
    <col min="19" max="19" width="7" style="31" customWidth="1"/>
    <col min="20" max="20" width="3" style="31" bestFit="1" customWidth="1"/>
    <col min="21" max="22" width="7" style="31" customWidth="1"/>
    <col min="23" max="23" width="11.5703125" style="31" customWidth="1"/>
    <col min="24" max="24" width="1.7109375" style="131" customWidth="1"/>
    <col min="25" max="28" width="10.7109375" customWidth="1"/>
    <col min="29" max="16384" width="11.42578125" style="153"/>
  </cols>
  <sheetData>
    <row r="1" spans="1:28" s="158" customFormat="1" ht="15.75" x14ac:dyDescent="0.2">
      <c r="A1" s="345" t="s">
        <v>409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9"/>
    </row>
    <row r="2" spans="1:28" s="158" customFormat="1" ht="15.75" x14ac:dyDescent="0.2">
      <c r="A2" s="345" t="s">
        <v>572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9"/>
    </row>
    <row r="3" spans="1:28" s="135" customFormat="1" ht="15.75" x14ac:dyDescent="0.25">
      <c r="A3" s="346" t="s">
        <v>573</v>
      </c>
      <c r="X3" s="130"/>
    </row>
    <row r="4" spans="1:28" ht="13.5" thickBot="1" x14ac:dyDescent="0.25">
      <c r="L4" s="32"/>
      <c r="W4" s="32"/>
    </row>
    <row r="5" spans="1:28" s="98" customFormat="1" ht="26.25" customHeight="1" x14ac:dyDescent="0.2">
      <c r="A5" s="225" t="s">
        <v>10</v>
      </c>
      <c r="B5" s="587" t="s">
        <v>455</v>
      </c>
      <c r="C5" s="588"/>
      <c r="D5" s="588"/>
      <c r="E5" s="588"/>
      <c r="F5" s="588"/>
      <c r="G5" s="588"/>
      <c r="H5" s="588"/>
      <c r="I5" s="588"/>
      <c r="J5" s="588"/>
      <c r="K5" s="588"/>
      <c r="L5" s="589"/>
      <c r="M5" s="587" t="s">
        <v>456</v>
      </c>
      <c r="N5" s="588"/>
      <c r="O5" s="588"/>
      <c r="P5" s="588"/>
      <c r="Q5" s="588"/>
      <c r="R5" s="588"/>
      <c r="S5" s="588"/>
      <c r="T5" s="588"/>
      <c r="U5" s="588"/>
      <c r="V5" s="588"/>
      <c r="W5" s="589"/>
      <c r="X5" s="132"/>
    </row>
    <row r="6" spans="1:28" s="99" customFormat="1" ht="99.95" customHeight="1" x14ac:dyDescent="0.2">
      <c r="A6" s="226" t="s">
        <v>9</v>
      </c>
      <c r="B6" s="227" t="s">
        <v>347</v>
      </c>
      <c r="C6" s="227" t="s">
        <v>135</v>
      </c>
      <c r="D6" s="228" t="s">
        <v>306</v>
      </c>
      <c r="E6" s="228" t="s">
        <v>300</v>
      </c>
      <c r="F6" s="228" t="s">
        <v>308</v>
      </c>
      <c r="G6" s="228" t="s">
        <v>309</v>
      </c>
      <c r="H6" s="228" t="s">
        <v>310</v>
      </c>
      <c r="I6" s="228" t="s">
        <v>317</v>
      </c>
      <c r="J6" s="229" t="s">
        <v>312</v>
      </c>
      <c r="K6" s="230" t="s">
        <v>314</v>
      </c>
      <c r="L6" s="231" t="s">
        <v>316</v>
      </c>
      <c r="M6" s="227" t="s">
        <v>347</v>
      </c>
      <c r="N6" s="227" t="s">
        <v>135</v>
      </c>
      <c r="O6" s="228" t="s">
        <v>306</v>
      </c>
      <c r="P6" s="228" t="s">
        <v>300</v>
      </c>
      <c r="Q6" s="228" t="s">
        <v>308</v>
      </c>
      <c r="R6" s="228" t="s">
        <v>309</v>
      </c>
      <c r="S6" s="228" t="s">
        <v>310</v>
      </c>
      <c r="T6" s="228" t="s">
        <v>317</v>
      </c>
      <c r="U6" s="229" t="s">
        <v>312</v>
      </c>
      <c r="V6" s="230" t="s">
        <v>314</v>
      </c>
      <c r="W6" s="231" t="s">
        <v>315</v>
      </c>
      <c r="X6" s="133"/>
    </row>
    <row r="7" spans="1:28" x14ac:dyDescent="0.2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42"/>
      <c r="M7" s="33"/>
      <c r="N7" s="33"/>
      <c r="O7" s="33"/>
      <c r="P7" s="33"/>
      <c r="Q7" s="33"/>
      <c r="R7" s="33"/>
      <c r="S7" s="33"/>
      <c r="T7" s="33"/>
      <c r="U7" s="33"/>
      <c r="V7" s="33"/>
      <c r="W7" s="42"/>
      <c r="AA7" s="153"/>
      <c r="AB7" s="153"/>
    </row>
    <row r="8" spans="1:28" x14ac:dyDescent="0.2">
      <c r="A8" s="38" t="s">
        <v>7</v>
      </c>
      <c r="B8" s="39">
        <f t="shared" ref="B8" si="0">SUM(B9:B16)</f>
        <v>221</v>
      </c>
      <c r="C8" s="39">
        <f t="shared" ref="C8:L8" si="1">SUM(C9:C16)</f>
        <v>18</v>
      </c>
      <c r="D8" s="39">
        <f t="shared" si="1"/>
        <v>0</v>
      </c>
      <c r="E8" s="39">
        <f t="shared" si="1"/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239</v>
      </c>
      <c r="L8" s="426">
        <f t="shared" si="1"/>
        <v>7539442</v>
      </c>
      <c r="M8" s="39">
        <f t="shared" ref="M8:W8" si="2">SUM(M9:M16)</f>
        <v>221</v>
      </c>
      <c r="N8" s="39">
        <f t="shared" ref="N8" si="3">SUM(N9:N16)</f>
        <v>18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239</v>
      </c>
      <c r="W8" s="426">
        <f t="shared" si="2"/>
        <v>7604685.2800000003</v>
      </c>
      <c r="X8" s="134"/>
      <c r="AA8" s="153"/>
      <c r="AB8" s="153"/>
    </row>
    <row r="9" spans="1:28" x14ac:dyDescent="0.2">
      <c r="A9" s="425" t="s">
        <v>3</v>
      </c>
      <c r="B9" s="33">
        <v>1</v>
      </c>
      <c r="C9" s="33"/>
      <c r="D9" s="33"/>
      <c r="E9" s="33"/>
      <c r="F9" s="33"/>
      <c r="G9" s="33"/>
      <c r="H9" s="33"/>
      <c r="I9" s="33"/>
      <c r="J9" s="33"/>
      <c r="K9" s="33">
        <f>SUM(B9:J9)</f>
        <v>1</v>
      </c>
      <c r="L9" s="427">
        <v>12256</v>
      </c>
      <c r="M9" s="33">
        <v>1</v>
      </c>
      <c r="N9" s="33"/>
      <c r="O9" s="33"/>
      <c r="P9" s="33"/>
      <c r="Q9" s="33"/>
      <c r="R9" s="33"/>
      <c r="S9" s="33"/>
      <c r="T9" s="33"/>
      <c r="U9" s="33"/>
      <c r="V9" s="33">
        <f>SUM(M9:U9)</f>
        <v>1</v>
      </c>
      <c r="W9" s="427">
        <v>12256</v>
      </c>
      <c r="AA9" s="153"/>
      <c r="AB9" s="153"/>
    </row>
    <row r="10" spans="1:28" x14ac:dyDescent="0.2">
      <c r="A10" s="425" t="s">
        <v>574</v>
      </c>
      <c r="B10" s="33">
        <v>1</v>
      </c>
      <c r="C10" s="33"/>
      <c r="D10" s="33"/>
      <c r="E10" s="33"/>
      <c r="F10" s="33"/>
      <c r="G10" s="33"/>
      <c r="H10" s="33"/>
      <c r="I10" s="33"/>
      <c r="J10" s="33"/>
      <c r="K10" s="33">
        <f t="shared" ref="K10:K16" si="4">SUM(B10:J10)</f>
        <v>1</v>
      </c>
      <c r="L10" s="427">
        <v>12026</v>
      </c>
      <c r="M10" s="33">
        <v>1</v>
      </c>
      <c r="N10" s="33"/>
      <c r="O10" s="33"/>
      <c r="P10" s="33"/>
      <c r="Q10" s="33"/>
      <c r="R10" s="33"/>
      <c r="S10" s="33"/>
      <c r="T10" s="33"/>
      <c r="U10" s="33"/>
      <c r="V10" s="33">
        <f t="shared" ref="V10:V36" si="5">SUM(M10:U10)</f>
        <v>1</v>
      </c>
      <c r="W10" s="427">
        <v>12028</v>
      </c>
      <c r="AA10" s="153"/>
      <c r="AB10" s="153"/>
    </row>
    <row r="11" spans="1:28" x14ac:dyDescent="0.2">
      <c r="A11" s="425" t="s">
        <v>575</v>
      </c>
      <c r="B11" s="33">
        <v>1</v>
      </c>
      <c r="C11" s="33"/>
      <c r="D11" s="33"/>
      <c r="E11" s="33"/>
      <c r="F11" s="33"/>
      <c r="G11" s="33"/>
      <c r="H11" s="33"/>
      <c r="I11" s="33"/>
      <c r="J11" s="33"/>
      <c r="K11" s="33">
        <f t="shared" si="4"/>
        <v>1</v>
      </c>
      <c r="L11" s="427">
        <v>50430</v>
      </c>
      <c r="M11" s="33">
        <v>1</v>
      </c>
      <c r="N11" s="33"/>
      <c r="O11" s="33"/>
      <c r="P11" s="33"/>
      <c r="Q11" s="33"/>
      <c r="R11" s="33"/>
      <c r="S11" s="33"/>
      <c r="T11" s="33"/>
      <c r="U11" s="33"/>
      <c r="V11" s="33">
        <f t="shared" si="5"/>
        <v>1</v>
      </c>
      <c r="W11" s="427">
        <v>50430</v>
      </c>
      <c r="AA11" s="153"/>
      <c r="AB11" s="153"/>
    </row>
    <row r="12" spans="1:28" x14ac:dyDescent="0.2">
      <c r="A12" s="425" t="s">
        <v>576</v>
      </c>
      <c r="B12" s="33"/>
      <c r="C12" s="74">
        <v>18</v>
      </c>
      <c r="D12" s="33"/>
      <c r="E12" s="33"/>
      <c r="F12" s="33"/>
      <c r="G12" s="33"/>
      <c r="H12" s="33"/>
      <c r="I12" s="33"/>
      <c r="J12" s="33"/>
      <c r="K12" s="33">
        <f t="shared" si="4"/>
        <v>18</v>
      </c>
      <c r="L12" s="427">
        <v>679762</v>
      </c>
      <c r="M12" s="33"/>
      <c r="N12" s="74">
        <v>18</v>
      </c>
      <c r="O12" s="33"/>
      <c r="P12" s="33"/>
      <c r="Q12" s="33"/>
      <c r="R12" s="33"/>
      <c r="S12" s="33"/>
      <c r="T12" s="33"/>
      <c r="U12" s="33"/>
      <c r="V12" s="33">
        <f t="shared" si="5"/>
        <v>18</v>
      </c>
      <c r="W12" s="427">
        <f>453252.04+26061.08+40257.88+96760.56+61380.28</f>
        <v>677711.84000000008</v>
      </c>
      <c r="AA12" s="153"/>
      <c r="AB12" s="153"/>
    </row>
    <row r="13" spans="1:28" x14ac:dyDescent="0.2">
      <c r="A13" s="425" t="s">
        <v>577</v>
      </c>
      <c r="B13" s="33">
        <v>33</v>
      </c>
      <c r="C13" s="33"/>
      <c r="D13" s="33"/>
      <c r="E13" s="33"/>
      <c r="F13" s="33"/>
      <c r="G13" s="33"/>
      <c r="H13" s="33"/>
      <c r="I13" s="33"/>
      <c r="J13" s="33"/>
      <c r="K13" s="33">
        <f t="shared" si="4"/>
        <v>33</v>
      </c>
      <c r="L13" s="427">
        <v>1238494</v>
      </c>
      <c r="M13" s="33">
        <f>4+7+9+2+4+1+3+1+1+1</f>
        <v>33</v>
      </c>
      <c r="N13" s="33"/>
      <c r="O13" s="33"/>
      <c r="P13" s="33"/>
      <c r="Q13" s="33"/>
      <c r="R13" s="33"/>
      <c r="S13" s="33"/>
      <c r="T13" s="33"/>
      <c r="U13" s="33"/>
      <c r="V13" s="33">
        <f t="shared" si="5"/>
        <v>33</v>
      </c>
      <c r="W13" s="427">
        <f>135153.28+180935.44+354985.44+71904.32+166398.4+43999.6+156718.8+41599.6+45199.6+41599.6</f>
        <v>1238494.0800000003</v>
      </c>
      <c r="AA13" s="153"/>
      <c r="AB13" s="153"/>
    </row>
    <row r="14" spans="1:28" x14ac:dyDescent="0.2">
      <c r="A14" s="425" t="s">
        <v>578</v>
      </c>
      <c r="B14" s="33">
        <v>73</v>
      </c>
      <c r="C14" s="33"/>
      <c r="D14" s="33"/>
      <c r="E14" s="33"/>
      <c r="F14" s="33"/>
      <c r="G14" s="33"/>
      <c r="H14" s="33"/>
      <c r="I14" s="33"/>
      <c r="J14" s="33"/>
      <c r="K14" s="33">
        <f t="shared" si="4"/>
        <v>73</v>
      </c>
      <c r="L14" s="427">
        <v>2416860</v>
      </c>
      <c r="M14" s="33">
        <f>26+2+3+7+3+1+2+11+2+3+3+8+1</f>
        <v>72</v>
      </c>
      <c r="N14" s="33"/>
      <c r="O14" s="33"/>
      <c r="P14" s="33"/>
      <c r="Q14" s="33"/>
      <c r="R14" s="33"/>
      <c r="S14" s="33"/>
      <c r="T14" s="33"/>
      <c r="U14" s="33"/>
      <c r="V14" s="33">
        <f t="shared" si="5"/>
        <v>72</v>
      </c>
      <c r="W14" s="427">
        <f>839838.36+73822.18+108560.76+237116.44+101312.76+32930.92+67541.84+358685.36+73495.52+115703.28+106103.26+260862.08+40887.76</f>
        <v>2416860.52</v>
      </c>
      <c r="AA14" s="153"/>
      <c r="AB14" s="153"/>
    </row>
    <row r="15" spans="1:28" x14ac:dyDescent="0.2">
      <c r="A15" s="425" t="s">
        <v>579</v>
      </c>
      <c r="B15" s="33">
        <v>81</v>
      </c>
      <c r="C15" s="33"/>
      <c r="D15" s="33"/>
      <c r="E15" s="33"/>
      <c r="F15" s="33"/>
      <c r="G15" s="33"/>
      <c r="H15" s="33"/>
      <c r="I15" s="33"/>
      <c r="J15" s="33"/>
      <c r="K15" s="33">
        <f t="shared" si="4"/>
        <v>81</v>
      </c>
      <c r="L15" s="427">
        <v>2241306</v>
      </c>
      <c r="M15" s="33">
        <f>29+27+2+1+1+1+7+1+12</f>
        <v>81</v>
      </c>
      <c r="N15" s="33"/>
      <c r="O15" s="33"/>
      <c r="P15" s="33"/>
      <c r="Q15" s="33"/>
      <c r="R15" s="33"/>
      <c r="S15" s="33"/>
      <c r="T15" s="33"/>
      <c r="U15" s="33"/>
      <c r="V15" s="33">
        <f t="shared" si="5"/>
        <v>81</v>
      </c>
      <c r="W15" s="427">
        <f>797458.4+685303.2+62412.8+30106.48+30106.48+316026.36+29783.32+357399.84</f>
        <v>2308596.8800000004</v>
      </c>
      <c r="AA15" s="153"/>
      <c r="AB15" s="153"/>
    </row>
    <row r="16" spans="1:28" x14ac:dyDescent="0.2">
      <c r="A16" s="425" t="s">
        <v>12</v>
      </c>
      <c r="B16" s="33">
        <v>31</v>
      </c>
      <c r="C16" s="33"/>
      <c r="D16" s="33"/>
      <c r="E16" s="33"/>
      <c r="F16" s="33"/>
      <c r="G16" s="33"/>
      <c r="H16" s="33"/>
      <c r="I16" s="33"/>
      <c r="J16" s="33"/>
      <c r="K16" s="33">
        <f t="shared" si="4"/>
        <v>31</v>
      </c>
      <c r="L16" s="427">
        <v>888308</v>
      </c>
      <c r="M16" s="33">
        <f>6+1+6+7+2+2+2+2+3+1</f>
        <v>32</v>
      </c>
      <c r="N16" s="33"/>
      <c r="O16" s="33"/>
      <c r="P16" s="33"/>
      <c r="Q16" s="33"/>
      <c r="R16" s="33"/>
      <c r="S16" s="33"/>
      <c r="T16" s="33"/>
      <c r="U16" s="33"/>
      <c r="V16" s="33">
        <f t="shared" si="5"/>
        <v>32</v>
      </c>
      <c r="W16" s="427">
        <f>150549.36+177212.4+209351.8+59070.8+58424.72+58424.72+58424.72+87637.08+29212.36</f>
        <v>888307.96</v>
      </c>
      <c r="AA16" s="153"/>
      <c r="AB16" s="153"/>
    </row>
    <row r="17" spans="1:28" x14ac:dyDescent="0.2">
      <c r="A17" s="38" t="s">
        <v>4</v>
      </c>
      <c r="B17" s="39">
        <f t="shared" ref="B17:L17" si="6">SUM(B18:B23)</f>
        <v>462</v>
      </c>
      <c r="C17" s="39">
        <f t="shared" si="6"/>
        <v>2500</v>
      </c>
      <c r="D17" s="39">
        <f t="shared" si="6"/>
        <v>0</v>
      </c>
      <c r="E17" s="39">
        <f t="shared" si="6"/>
        <v>0</v>
      </c>
      <c r="F17" s="39">
        <f t="shared" si="6"/>
        <v>0</v>
      </c>
      <c r="G17" s="39">
        <f t="shared" si="6"/>
        <v>0</v>
      </c>
      <c r="H17" s="39">
        <f t="shared" si="6"/>
        <v>0</v>
      </c>
      <c r="I17" s="39">
        <f t="shared" si="6"/>
        <v>0</v>
      </c>
      <c r="J17" s="39">
        <f t="shared" si="6"/>
        <v>0</v>
      </c>
      <c r="K17" s="39">
        <f t="shared" si="6"/>
        <v>2962</v>
      </c>
      <c r="L17" s="426">
        <f t="shared" si="6"/>
        <v>72169034</v>
      </c>
      <c r="M17" s="39">
        <f t="shared" ref="M17:W17" si="7">SUM(M18:M23)</f>
        <v>468</v>
      </c>
      <c r="N17" s="39">
        <f t="shared" ref="N17" si="8">SUM(N18:N23)</f>
        <v>2500</v>
      </c>
      <c r="O17" s="39">
        <f t="shared" si="7"/>
        <v>0</v>
      </c>
      <c r="P17" s="39">
        <f t="shared" si="7"/>
        <v>0</v>
      </c>
      <c r="Q17" s="39">
        <f t="shared" si="7"/>
        <v>0</v>
      </c>
      <c r="R17" s="39">
        <f t="shared" si="7"/>
        <v>0</v>
      </c>
      <c r="S17" s="39">
        <f t="shared" si="7"/>
        <v>0</v>
      </c>
      <c r="T17" s="39">
        <f t="shared" si="7"/>
        <v>0</v>
      </c>
      <c r="U17" s="39">
        <f t="shared" si="7"/>
        <v>0</v>
      </c>
      <c r="V17" s="39">
        <f t="shared" si="7"/>
        <v>2968</v>
      </c>
      <c r="W17" s="426">
        <f t="shared" si="7"/>
        <v>72078971.900000006</v>
      </c>
      <c r="X17" s="134"/>
      <c r="AA17" s="153"/>
      <c r="AB17" s="153"/>
    </row>
    <row r="18" spans="1:28" x14ac:dyDescent="0.2">
      <c r="A18" s="37" t="s">
        <v>13</v>
      </c>
      <c r="B18" s="33">
        <v>58</v>
      </c>
      <c r="C18" s="33"/>
      <c r="D18" s="33"/>
      <c r="E18" s="33"/>
      <c r="F18" s="33"/>
      <c r="G18" s="33"/>
      <c r="H18" s="33"/>
      <c r="I18" s="33"/>
      <c r="J18" s="33"/>
      <c r="K18" s="33">
        <f t="shared" ref="K18:K36" si="9">SUM(B18:J18)</f>
        <v>58</v>
      </c>
      <c r="L18" s="427">
        <v>1512812</v>
      </c>
      <c r="M18" s="33">
        <f>15+13+6+3+7+8+1+2+1+1+1</f>
        <v>58</v>
      </c>
      <c r="N18" s="33"/>
      <c r="O18" s="33"/>
      <c r="P18" s="33"/>
      <c r="Q18" s="33"/>
      <c r="R18" s="33"/>
      <c r="S18" s="33"/>
      <c r="T18" s="33"/>
      <c r="U18" s="33"/>
      <c r="V18" s="33">
        <f t="shared" si="5"/>
        <v>58</v>
      </c>
      <c r="W18" s="427">
        <f>380785.1+308197.24+149279.28+85783.2+197240.8+221486.72+27685.84+55371.68+27685.84+27685.84</f>
        <v>1481201.54</v>
      </c>
      <c r="AA18" s="153"/>
      <c r="AB18" s="153"/>
    </row>
    <row r="19" spans="1:28" x14ac:dyDescent="0.2">
      <c r="A19" s="37" t="s">
        <v>580</v>
      </c>
      <c r="B19" s="33">
        <v>55</v>
      </c>
      <c r="C19" s="33"/>
      <c r="D19" s="33"/>
      <c r="E19" s="33"/>
      <c r="F19" s="33"/>
      <c r="G19" s="33"/>
      <c r="H19" s="33"/>
      <c r="I19" s="33"/>
      <c r="J19" s="33"/>
      <c r="K19" s="33">
        <f t="shared" si="9"/>
        <v>55</v>
      </c>
      <c r="L19" s="427">
        <v>1424593</v>
      </c>
      <c r="M19" s="33">
        <f>29+1+1+59+2+5+3+8+2+4</f>
        <v>114</v>
      </c>
      <c r="N19" s="33"/>
      <c r="O19" s="33"/>
      <c r="P19" s="33"/>
      <c r="Q19" s="33"/>
      <c r="R19" s="33"/>
      <c r="S19" s="33"/>
      <c r="T19" s="33"/>
      <c r="U19" s="33"/>
      <c r="V19" s="33">
        <f t="shared" si="5"/>
        <v>114</v>
      </c>
      <c r="W19" s="427">
        <f>718493+23408.2+24580+60+1597314+55606.64+136932.8+82159.68+219092.48+54773.12+109546.24</f>
        <v>3021966.1600000006</v>
      </c>
      <c r="AA19" s="153"/>
      <c r="AB19" s="153"/>
    </row>
    <row r="20" spans="1:28" x14ac:dyDescent="0.2">
      <c r="A20" s="37" t="s">
        <v>581</v>
      </c>
      <c r="B20" s="33">
        <v>49</v>
      </c>
      <c r="C20" s="33"/>
      <c r="D20" s="33"/>
      <c r="E20" s="33"/>
      <c r="F20" s="33"/>
      <c r="G20" s="33"/>
      <c r="H20" s="33"/>
      <c r="I20" s="33"/>
      <c r="J20" s="33"/>
      <c r="K20" s="33">
        <f t="shared" si="9"/>
        <v>49</v>
      </c>
      <c r="L20" s="427">
        <v>1229145</v>
      </c>
      <c r="M20" s="33">
        <f>16+12+3+30+1+4+4+1+4+3</f>
        <v>78</v>
      </c>
      <c r="N20" s="33"/>
      <c r="O20" s="33"/>
      <c r="P20" s="33"/>
      <c r="Q20" s="33"/>
      <c r="R20" s="33"/>
      <c r="S20" s="33"/>
      <c r="T20" s="33"/>
      <c r="U20" s="33"/>
      <c r="V20" s="33">
        <f t="shared" si="5"/>
        <v>78</v>
      </c>
      <c r="W20" s="427">
        <f>391061.44+277315.68+72846.12+818402.4+27426.04+108352+27088+108352+27088+108352+81264</f>
        <v>2047547.6800000002</v>
      </c>
      <c r="AA20" s="153"/>
      <c r="AB20" s="153"/>
    </row>
    <row r="21" spans="1:28" x14ac:dyDescent="0.2">
      <c r="A21" s="37" t="s">
        <v>582</v>
      </c>
      <c r="B21" s="33">
        <v>127</v>
      </c>
      <c r="C21" s="33"/>
      <c r="D21" s="33"/>
      <c r="E21" s="33"/>
      <c r="F21" s="33"/>
      <c r="G21" s="33"/>
      <c r="H21" s="33"/>
      <c r="I21" s="33"/>
      <c r="J21" s="33"/>
      <c r="K21" s="33">
        <f t="shared" si="9"/>
        <v>127</v>
      </c>
      <c r="L21" s="427">
        <v>3408198</v>
      </c>
      <c r="M21" s="33">
        <f>4+1+1+2+3+15+7+12+4+1+4+9+7</f>
        <v>70</v>
      </c>
      <c r="N21" s="33"/>
      <c r="O21" s="33"/>
      <c r="P21" s="33"/>
      <c r="Q21" s="33"/>
      <c r="R21" s="33"/>
      <c r="S21" s="33"/>
      <c r="T21" s="33"/>
      <c r="U21" s="33"/>
      <c r="V21" s="33">
        <f t="shared" si="5"/>
        <v>70</v>
      </c>
      <c r="W21" s="427">
        <f>96057.04+22810.96+23983.36+52778.24+81219.36+406096.8+189511.84+321471.84+107157.28+26789.32+107157.28+241103.88+187525.24</f>
        <v>1863662.4400000002</v>
      </c>
      <c r="AA21" s="153"/>
      <c r="AB21" s="153"/>
    </row>
    <row r="22" spans="1:28" x14ac:dyDescent="0.2">
      <c r="A22" s="37" t="s">
        <v>14</v>
      </c>
      <c r="B22" s="33">
        <v>115</v>
      </c>
      <c r="C22" s="33"/>
      <c r="D22" s="33"/>
      <c r="E22" s="33"/>
      <c r="F22" s="33"/>
      <c r="G22" s="33"/>
      <c r="H22" s="33"/>
      <c r="I22" s="33"/>
      <c r="J22" s="33"/>
      <c r="K22" s="33">
        <f t="shared" si="9"/>
        <v>115</v>
      </c>
      <c r="L22" s="427">
        <v>3083250</v>
      </c>
      <c r="M22" s="90">
        <f>2+1+11+24+9+8+7+2+8+2+5</f>
        <v>79</v>
      </c>
      <c r="N22" s="33"/>
      <c r="O22" s="33"/>
      <c r="P22" s="33"/>
      <c r="Q22" s="33"/>
      <c r="R22" s="33"/>
      <c r="S22" s="33"/>
      <c r="T22" s="33"/>
      <c r="U22" s="33"/>
      <c r="V22" s="33">
        <f t="shared" si="5"/>
        <v>79</v>
      </c>
      <c r="W22" s="427">
        <f>48233.12+1+293800.88+641281.92+240480.72+213760.64+185433.64+52981.04+211924.16+238414.68+132452.6</f>
        <v>2258764.4000000004</v>
      </c>
      <c r="AA22" s="153"/>
      <c r="AB22" s="153"/>
    </row>
    <row r="23" spans="1:28" x14ac:dyDescent="0.2">
      <c r="A23" s="37" t="s">
        <v>583</v>
      </c>
      <c r="B23" s="33">
        <v>58</v>
      </c>
      <c r="C23" s="33">
        <v>2500</v>
      </c>
      <c r="D23" s="33"/>
      <c r="E23" s="33"/>
      <c r="F23" s="33"/>
      <c r="G23" s="33"/>
      <c r="H23" s="33"/>
      <c r="I23" s="33"/>
      <c r="J23" s="33"/>
      <c r="K23" s="33">
        <f t="shared" si="9"/>
        <v>2558</v>
      </c>
      <c r="L23" s="427">
        <f>1525138+59985898</f>
        <v>61511036</v>
      </c>
      <c r="M23" s="33">
        <f>7+18+4+6+12+2+15+2+3</f>
        <v>69</v>
      </c>
      <c r="N23" s="33">
        <v>2500</v>
      </c>
      <c r="O23" s="33"/>
      <c r="P23" s="33"/>
      <c r="Q23" s="33"/>
      <c r="R23" s="33"/>
      <c r="S23" s="33"/>
      <c r="T23" s="33"/>
      <c r="U23" s="33"/>
      <c r="V23" s="33">
        <f t="shared" si="5"/>
        <v>2569</v>
      </c>
      <c r="W23" s="427">
        <f>184723.84+475004.16+104855.68+157283.52+314567.04+52427.84+52427.84+78641.76+59985898</f>
        <v>61405829.68</v>
      </c>
      <c r="AA23" s="153"/>
      <c r="AB23" s="153"/>
    </row>
    <row r="24" spans="1:28" x14ac:dyDescent="0.2">
      <c r="A24" s="38" t="s">
        <v>5</v>
      </c>
      <c r="B24" s="39">
        <f t="shared" ref="B24:L24" si="10">SUM(B25:B30)</f>
        <v>1012</v>
      </c>
      <c r="C24" s="39">
        <f t="shared" si="10"/>
        <v>0</v>
      </c>
      <c r="D24" s="39">
        <f t="shared" si="10"/>
        <v>0</v>
      </c>
      <c r="E24" s="39">
        <f t="shared" si="10"/>
        <v>0</v>
      </c>
      <c r="F24" s="39">
        <f t="shared" si="10"/>
        <v>0</v>
      </c>
      <c r="G24" s="39">
        <f t="shared" si="10"/>
        <v>0</v>
      </c>
      <c r="H24" s="39">
        <f t="shared" si="10"/>
        <v>0</v>
      </c>
      <c r="I24" s="39">
        <f t="shared" si="10"/>
        <v>0</v>
      </c>
      <c r="J24" s="39">
        <f t="shared" si="10"/>
        <v>0</v>
      </c>
      <c r="K24" s="39">
        <f t="shared" si="10"/>
        <v>1012</v>
      </c>
      <c r="L24" s="426">
        <f t="shared" si="10"/>
        <v>24873978</v>
      </c>
      <c r="M24" s="39">
        <f t="shared" ref="M24:W24" si="11">SUM(M25:M30)</f>
        <v>1016</v>
      </c>
      <c r="N24" s="428">
        <f t="shared" si="11"/>
        <v>0</v>
      </c>
      <c r="O24" s="39">
        <f t="shared" si="11"/>
        <v>0</v>
      </c>
      <c r="P24" s="39">
        <f t="shared" si="11"/>
        <v>0</v>
      </c>
      <c r="Q24" s="39">
        <f t="shared" si="11"/>
        <v>0</v>
      </c>
      <c r="R24" s="39">
        <f t="shared" si="11"/>
        <v>0</v>
      </c>
      <c r="S24" s="39">
        <f t="shared" si="11"/>
        <v>0</v>
      </c>
      <c r="T24" s="39">
        <f t="shared" si="11"/>
        <v>0</v>
      </c>
      <c r="U24" s="39">
        <f t="shared" si="11"/>
        <v>0</v>
      </c>
      <c r="V24" s="39">
        <f t="shared" si="11"/>
        <v>1016</v>
      </c>
      <c r="W24" s="426">
        <f t="shared" si="11"/>
        <v>24931393.680000003</v>
      </c>
      <c r="X24" s="134"/>
      <c r="AA24" s="153"/>
      <c r="AB24" s="153"/>
    </row>
    <row r="25" spans="1:28" x14ac:dyDescent="0.2">
      <c r="A25" s="37" t="s">
        <v>15</v>
      </c>
      <c r="B25" s="33">
        <v>518</v>
      </c>
      <c r="C25" s="33"/>
      <c r="D25" s="33"/>
      <c r="E25" s="33"/>
      <c r="F25" s="33"/>
      <c r="G25" s="33"/>
      <c r="H25" s="33"/>
      <c r="I25" s="33"/>
      <c r="J25" s="33"/>
      <c r="K25" s="33">
        <f t="shared" si="9"/>
        <v>518</v>
      </c>
      <c r="L25" s="427">
        <v>12745029</v>
      </c>
      <c r="M25" s="33">
        <f>48+48+22+218+42+15+18+24+22+4+22+12+8+11+4</f>
        <v>518</v>
      </c>
      <c r="N25" s="74"/>
      <c r="O25" s="33"/>
      <c r="P25" s="33"/>
      <c r="Q25" s="33"/>
      <c r="R25" s="33"/>
      <c r="S25" s="33"/>
      <c r="T25" s="33"/>
      <c r="U25" s="33"/>
      <c r="V25" s="33">
        <f t="shared" si="5"/>
        <v>518</v>
      </c>
      <c r="W25" s="427">
        <f>1043690.88+1+1043690.88+476358.32+5555738.72+1070371.68+382275.6+458730.72+608337.6+557642.8+101389.6+557642.8+304168.8+202779.2+278821.4+101389.6</f>
        <v>12743029.600000001</v>
      </c>
      <c r="AA25" s="153"/>
      <c r="AB25" s="153"/>
    </row>
    <row r="26" spans="1:28" x14ac:dyDescent="0.2">
      <c r="A26" s="37" t="s">
        <v>584</v>
      </c>
      <c r="B26" s="33">
        <v>152</v>
      </c>
      <c r="C26" s="33"/>
      <c r="D26" s="33"/>
      <c r="E26" s="33"/>
      <c r="F26" s="33"/>
      <c r="G26" s="33"/>
      <c r="H26" s="33"/>
      <c r="I26" s="33"/>
      <c r="J26" s="33"/>
      <c r="K26" s="33">
        <f t="shared" si="9"/>
        <v>152</v>
      </c>
      <c r="L26" s="427">
        <v>3645443</v>
      </c>
      <c r="M26" s="33">
        <f>25+30+37+2+16+4+4+7+3+5+12+7</f>
        <v>152</v>
      </c>
      <c r="N26" s="74"/>
      <c r="O26" s="33"/>
      <c r="P26" s="33"/>
      <c r="Q26" s="33"/>
      <c r="R26" s="33"/>
      <c r="S26" s="33"/>
      <c r="T26" s="33"/>
      <c r="U26" s="33"/>
      <c r="V26" s="33">
        <f t="shared" si="5"/>
        <v>152</v>
      </c>
      <c r="W26" s="427">
        <f>541261+1+649513.2+939154.72+50765.12+404068.48+101017.12+101017.12+176779.96+75762.84+126271.4+303051.36+176779.96</f>
        <v>3645443.28</v>
      </c>
      <c r="AA26" s="153"/>
      <c r="AB26" s="153"/>
    </row>
    <row r="27" spans="1:28" x14ac:dyDescent="0.2">
      <c r="A27" s="37" t="s">
        <v>585</v>
      </c>
      <c r="B27" s="33">
        <v>108</v>
      </c>
      <c r="C27" s="33"/>
      <c r="D27" s="33"/>
      <c r="E27" s="33"/>
      <c r="F27" s="33"/>
      <c r="G27" s="33"/>
      <c r="H27" s="33"/>
      <c r="I27" s="33"/>
      <c r="J27" s="33"/>
      <c r="K27" s="33">
        <f t="shared" si="9"/>
        <v>108</v>
      </c>
      <c r="L27" s="427">
        <v>2620743</v>
      </c>
      <c r="M27" s="33">
        <f>8+2+19+1+1+39+12+10+2+1+5+3+2+3</f>
        <v>108</v>
      </c>
      <c r="N27" s="74"/>
      <c r="O27" s="33"/>
      <c r="P27" s="33"/>
      <c r="Q27" s="33"/>
      <c r="R27" s="33"/>
      <c r="S27" s="33"/>
      <c r="T27" s="33"/>
      <c r="U27" s="33"/>
      <c r="V27" s="33">
        <f t="shared" si="5"/>
        <v>108</v>
      </c>
      <c r="W27" s="427">
        <f>172456.64+1+43114.16+409584.52+25279.84+25279.84+984473.76+301931.04+251609.2+50321.84+25160.92+125804.6+75482.76+50321.84+75482.76</f>
        <v>2616304.7199999993</v>
      </c>
      <c r="AA27" s="153"/>
      <c r="AB27" s="153"/>
    </row>
    <row r="28" spans="1:28" x14ac:dyDescent="0.2">
      <c r="A28" s="37" t="s">
        <v>586</v>
      </c>
      <c r="B28" s="33">
        <v>81</v>
      </c>
      <c r="C28" s="33"/>
      <c r="D28" s="33"/>
      <c r="E28" s="33"/>
      <c r="F28" s="33"/>
      <c r="G28" s="33"/>
      <c r="H28" s="33"/>
      <c r="I28" s="33"/>
      <c r="J28" s="33"/>
      <c r="K28" s="33">
        <f t="shared" si="9"/>
        <v>81</v>
      </c>
      <c r="L28" s="427">
        <v>2023193</v>
      </c>
      <c r="M28" s="33">
        <f>1+1+1+2+3+26+1+7+11+25+2+3</f>
        <v>83</v>
      </c>
      <c r="N28" s="74"/>
      <c r="O28" s="33"/>
      <c r="P28" s="33"/>
      <c r="Q28" s="33"/>
      <c r="R28" s="33"/>
      <c r="S28" s="33"/>
      <c r="T28" s="33"/>
      <c r="U28" s="33"/>
      <c r="V28" s="33">
        <f t="shared" si="5"/>
        <v>83</v>
      </c>
      <c r="W28" s="427">
        <f>21500.56+1+21500.56+21500.56+50427.92+75641.88+652714.4+25104.4+175730.8+276148.4+627610+50208.8+75313.2</f>
        <v>2073402.48</v>
      </c>
      <c r="AA28" s="153"/>
      <c r="AB28" s="153"/>
    </row>
    <row r="29" spans="1:28" x14ac:dyDescent="0.2">
      <c r="A29" s="37" t="s">
        <v>16</v>
      </c>
      <c r="B29" s="33">
        <v>121</v>
      </c>
      <c r="C29" s="33"/>
      <c r="D29" s="33"/>
      <c r="E29" s="33"/>
      <c r="F29" s="33"/>
      <c r="G29" s="33"/>
      <c r="H29" s="33"/>
      <c r="I29" s="33"/>
      <c r="J29" s="33"/>
      <c r="K29" s="33">
        <f t="shared" si="9"/>
        <v>121</v>
      </c>
      <c r="L29" s="427">
        <v>3056258</v>
      </c>
      <c r="M29" s="33">
        <f>56+21+20+9+9+3+4</f>
        <v>122</v>
      </c>
      <c r="N29" s="74"/>
      <c r="O29" s="33"/>
      <c r="P29" s="33"/>
      <c r="Q29" s="33"/>
      <c r="R29" s="33"/>
      <c r="S29" s="33"/>
      <c r="T29" s="33"/>
      <c r="U29" s="33"/>
      <c r="V29" s="33">
        <f t="shared" si="5"/>
        <v>122</v>
      </c>
      <c r="W29" s="427">
        <f>1410778.88+526162.08+503849.6+226732.32+226732.32+75277.2+100369.6</f>
        <v>3069902</v>
      </c>
      <c r="AA29" s="153"/>
      <c r="AB29" s="153"/>
    </row>
    <row r="30" spans="1:28" x14ac:dyDescent="0.2">
      <c r="A30" s="37" t="s">
        <v>587</v>
      </c>
      <c r="B30" s="33">
        <v>32</v>
      </c>
      <c r="C30" s="33"/>
      <c r="D30" s="33"/>
      <c r="E30" s="33"/>
      <c r="F30" s="33"/>
      <c r="G30" s="33"/>
      <c r="H30" s="33"/>
      <c r="I30" s="33"/>
      <c r="J30" s="33"/>
      <c r="K30" s="33">
        <f t="shared" si="9"/>
        <v>32</v>
      </c>
      <c r="L30" s="427">
        <v>783312</v>
      </c>
      <c r="M30" s="33">
        <f>6+1+8+18</f>
        <v>33</v>
      </c>
      <c r="N30" s="74"/>
      <c r="O30" s="33"/>
      <c r="P30" s="33"/>
      <c r="Q30" s="33"/>
      <c r="R30" s="33"/>
      <c r="S30" s="33"/>
      <c r="T30" s="33"/>
      <c r="U30" s="33"/>
      <c r="V30" s="33">
        <f t="shared" si="5"/>
        <v>33</v>
      </c>
      <c r="W30" s="427">
        <f>128859.36+201369.92+453082.32</f>
        <v>783311.60000000009</v>
      </c>
      <c r="AA30" s="153"/>
      <c r="AB30" s="153"/>
    </row>
    <row r="31" spans="1:28" x14ac:dyDescent="0.2">
      <c r="A31" s="38" t="s">
        <v>6</v>
      </c>
      <c r="B31" s="39">
        <f t="shared" ref="B31:J31" si="12">SUM(B32:C36)</f>
        <v>786</v>
      </c>
      <c r="C31" s="39">
        <f t="shared" si="12"/>
        <v>0</v>
      </c>
      <c r="D31" s="39">
        <f t="shared" si="12"/>
        <v>0</v>
      </c>
      <c r="E31" s="39">
        <f t="shared" si="12"/>
        <v>0</v>
      </c>
      <c r="F31" s="39">
        <f t="shared" si="12"/>
        <v>0</v>
      </c>
      <c r="G31" s="39">
        <f t="shared" si="12"/>
        <v>0</v>
      </c>
      <c r="H31" s="39">
        <f t="shared" si="12"/>
        <v>0</v>
      </c>
      <c r="I31" s="39">
        <f t="shared" si="12"/>
        <v>0</v>
      </c>
      <c r="J31" s="39">
        <f t="shared" si="12"/>
        <v>786</v>
      </c>
      <c r="K31" s="426">
        <f>SUM(K32:K36)</f>
        <v>786</v>
      </c>
      <c r="L31" s="426">
        <f>SUM(L32:L36)</f>
        <v>19262205</v>
      </c>
      <c r="M31" s="39">
        <f t="shared" ref="M31:T31" si="13">SUM(M32:N36)</f>
        <v>836</v>
      </c>
      <c r="N31" s="428">
        <f t="shared" si="13"/>
        <v>0</v>
      </c>
      <c r="O31" s="39">
        <f t="shared" si="13"/>
        <v>0</v>
      </c>
      <c r="P31" s="39">
        <f t="shared" si="13"/>
        <v>0</v>
      </c>
      <c r="Q31" s="39">
        <f t="shared" si="13"/>
        <v>0</v>
      </c>
      <c r="R31" s="39">
        <f t="shared" si="13"/>
        <v>0</v>
      </c>
      <c r="S31" s="39">
        <f t="shared" si="13"/>
        <v>0</v>
      </c>
      <c r="T31" s="39">
        <f t="shared" si="13"/>
        <v>0</v>
      </c>
      <c r="U31" s="39">
        <f>SUM(U32:U36)</f>
        <v>0</v>
      </c>
      <c r="V31" s="39">
        <f>SUM(V32:V36)</f>
        <v>836</v>
      </c>
      <c r="W31" s="426">
        <f>SUM(W32:W36)</f>
        <v>19845088.68</v>
      </c>
      <c r="X31" s="134"/>
      <c r="AA31" s="153"/>
      <c r="AB31" s="153"/>
    </row>
    <row r="32" spans="1:28" x14ac:dyDescent="0.2">
      <c r="A32" s="37" t="s">
        <v>17</v>
      </c>
      <c r="B32" s="33">
        <v>59</v>
      </c>
      <c r="C32" s="33"/>
      <c r="D32" s="33"/>
      <c r="E32" s="33"/>
      <c r="F32" s="33"/>
      <c r="G32" s="33"/>
      <c r="H32" s="33"/>
      <c r="I32" s="33"/>
      <c r="J32" s="33"/>
      <c r="K32" s="33">
        <f t="shared" si="9"/>
        <v>59</v>
      </c>
      <c r="L32" s="427">
        <v>1391300</v>
      </c>
      <c r="M32" s="33">
        <f>7+16+6+17+2+10+5</f>
        <v>63</v>
      </c>
      <c r="N32" s="74"/>
      <c r="O32" s="33"/>
      <c r="P32" s="33"/>
      <c r="Q32" s="33"/>
      <c r="R32" s="33"/>
      <c r="S32" s="33"/>
      <c r="T32" s="33"/>
      <c r="U32" s="33"/>
      <c r="V32" s="33">
        <f t="shared" si="5"/>
        <v>63</v>
      </c>
      <c r="W32" s="427">
        <f>150251.92+149741.52+424267.64+49913.84+248810.8+148961.8</f>
        <v>1171947.52</v>
      </c>
      <c r="AA32" s="153"/>
      <c r="AB32" s="153"/>
    </row>
    <row r="33" spans="1:28" x14ac:dyDescent="0.2">
      <c r="A33" s="37" t="s">
        <v>588</v>
      </c>
      <c r="B33" s="33">
        <v>15</v>
      </c>
      <c r="C33" s="33"/>
      <c r="D33" s="33"/>
      <c r="E33" s="33"/>
      <c r="F33" s="33"/>
      <c r="G33" s="33"/>
      <c r="H33" s="33"/>
      <c r="I33" s="33"/>
      <c r="J33" s="33"/>
      <c r="K33" s="33">
        <f t="shared" si="9"/>
        <v>15</v>
      </c>
      <c r="L33" s="427">
        <v>373474</v>
      </c>
      <c r="M33" s="33">
        <f>1+6+4+1+2</f>
        <v>14</v>
      </c>
      <c r="N33" s="74"/>
      <c r="O33" s="33"/>
      <c r="P33" s="33"/>
      <c r="Q33" s="33"/>
      <c r="R33" s="33"/>
      <c r="S33" s="33"/>
      <c r="T33" s="33"/>
      <c r="U33" s="33"/>
      <c r="V33" s="33">
        <f t="shared" si="5"/>
        <v>14</v>
      </c>
      <c r="W33" s="427">
        <f>21277.84+149159.04+99439.36+24859.84+49719.68</f>
        <v>344455.76</v>
      </c>
      <c r="AA33" s="153"/>
      <c r="AB33" s="153"/>
    </row>
    <row r="34" spans="1:28" x14ac:dyDescent="0.2">
      <c r="A34" s="37" t="s">
        <v>589</v>
      </c>
      <c r="B34" s="33">
        <v>1</v>
      </c>
      <c r="C34" s="33"/>
      <c r="D34" s="33"/>
      <c r="E34" s="33"/>
      <c r="F34" s="33"/>
      <c r="G34" s="33"/>
      <c r="H34" s="33"/>
      <c r="I34" s="33"/>
      <c r="J34" s="33"/>
      <c r="K34" s="33">
        <f t="shared" si="9"/>
        <v>1</v>
      </c>
      <c r="L34" s="427">
        <v>21278</v>
      </c>
      <c r="M34" s="33">
        <f>1+25+1</f>
        <v>27</v>
      </c>
      <c r="N34" s="74"/>
      <c r="O34" s="33"/>
      <c r="P34" s="33"/>
      <c r="Q34" s="33"/>
      <c r="R34" s="33"/>
      <c r="S34" s="33"/>
      <c r="T34" s="33"/>
      <c r="U34" s="33"/>
      <c r="V34" s="33">
        <f t="shared" si="5"/>
        <v>27</v>
      </c>
      <c r="W34" s="427">
        <f>21277.84+803960.44+36858.28</f>
        <v>862096.55999999994</v>
      </c>
      <c r="AA34" s="153"/>
      <c r="AB34" s="153"/>
    </row>
    <row r="35" spans="1:28" x14ac:dyDescent="0.2">
      <c r="A35" s="37" t="s">
        <v>590</v>
      </c>
      <c r="B35" s="33">
        <v>7</v>
      </c>
      <c r="C35" s="33"/>
      <c r="D35" s="33"/>
      <c r="E35" s="33"/>
      <c r="F35" s="33"/>
      <c r="G35" s="33"/>
      <c r="H35" s="33"/>
      <c r="I35" s="33"/>
      <c r="J35" s="33"/>
      <c r="K35" s="33">
        <f t="shared" si="9"/>
        <v>7</v>
      </c>
      <c r="L35" s="427">
        <v>172659</v>
      </c>
      <c r="M35" s="33">
        <v>7</v>
      </c>
      <c r="N35" s="74"/>
      <c r="O35" s="33"/>
      <c r="P35" s="33"/>
      <c r="Q35" s="33"/>
      <c r="R35" s="33"/>
      <c r="S35" s="33"/>
      <c r="T35" s="33"/>
      <c r="U35" s="33"/>
      <c r="V35" s="33">
        <f t="shared" si="5"/>
        <v>7</v>
      </c>
      <c r="W35" s="427">
        <v>172658.92</v>
      </c>
      <c r="AA35" s="153"/>
      <c r="AB35" s="153"/>
    </row>
    <row r="36" spans="1:28" ht="13.5" thickBot="1" x14ac:dyDescent="0.25">
      <c r="A36" s="37" t="s">
        <v>18</v>
      </c>
      <c r="B36" s="33">
        <v>704</v>
      </c>
      <c r="C36" s="33"/>
      <c r="D36" s="33"/>
      <c r="E36" s="33"/>
      <c r="F36" s="33"/>
      <c r="G36" s="33"/>
      <c r="H36" s="33"/>
      <c r="I36" s="33"/>
      <c r="J36" s="33"/>
      <c r="K36" s="33">
        <f t="shared" si="9"/>
        <v>704</v>
      </c>
      <c r="L36" s="427">
        <v>17303494</v>
      </c>
      <c r="M36" s="33">
        <f>322+208+86+73+36</f>
        <v>725</v>
      </c>
      <c r="N36" s="74"/>
      <c r="O36" s="33"/>
      <c r="P36" s="33"/>
      <c r="Q36" s="33"/>
      <c r="R36" s="33"/>
      <c r="S36" s="33"/>
      <c r="T36" s="33"/>
      <c r="U36" s="33"/>
      <c r="V36" s="33">
        <f t="shared" si="5"/>
        <v>725</v>
      </c>
      <c r="W36" s="427">
        <f>7911050.56+4593465.76+2112889.28+1792059.04+884465.28</f>
        <v>17293929.920000002</v>
      </c>
      <c r="AA36" s="153"/>
      <c r="AB36" s="153"/>
    </row>
    <row r="37" spans="1:28" ht="13.5" thickBot="1" x14ac:dyDescent="0.25">
      <c r="A37" s="44" t="s">
        <v>23</v>
      </c>
      <c r="B37" s="429">
        <f>+B31+B24+B17+B8</f>
        <v>2481</v>
      </c>
      <c r="C37" s="429">
        <f t="shared" ref="C37:W37" si="14">+C31+C24+C17+C8</f>
        <v>2518</v>
      </c>
      <c r="D37" s="429">
        <f t="shared" si="14"/>
        <v>0</v>
      </c>
      <c r="E37" s="429">
        <f t="shared" si="14"/>
        <v>0</v>
      </c>
      <c r="F37" s="429">
        <f t="shared" si="14"/>
        <v>0</v>
      </c>
      <c r="G37" s="429">
        <f t="shared" si="14"/>
        <v>0</v>
      </c>
      <c r="H37" s="429">
        <f t="shared" si="14"/>
        <v>0</v>
      </c>
      <c r="I37" s="429">
        <f t="shared" si="14"/>
        <v>0</v>
      </c>
      <c r="J37" s="429">
        <f t="shared" si="14"/>
        <v>786</v>
      </c>
      <c r="K37" s="429">
        <f t="shared" si="14"/>
        <v>4999</v>
      </c>
      <c r="L37" s="429">
        <f t="shared" si="14"/>
        <v>123844659</v>
      </c>
      <c r="M37" s="429">
        <f t="shared" si="14"/>
        <v>2541</v>
      </c>
      <c r="N37" s="430">
        <f t="shared" si="14"/>
        <v>2518</v>
      </c>
      <c r="O37" s="429">
        <f t="shared" si="14"/>
        <v>0</v>
      </c>
      <c r="P37" s="429">
        <f t="shared" si="14"/>
        <v>0</v>
      </c>
      <c r="Q37" s="429">
        <f t="shared" si="14"/>
        <v>0</v>
      </c>
      <c r="R37" s="429">
        <f t="shared" si="14"/>
        <v>0</v>
      </c>
      <c r="S37" s="429">
        <f t="shared" si="14"/>
        <v>0</v>
      </c>
      <c r="T37" s="429">
        <f t="shared" si="14"/>
        <v>0</v>
      </c>
      <c r="U37" s="429">
        <f t="shared" si="14"/>
        <v>0</v>
      </c>
      <c r="V37" s="429">
        <f t="shared" si="14"/>
        <v>5059</v>
      </c>
      <c r="W37" s="429">
        <f t="shared" si="14"/>
        <v>124460139.54000001</v>
      </c>
      <c r="X37" s="134"/>
      <c r="AA37" s="153"/>
      <c r="AB37" s="153"/>
    </row>
    <row r="38" spans="1:28" x14ac:dyDescent="0.2">
      <c r="A38" s="1" t="s">
        <v>313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7"/>
      <c r="Q38" s="131"/>
      <c r="R38"/>
      <c r="S38"/>
      <c r="T38" s="153"/>
      <c r="U38" s="153"/>
      <c r="V38" s="153"/>
      <c r="W38" s="153"/>
      <c r="X38" s="153"/>
      <c r="Y38" s="153"/>
      <c r="Z38" s="153"/>
      <c r="AA38" s="153"/>
      <c r="AB38" s="153"/>
    </row>
    <row r="39" spans="1:28" x14ac:dyDescent="0.2">
      <c r="A39" s="31" t="s">
        <v>307</v>
      </c>
      <c r="P39" s="153"/>
      <c r="Q39" s="131"/>
      <c r="R39"/>
      <c r="S39"/>
      <c r="T39"/>
      <c r="U39"/>
      <c r="V39" s="153"/>
      <c r="W39" s="153"/>
      <c r="X39" s="153"/>
      <c r="Y39" s="153"/>
      <c r="Z39" s="153"/>
      <c r="AA39" s="153"/>
      <c r="AB39" s="153"/>
    </row>
    <row r="40" spans="1:28" x14ac:dyDescent="0.2">
      <c r="A40" s="31" t="s">
        <v>311</v>
      </c>
      <c r="P40" s="153"/>
      <c r="Q40" s="131"/>
      <c r="R40"/>
      <c r="S40"/>
      <c r="T40"/>
      <c r="U40"/>
      <c r="V40" s="153"/>
      <c r="W40" s="153"/>
      <c r="X40" s="153"/>
      <c r="Y40" s="153"/>
      <c r="Z40" s="153"/>
      <c r="AA40" s="153"/>
      <c r="AB40" s="153"/>
    </row>
    <row r="41" spans="1:28" x14ac:dyDescent="0.2">
      <c r="A41" s="31" t="s">
        <v>318</v>
      </c>
    </row>
  </sheetData>
  <mergeCells count="2">
    <mergeCell ref="B5:L5"/>
    <mergeCell ref="M5:W5"/>
  </mergeCells>
  <printOptions horizontalCentered="1"/>
  <pageMargins left="0.25" right="0.25" top="0.75" bottom="0.75" header="0.3" footer="0.3"/>
  <pageSetup paperSize="9" scale="80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tabColor theme="6" tint="-0.249977111117893"/>
  </sheetPr>
  <dimension ref="A1:V26"/>
  <sheetViews>
    <sheetView zoomScaleNormal="100" zoomScaleSheetLayoutView="100" zoomScalePageLayoutView="90" workbookViewId="0">
      <selection sqref="A1:I24"/>
    </sheetView>
  </sheetViews>
  <sheetFormatPr baseColWidth="10" defaultColWidth="11.42578125" defaultRowHeight="12" x14ac:dyDescent="0.2"/>
  <cols>
    <col min="1" max="1" width="62" style="3" customWidth="1"/>
    <col min="2" max="2" width="12.42578125" style="3" customWidth="1"/>
    <col min="3" max="3" width="11.7109375" style="3" customWidth="1"/>
    <col min="4" max="4" width="12.140625" style="3" customWidth="1"/>
    <col min="5" max="5" width="11.7109375" style="3" customWidth="1"/>
    <col min="6" max="6" width="11.28515625" style="3" customWidth="1"/>
    <col min="7" max="7" width="11.42578125" style="3" customWidth="1"/>
    <col min="8" max="8" width="12.85546875" style="3" customWidth="1"/>
    <col min="9" max="9" width="14.7109375" style="3" customWidth="1"/>
    <col min="10" max="16384" width="11.42578125" style="3"/>
  </cols>
  <sheetData>
    <row r="1" spans="1:22" s="156" customFormat="1" ht="15.75" x14ac:dyDescent="0.25">
      <c r="A1" s="129" t="s">
        <v>460</v>
      </c>
      <c r="B1" s="161"/>
      <c r="C1" s="160"/>
      <c r="D1" s="160"/>
      <c r="E1" s="160"/>
      <c r="F1" s="160"/>
      <c r="H1" s="157"/>
      <c r="I1" s="157"/>
    </row>
    <row r="2" spans="1:22" s="158" customFormat="1" ht="15.75" x14ac:dyDescent="0.2">
      <c r="A2" s="154" t="s">
        <v>569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s="101" customFormat="1" ht="12.75" thickBot="1" x14ac:dyDescent="0.25">
      <c r="A3" s="9"/>
      <c r="B3" s="11"/>
      <c r="E3" s="11"/>
    </row>
    <row r="4" spans="1:22" ht="12.75" thickBot="1" x14ac:dyDescent="0.25">
      <c r="A4" s="232" t="s">
        <v>10</v>
      </c>
      <c r="B4" s="590" t="s">
        <v>386</v>
      </c>
      <c r="C4" s="590"/>
      <c r="D4" s="591" t="s">
        <v>410</v>
      </c>
      <c r="E4" s="593"/>
      <c r="F4" s="591" t="s">
        <v>411</v>
      </c>
      <c r="G4" s="592"/>
      <c r="H4" s="591" t="s">
        <v>412</v>
      </c>
      <c r="I4" s="592"/>
    </row>
    <row r="5" spans="1:22" s="87" customFormat="1" ht="24" customHeight="1" x14ac:dyDescent="0.2">
      <c r="A5" s="233" t="s">
        <v>9</v>
      </c>
      <c r="B5" s="234" t="s">
        <v>153</v>
      </c>
      <c r="C5" s="235" t="s">
        <v>25</v>
      </c>
      <c r="D5" s="233" t="s">
        <v>153</v>
      </c>
      <c r="E5" s="236" t="s">
        <v>25</v>
      </c>
      <c r="F5" s="233" t="s">
        <v>153</v>
      </c>
      <c r="G5" s="236" t="s">
        <v>25</v>
      </c>
      <c r="H5" s="233" t="s">
        <v>153</v>
      </c>
      <c r="I5" s="236" t="s">
        <v>25</v>
      </c>
    </row>
    <row r="6" spans="1:22" x14ac:dyDescent="0.2">
      <c r="A6" s="136" t="s">
        <v>150</v>
      </c>
      <c r="B6" s="85">
        <v>17062</v>
      </c>
      <c r="C6" s="431">
        <v>481390722</v>
      </c>
      <c r="D6" s="85">
        <v>17062</v>
      </c>
      <c r="E6" s="431">
        <v>530076795</v>
      </c>
      <c r="F6" s="85">
        <v>13975</v>
      </c>
      <c r="G6" s="432">
        <v>550920795</v>
      </c>
      <c r="H6" s="72">
        <f>D6-B6</f>
        <v>0</v>
      </c>
      <c r="I6" s="431">
        <f>E6-C6</f>
        <v>48686073</v>
      </c>
    </row>
    <row r="7" spans="1:22" x14ac:dyDescent="0.2">
      <c r="A7" s="136" t="s">
        <v>181</v>
      </c>
      <c r="B7" s="72"/>
      <c r="C7" s="431">
        <v>21368005</v>
      </c>
      <c r="D7" s="72"/>
      <c r="E7" s="431"/>
      <c r="F7" s="72"/>
      <c r="G7" s="432"/>
      <c r="H7" s="72"/>
      <c r="I7" s="73"/>
    </row>
    <row r="8" spans="1:22" x14ac:dyDescent="0.2">
      <c r="A8" s="136" t="s">
        <v>179</v>
      </c>
      <c r="B8" s="72"/>
      <c r="C8" s="431"/>
      <c r="D8" s="72"/>
      <c r="E8" s="431">
        <v>0</v>
      </c>
      <c r="F8" s="72"/>
      <c r="G8" s="432"/>
      <c r="H8" s="72"/>
      <c r="I8" s="73"/>
    </row>
    <row r="9" spans="1:22" s="112" customFormat="1" x14ac:dyDescent="0.2">
      <c r="A9" s="55" t="s">
        <v>188</v>
      </c>
      <c r="B9" s="72"/>
      <c r="C9" s="431"/>
      <c r="D9" s="72"/>
      <c r="E9" s="431">
        <v>0</v>
      </c>
      <c r="F9" s="72"/>
      <c r="G9" s="432"/>
      <c r="H9" s="72"/>
      <c r="I9" s="73"/>
    </row>
    <row r="10" spans="1:22" s="112" customFormat="1" x14ac:dyDescent="0.2">
      <c r="A10" s="136" t="s">
        <v>182</v>
      </c>
      <c r="B10" s="72">
        <v>9</v>
      </c>
      <c r="C10" s="431">
        <v>428976</v>
      </c>
      <c r="D10" s="72">
        <v>9</v>
      </c>
      <c r="E10" s="431">
        <v>428976</v>
      </c>
      <c r="F10" s="72">
        <v>9</v>
      </c>
      <c r="G10" s="432">
        <v>428976</v>
      </c>
      <c r="H10" s="72">
        <f>D10-B10</f>
        <v>0</v>
      </c>
      <c r="I10" s="431">
        <f>E10-C10</f>
        <v>0</v>
      </c>
    </row>
    <row r="11" spans="1:22" s="112" customFormat="1" x14ac:dyDescent="0.2">
      <c r="A11" s="55" t="s">
        <v>180</v>
      </c>
      <c r="B11" s="85">
        <v>17062</v>
      </c>
      <c r="C11" s="431">
        <v>15660365</v>
      </c>
      <c r="D11" s="85">
        <v>17062</v>
      </c>
      <c r="E11" s="431">
        <v>15650215</v>
      </c>
      <c r="F11" s="85">
        <v>13975</v>
      </c>
      <c r="G11" s="432">
        <f>+F11*1000</f>
        <v>13975000</v>
      </c>
      <c r="H11" s="72"/>
      <c r="I11" s="73"/>
    </row>
    <row r="12" spans="1:22" s="112" customFormat="1" x14ac:dyDescent="0.2">
      <c r="A12" s="136" t="s">
        <v>187</v>
      </c>
      <c r="B12" s="72"/>
      <c r="C12" s="431"/>
      <c r="D12" s="72"/>
      <c r="E12" s="431">
        <v>0</v>
      </c>
      <c r="F12" s="72"/>
      <c r="G12" s="432"/>
      <c r="H12" s="72"/>
      <c r="I12" s="73"/>
    </row>
    <row r="13" spans="1:22" s="112" customFormat="1" x14ac:dyDescent="0.2">
      <c r="A13" s="136" t="s">
        <v>27</v>
      </c>
      <c r="B13" s="72">
        <v>981</v>
      </c>
      <c r="C13" s="431">
        <v>14866601</v>
      </c>
      <c r="D13" s="72">
        <v>981</v>
      </c>
      <c r="E13" s="431">
        <v>6264304</v>
      </c>
      <c r="F13" s="72">
        <v>900</v>
      </c>
      <c r="G13" s="432">
        <f>7000*F13</f>
        <v>6300000</v>
      </c>
      <c r="H13" s="72">
        <f>D13-B13</f>
        <v>0</v>
      </c>
      <c r="I13" s="431">
        <f>E13-C13</f>
        <v>-8602297</v>
      </c>
    </row>
    <row r="14" spans="1:22" s="112" customFormat="1" x14ac:dyDescent="0.2">
      <c r="A14" s="136" t="s">
        <v>184</v>
      </c>
      <c r="B14" s="72"/>
      <c r="C14" s="431"/>
      <c r="D14" s="72"/>
      <c r="E14" s="431">
        <v>0</v>
      </c>
      <c r="F14" s="72"/>
      <c r="G14" s="432"/>
      <c r="H14" s="72"/>
      <c r="I14" s="73"/>
    </row>
    <row r="15" spans="1:22" s="112" customFormat="1" x14ac:dyDescent="0.2">
      <c r="A15" s="136" t="s">
        <v>26</v>
      </c>
      <c r="B15" s="72">
        <v>17062</v>
      </c>
      <c r="C15" s="431">
        <v>30406451</v>
      </c>
      <c r="D15" s="72">
        <v>17062</v>
      </c>
      <c r="E15" s="431">
        <v>34559781</v>
      </c>
      <c r="F15" s="72">
        <v>13975</v>
      </c>
      <c r="G15" s="432">
        <v>29847499</v>
      </c>
      <c r="H15" s="72">
        <f>D15-B15</f>
        <v>0</v>
      </c>
      <c r="I15" s="431">
        <f>E15-C15</f>
        <v>4153330</v>
      </c>
    </row>
    <row r="16" spans="1:22" s="112" customFormat="1" x14ac:dyDescent="0.2">
      <c r="A16" s="136" t="s">
        <v>185</v>
      </c>
      <c r="B16" s="72"/>
      <c r="C16" s="431"/>
      <c r="D16" s="72"/>
      <c r="E16" s="431"/>
      <c r="F16" s="72"/>
      <c r="G16" s="432"/>
      <c r="H16" s="72"/>
      <c r="I16" s="73"/>
    </row>
    <row r="17" spans="1:9" s="112" customFormat="1" x14ac:dyDescent="0.2">
      <c r="A17" s="136" t="s">
        <v>183</v>
      </c>
      <c r="B17" s="72"/>
      <c r="C17" s="431"/>
      <c r="D17" s="72"/>
      <c r="E17" s="431"/>
      <c r="F17" s="72"/>
      <c r="G17" s="432"/>
      <c r="H17" s="72"/>
      <c r="I17" s="73"/>
    </row>
    <row r="18" spans="1:9" s="112" customFormat="1" x14ac:dyDescent="0.2">
      <c r="A18" s="136" t="s">
        <v>186</v>
      </c>
      <c r="B18" s="72"/>
      <c r="C18" s="431"/>
      <c r="D18" s="72"/>
      <c r="E18" s="431"/>
      <c r="F18" s="72"/>
      <c r="G18" s="432"/>
      <c r="H18" s="72"/>
      <c r="I18" s="73"/>
    </row>
    <row r="19" spans="1:9" s="112" customFormat="1" x14ac:dyDescent="0.2">
      <c r="A19" s="136" t="s">
        <v>28</v>
      </c>
      <c r="B19" s="85">
        <v>2431</v>
      </c>
      <c r="C19" s="431">
        <v>33547082</v>
      </c>
      <c r="D19" s="72">
        <v>2000</v>
      </c>
      <c r="E19" s="431">
        <v>35003238</v>
      </c>
      <c r="F19" s="72">
        <v>2559</v>
      </c>
      <c r="G19" s="432">
        <v>35150241</v>
      </c>
      <c r="H19" s="72">
        <f>D19-B19</f>
        <v>-431</v>
      </c>
      <c r="I19" s="431">
        <f>E19-C19</f>
        <v>1456156</v>
      </c>
    </row>
    <row r="20" spans="1:9" s="112" customFormat="1" x14ac:dyDescent="0.2">
      <c r="A20" s="136" t="s">
        <v>178</v>
      </c>
      <c r="B20" s="72"/>
      <c r="C20" s="431"/>
      <c r="D20" s="72"/>
      <c r="E20" s="431"/>
      <c r="F20" s="72"/>
      <c r="G20" s="432"/>
      <c r="H20" s="72"/>
      <c r="I20" s="73"/>
    </row>
    <row r="21" spans="1:9" ht="12.75" thickBot="1" x14ac:dyDescent="0.25">
      <c r="A21" s="136" t="s">
        <v>591</v>
      </c>
      <c r="B21" s="72"/>
      <c r="C21" s="434">
        <v>23552770</v>
      </c>
      <c r="D21" s="72"/>
      <c r="E21" s="431">
        <v>23828759</v>
      </c>
      <c r="F21" s="72"/>
      <c r="G21" s="431">
        <f>23828759+28769211</f>
        <v>52597970</v>
      </c>
      <c r="H21" s="437"/>
      <c r="I21" s="438"/>
    </row>
    <row r="22" spans="1:9" ht="12.75" thickBot="1" x14ac:dyDescent="0.25">
      <c r="A22" s="44" t="s">
        <v>43</v>
      </c>
      <c r="B22" s="435">
        <f t="shared" ref="B22:C22" si="0">SUM(B6:B21)</f>
        <v>54607</v>
      </c>
      <c r="C22" s="435">
        <f t="shared" si="0"/>
        <v>621220972</v>
      </c>
      <c r="D22" s="435">
        <f t="shared" ref="D22" si="1">SUM(D6:D21)</f>
        <v>54176</v>
      </c>
      <c r="E22" s="435">
        <f t="shared" ref="E22" si="2">SUM(E6:E21)</f>
        <v>645812068</v>
      </c>
      <c r="F22" s="435">
        <f t="shared" ref="F22" si="3">SUM(F6:F21)</f>
        <v>45393</v>
      </c>
      <c r="G22" s="435">
        <f t="shared" ref="G22" si="4">SUM(G6:G21)</f>
        <v>689220481</v>
      </c>
      <c r="H22" s="436">
        <f>D22-B22</f>
        <v>-431</v>
      </c>
      <c r="I22" s="433">
        <f>E22-C22</f>
        <v>24591096</v>
      </c>
    </row>
    <row r="23" spans="1:9" x14ac:dyDescent="0.2">
      <c r="A23" s="1" t="s">
        <v>348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1" t="s">
        <v>97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  <c r="B25" s="2"/>
      <c r="C25" s="2"/>
      <c r="D25" s="2"/>
      <c r="E25" s="2"/>
      <c r="F25" s="2"/>
      <c r="G25" s="2"/>
      <c r="H25" s="2"/>
      <c r="I25" s="2"/>
    </row>
    <row r="26" spans="1:9" x14ac:dyDescent="0.2">
      <c r="G26" s="439"/>
    </row>
  </sheetData>
  <sortState xmlns:xlrd2="http://schemas.microsoft.com/office/spreadsheetml/2017/richdata2" ref="A9:A24">
    <sortCondition ref="A9:A24"/>
  </sortState>
  <mergeCells count="4">
    <mergeCell ref="B4:C4"/>
    <mergeCell ref="F4:G4"/>
    <mergeCell ref="H4:I4"/>
    <mergeCell ref="D4:E4"/>
  </mergeCells>
  <phoneticPr fontId="0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85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tabColor theme="6" tint="-0.249977111117893"/>
    <pageSetUpPr fitToPage="1"/>
  </sheetPr>
  <dimension ref="A1:AJ70"/>
  <sheetViews>
    <sheetView topLeftCell="I43" zoomScaleNormal="100" zoomScaleSheetLayoutView="80" zoomScalePageLayoutView="85" workbookViewId="0">
      <selection sqref="A1:AI70"/>
    </sheetView>
  </sheetViews>
  <sheetFormatPr baseColWidth="10" defaultColWidth="11.42578125" defaultRowHeight="12" x14ac:dyDescent="0.2"/>
  <cols>
    <col min="1" max="1" width="43.7109375" style="3" customWidth="1"/>
    <col min="2" max="2" width="6.5703125" style="3" customWidth="1"/>
    <col min="3" max="3" width="9.7109375" style="101" customWidth="1"/>
    <col min="4" max="4" width="5.42578125" style="3" customWidth="1"/>
    <col min="5" max="5" width="3.140625" style="3" customWidth="1"/>
    <col min="6" max="6" width="5.42578125" style="112" customWidth="1"/>
    <col min="7" max="9" width="3.140625" style="112" customWidth="1"/>
    <col min="10" max="11" width="5.7109375" style="3" customWidth="1"/>
    <col min="12" max="12" width="6.85546875" style="101" customWidth="1"/>
    <col min="13" max="14" width="6.85546875" style="3" customWidth="1"/>
    <col min="15" max="15" width="11.85546875" style="3" customWidth="1"/>
    <col min="16" max="16" width="5.85546875" style="101" customWidth="1"/>
    <col min="17" max="17" width="6.85546875" style="3" customWidth="1"/>
    <col min="18" max="18" width="7.140625" style="3" customWidth="1"/>
    <col min="19" max="19" width="5.42578125" style="3" customWidth="1"/>
    <col min="20" max="20" width="4.28515625" style="3" customWidth="1"/>
    <col min="21" max="24" width="4.28515625" style="112" customWidth="1"/>
    <col min="25" max="26" width="6.5703125" style="3" customWidth="1"/>
    <col min="27" max="27" width="6.5703125" style="101" customWidth="1"/>
    <col min="28" max="29" width="6.5703125" style="3" customWidth="1"/>
    <col min="30" max="30" width="11.7109375" style="3" customWidth="1"/>
    <col min="31" max="31" width="11.85546875" style="101" customWidth="1"/>
    <col min="32" max="32" width="11.7109375" style="153" customWidth="1"/>
    <col min="33" max="33" width="4.85546875" style="153" customWidth="1"/>
    <col min="34" max="34" width="6.85546875" style="101" customWidth="1"/>
    <col min="35" max="35" width="11.28515625" style="101" customWidth="1"/>
    <col min="36" max="16384" width="11.42578125" style="3"/>
  </cols>
  <sheetData>
    <row r="1" spans="1:36" s="141" customFormat="1" x14ac:dyDescent="0.2">
      <c r="A1" s="138" t="s">
        <v>413</v>
      </c>
    </row>
    <row r="2" spans="1:36" s="141" customFormat="1" x14ac:dyDescent="0.2">
      <c r="A2" s="139" t="s">
        <v>569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6" s="138" customFormat="1" ht="12.75" thickBot="1" x14ac:dyDescent="0.25">
      <c r="A3" s="138" t="s">
        <v>349</v>
      </c>
      <c r="T3" s="140"/>
    </row>
    <row r="4" spans="1:36" ht="30.75" customHeight="1" thickBot="1" x14ac:dyDescent="0.25">
      <c r="A4" s="585" t="s">
        <v>47</v>
      </c>
      <c r="B4" s="598" t="s">
        <v>389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9" t="s">
        <v>414</v>
      </c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600"/>
      <c r="AF4" s="594" t="s">
        <v>415</v>
      </c>
      <c r="AG4" s="595"/>
      <c r="AH4" s="594" t="s">
        <v>416</v>
      </c>
      <c r="AI4" s="595"/>
    </row>
    <row r="5" spans="1:36" ht="172.5" customHeight="1" x14ac:dyDescent="0.2">
      <c r="A5" s="596"/>
      <c r="B5" s="237" t="s">
        <v>11</v>
      </c>
      <c r="C5" s="238" t="s">
        <v>154</v>
      </c>
      <c r="D5" s="239" t="s">
        <v>279</v>
      </c>
      <c r="E5" s="239" t="s">
        <v>156</v>
      </c>
      <c r="F5" s="239" t="s">
        <v>190</v>
      </c>
      <c r="G5" s="239" t="s">
        <v>191</v>
      </c>
      <c r="H5" s="239" t="s">
        <v>192</v>
      </c>
      <c r="I5" s="239" t="s">
        <v>193</v>
      </c>
      <c r="J5" s="239" t="s">
        <v>157</v>
      </c>
      <c r="K5" s="239" t="s">
        <v>158</v>
      </c>
      <c r="L5" s="239" t="s">
        <v>159</v>
      </c>
      <c r="M5" s="239" t="s">
        <v>189</v>
      </c>
      <c r="N5" s="240" t="s">
        <v>126</v>
      </c>
      <c r="O5" s="241" t="s">
        <v>164</v>
      </c>
      <c r="P5" s="242" t="s">
        <v>163</v>
      </c>
      <c r="Q5" s="237" t="s">
        <v>11</v>
      </c>
      <c r="R5" s="238" t="s">
        <v>154</v>
      </c>
      <c r="S5" s="239" t="s">
        <v>155</v>
      </c>
      <c r="T5" s="239" t="s">
        <v>156</v>
      </c>
      <c r="U5" s="239" t="s">
        <v>190</v>
      </c>
      <c r="V5" s="239" t="s">
        <v>191</v>
      </c>
      <c r="W5" s="239" t="s">
        <v>192</v>
      </c>
      <c r="X5" s="239" t="s">
        <v>193</v>
      </c>
      <c r="Y5" s="239" t="s">
        <v>157</v>
      </c>
      <c r="Z5" s="239" t="s">
        <v>158</v>
      </c>
      <c r="AA5" s="239" t="s">
        <v>159</v>
      </c>
      <c r="AB5" s="239" t="s">
        <v>189</v>
      </c>
      <c r="AC5" s="240" t="s">
        <v>126</v>
      </c>
      <c r="AD5" s="241" t="s">
        <v>164</v>
      </c>
      <c r="AE5" s="242" t="s">
        <v>461</v>
      </c>
      <c r="AF5" s="243" t="s">
        <v>168</v>
      </c>
      <c r="AG5" s="243" t="s">
        <v>167</v>
      </c>
      <c r="AH5" s="243" t="s">
        <v>11</v>
      </c>
      <c r="AI5" s="242" t="s">
        <v>462</v>
      </c>
    </row>
    <row r="6" spans="1:36" ht="15.75" customHeight="1" thickBot="1" x14ac:dyDescent="0.25">
      <c r="A6" s="597"/>
      <c r="B6" s="244" t="s">
        <v>48</v>
      </c>
      <c r="C6" s="245" t="s">
        <v>49</v>
      </c>
      <c r="D6" s="246" t="s">
        <v>50</v>
      </c>
      <c r="E6" s="246" t="s">
        <v>51</v>
      </c>
      <c r="F6" s="247" t="s">
        <v>52</v>
      </c>
      <c r="G6" s="247" t="s">
        <v>53</v>
      </c>
      <c r="H6" s="247" t="s">
        <v>83</v>
      </c>
      <c r="I6" s="247" t="s">
        <v>125</v>
      </c>
      <c r="J6" s="247" t="s">
        <v>162</v>
      </c>
      <c r="K6" s="247" t="s">
        <v>166</v>
      </c>
      <c r="L6" s="247" t="s">
        <v>198</v>
      </c>
      <c r="M6" s="247" t="s">
        <v>199</v>
      </c>
      <c r="N6" s="248" t="s">
        <v>201</v>
      </c>
      <c r="O6" s="249" t="s">
        <v>202</v>
      </c>
      <c r="P6" s="250" t="s">
        <v>203</v>
      </c>
      <c r="Q6" s="244" t="s">
        <v>48</v>
      </c>
      <c r="R6" s="245" t="s">
        <v>49</v>
      </c>
      <c r="S6" s="246" t="s">
        <v>50</v>
      </c>
      <c r="T6" s="246" t="s">
        <v>51</v>
      </c>
      <c r="U6" s="247" t="s">
        <v>52</v>
      </c>
      <c r="V6" s="247" t="s">
        <v>53</v>
      </c>
      <c r="W6" s="247" t="s">
        <v>83</v>
      </c>
      <c r="X6" s="247" t="s">
        <v>125</v>
      </c>
      <c r="Y6" s="247" t="s">
        <v>162</v>
      </c>
      <c r="Z6" s="247" t="s">
        <v>166</v>
      </c>
      <c r="AA6" s="247" t="s">
        <v>198</v>
      </c>
      <c r="AB6" s="247" t="s">
        <v>199</v>
      </c>
      <c r="AC6" s="248" t="s">
        <v>201</v>
      </c>
      <c r="AD6" s="249" t="s">
        <v>202</v>
      </c>
      <c r="AE6" s="250" t="s">
        <v>203</v>
      </c>
      <c r="AF6" s="251"/>
      <c r="AG6" s="244"/>
      <c r="AH6" s="251"/>
      <c r="AI6" s="244"/>
    </row>
    <row r="7" spans="1:36" x14ac:dyDescent="0.2">
      <c r="A7" s="58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  <c r="O7" s="65"/>
      <c r="P7" s="17"/>
      <c r="Q7" s="1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9"/>
      <c r="AD7" s="65"/>
      <c r="AE7" s="17"/>
      <c r="AF7" s="17"/>
      <c r="AG7" s="16"/>
      <c r="AH7" s="17"/>
      <c r="AI7" s="16"/>
    </row>
    <row r="8" spans="1:36" x14ac:dyDescent="0.2">
      <c r="A8" s="16" t="s">
        <v>54</v>
      </c>
      <c r="B8" s="445">
        <v>1525</v>
      </c>
      <c r="C8" s="455">
        <v>3891210.33</v>
      </c>
      <c r="D8" s="455"/>
      <c r="E8" s="455"/>
      <c r="F8" s="455"/>
      <c r="G8" s="455"/>
      <c r="H8" s="455"/>
      <c r="I8" s="455"/>
      <c r="J8" s="455"/>
      <c r="K8" s="455"/>
      <c r="L8" s="455">
        <v>1000</v>
      </c>
      <c r="M8" s="455"/>
      <c r="N8" s="456"/>
      <c r="O8" s="441">
        <v>48206523.960000001</v>
      </c>
      <c r="P8" s="440"/>
      <c r="Q8" s="445">
        <v>226</v>
      </c>
      <c r="R8" s="457">
        <v>3660</v>
      </c>
      <c r="S8" s="457">
        <v>0</v>
      </c>
      <c r="T8" s="457"/>
      <c r="U8" s="457"/>
      <c r="V8" s="457"/>
      <c r="W8" s="457"/>
      <c r="X8" s="457"/>
      <c r="Y8" s="457"/>
      <c r="Z8" s="457"/>
      <c r="AA8" s="457">
        <v>1000</v>
      </c>
      <c r="AB8" s="457"/>
      <c r="AC8" s="458"/>
      <c r="AD8" s="445">
        <v>48206523.960000001</v>
      </c>
      <c r="AE8" s="459">
        <f>+AD8/Q8</f>
        <v>213303.20336283187</v>
      </c>
      <c r="AF8" s="440">
        <f>+AD8-O8</f>
        <v>0</v>
      </c>
      <c r="AG8" s="441"/>
      <c r="AH8" s="441">
        <v>1525</v>
      </c>
      <c r="AI8" s="441">
        <v>50186524</v>
      </c>
      <c r="AJ8" s="439"/>
    </row>
    <row r="9" spans="1:36" x14ac:dyDescent="0.2">
      <c r="A9" s="16" t="s">
        <v>55</v>
      </c>
      <c r="B9" s="445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7"/>
      <c r="O9" s="443"/>
      <c r="P9" s="440"/>
      <c r="Q9" s="1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9"/>
      <c r="AD9" s="65"/>
      <c r="AE9" s="17"/>
      <c r="AF9" s="440"/>
      <c r="AG9" s="441"/>
      <c r="AH9" s="441"/>
      <c r="AI9" s="444"/>
      <c r="AJ9" s="153"/>
    </row>
    <row r="10" spans="1:36" x14ac:dyDescent="0.2">
      <c r="A10" s="16" t="s">
        <v>55</v>
      </c>
      <c r="B10" s="445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7"/>
      <c r="O10" s="443"/>
      <c r="P10" s="440"/>
      <c r="Q10" s="44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9"/>
      <c r="AD10" s="65"/>
      <c r="AE10" s="17"/>
      <c r="AF10" s="440"/>
      <c r="AG10" s="441"/>
      <c r="AH10" s="441"/>
      <c r="AI10" s="444"/>
      <c r="AJ10" s="153"/>
    </row>
    <row r="11" spans="1:36" x14ac:dyDescent="0.2">
      <c r="A11" s="16" t="s">
        <v>56</v>
      </c>
      <c r="B11" s="445">
        <v>9716</v>
      </c>
      <c r="C11" s="455">
        <v>35504903.009999998</v>
      </c>
      <c r="D11" s="455"/>
      <c r="E11" s="455"/>
      <c r="F11" s="455"/>
      <c r="G11" s="455"/>
      <c r="H11" s="455"/>
      <c r="I11" s="455"/>
      <c r="J11" s="455"/>
      <c r="K11" s="455"/>
      <c r="L11" s="455">
        <v>1000</v>
      </c>
      <c r="M11" s="455"/>
      <c r="N11" s="456"/>
      <c r="O11" s="441">
        <v>415239587</v>
      </c>
      <c r="P11" s="440"/>
      <c r="Q11" s="445">
        <f>4353+2915+215+251+1087+156+92+1509+167+178+477+54+19</f>
        <v>11473</v>
      </c>
      <c r="R11" s="457">
        <f>2912.36+1638.2</f>
        <v>4550.5600000000004</v>
      </c>
      <c r="S11" s="457"/>
      <c r="T11" s="457"/>
      <c r="U11" s="457"/>
      <c r="V11" s="457"/>
      <c r="W11" s="457"/>
      <c r="X11" s="457"/>
      <c r="Y11" s="457"/>
      <c r="Z11" s="457"/>
      <c r="AA11" s="457">
        <v>1000</v>
      </c>
      <c r="AB11" s="457"/>
      <c r="AC11" s="458"/>
      <c r="AD11" s="445">
        <v>376517914</v>
      </c>
      <c r="AE11" s="459">
        <f>+AD11/Q11</f>
        <v>32817.738516517042</v>
      </c>
      <c r="AF11" s="440">
        <f>+AD11-O11</f>
        <v>-38721673</v>
      </c>
      <c r="AG11" s="441"/>
      <c r="AH11" s="441">
        <v>9716</v>
      </c>
      <c r="AI11" s="441">
        <v>415940504</v>
      </c>
      <c r="AJ11" s="439"/>
    </row>
    <row r="12" spans="1:36" x14ac:dyDescent="0.2">
      <c r="A12" s="16" t="s">
        <v>55</v>
      </c>
      <c r="B12" s="445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7"/>
      <c r="O12" s="443"/>
      <c r="P12" s="440"/>
      <c r="Q12" s="1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"/>
      <c r="AD12" s="65"/>
      <c r="AE12" s="17"/>
      <c r="AF12" s="440"/>
      <c r="AG12" s="441"/>
      <c r="AH12" s="441"/>
      <c r="AI12" s="444"/>
      <c r="AJ12" s="153"/>
    </row>
    <row r="13" spans="1:36" x14ac:dyDescent="0.2">
      <c r="A13" s="16" t="s">
        <v>55</v>
      </c>
      <c r="B13" s="445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7"/>
      <c r="O13" s="443"/>
      <c r="P13" s="440"/>
      <c r="Q13" s="1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9"/>
      <c r="AD13" s="65"/>
      <c r="AE13" s="17"/>
      <c r="AF13" s="440"/>
      <c r="AG13" s="441"/>
      <c r="AH13" s="441"/>
      <c r="AI13" s="444"/>
      <c r="AJ13" s="153"/>
    </row>
    <row r="14" spans="1:36" x14ac:dyDescent="0.2">
      <c r="A14" s="16" t="s">
        <v>57</v>
      </c>
      <c r="B14" s="445">
        <v>1890</v>
      </c>
      <c r="C14" s="455">
        <v>11600295</v>
      </c>
      <c r="D14" s="455"/>
      <c r="E14" s="455"/>
      <c r="F14" s="455"/>
      <c r="G14" s="455"/>
      <c r="H14" s="455"/>
      <c r="I14" s="455"/>
      <c r="J14" s="455"/>
      <c r="K14" s="455"/>
      <c r="L14" s="455">
        <v>1000</v>
      </c>
      <c r="M14" s="455"/>
      <c r="N14" s="456"/>
      <c r="O14" s="441">
        <v>118809291</v>
      </c>
      <c r="P14" s="440"/>
      <c r="Q14" s="445">
        <v>1693</v>
      </c>
      <c r="R14" s="457">
        <v>8906</v>
      </c>
      <c r="S14" s="457"/>
      <c r="T14" s="457"/>
      <c r="U14" s="457"/>
      <c r="V14" s="457"/>
      <c r="W14" s="457"/>
      <c r="X14" s="457"/>
      <c r="Y14" s="457"/>
      <c r="Z14" s="457"/>
      <c r="AA14" s="457">
        <v>1000</v>
      </c>
      <c r="AB14" s="457"/>
      <c r="AC14" s="458"/>
      <c r="AD14" s="445">
        <v>115473569.23999999</v>
      </c>
      <c r="AE14" s="459">
        <f>R14+S14+AA14+AD14</f>
        <v>115483475.23999999</v>
      </c>
      <c r="AF14" s="440">
        <f>+AD14-O14</f>
        <v>-3335721.7600000054</v>
      </c>
      <c r="AG14" s="441"/>
      <c r="AH14" s="441">
        <v>1890</v>
      </c>
      <c r="AI14" s="441">
        <v>118809291</v>
      </c>
      <c r="AJ14" s="153"/>
    </row>
    <row r="15" spans="1:36" x14ac:dyDescent="0.2">
      <c r="A15" s="16" t="s">
        <v>55</v>
      </c>
      <c r="B15" s="445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7"/>
      <c r="O15" s="443"/>
      <c r="P15" s="440"/>
      <c r="Q15" s="1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9"/>
      <c r="AD15" s="65"/>
      <c r="AE15" s="17"/>
      <c r="AF15" s="440"/>
      <c r="AG15" s="441"/>
      <c r="AH15" s="441"/>
      <c r="AI15" s="444"/>
      <c r="AJ15" s="153"/>
    </row>
    <row r="16" spans="1:36" x14ac:dyDescent="0.2">
      <c r="A16" s="16" t="s">
        <v>55</v>
      </c>
      <c r="B16" s="445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7"/>
      <c r="O16" s="443"/>
      <c r="P16" s="440"/>
      <c r="Q16" s="1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9"/>
      <c r="AD16" s="65"/>
      <c r="AE16" s="17"/>
      <c r="AF16" s="440"/>
      <c r="AG16" s="441"/>
      <c r="AH16" s="441"/>
      <c r="AI16" s="444"/>
      <c r="AJ16" s="153"/>
    </row>
    <row r="17" spans="1:36" x14ac:dyDescent="0.2">
      <c r="A17" s="16" t="s">
        <v>58</v>
      </c>
      <c r="B17" s="445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7"/>
      <c r="O17" s="443"/>
      <c r="P17" s="440"/>
      <c r="Q17" s="1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  <c r="AD17" s="65"/>
      <c r="AE17" s="17"/>
      <c r="AF17" s="440"/>
      <c r="AG17" s="441"/>
      <c r="AH17" s="441"/>
      <c r="AI17" s="444"/>
      <c r="AJ17" s="153"/>
    </row>
    <row r="18" spans="1:36" x14ac:dyDescent="0.2">
      <c r="A18" s="16" t="s">
        <v>55</v>
      </c>
      <c r="B18" s="445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7"/>
      <c r="O18" s="443"/>
      <c r="P18" s="440"/>
      <c r="Q18" s="1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9"/>
      <c r="AD18" s="65"/>
      <c r="AE18" s="17"/>
      <c r="AF18" s="440"/>
      <c r="AG18" s="441"/>
      <c r="AH18" s="441"/>
      <c r="AI18" s="444"/>
      <c r="AJ18" s="153"/>
    </row>
    <row r="19" spans="1:36" x14ac:dyDescent="0.2">
      <c r="A19" s="16" t="s">
        <v>55</v>
      </c>
      <c r="B19" s="445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7"/>
      <c r="O19" s="443"/>
      <c r="P19" s="440"/>
      <c r="Q19" s="1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9"/>
      <c r="AD19" s="65"/>
      <c r="AE19" s="17"/>
      <c r="AF19" s="440"/>
      <c r="AG19" s="441"/>
      <c r="AH19" s="441"/>
      <c r="AI19" s="444"/>
      <c r="AJ19" s="153"/>
    </row>
    <row r="20" spans="1:36" x14ac:dyDescent="0.2">
      <c r="A20" s="16" t="s">
        <v>59</v>
      </c>
      <c r="B20" s="445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7"/>
      <c r="O20" s="443"/>
      <c r="P20" s="440"/>
      <c r="Q20" s="1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9"/>
      <c r="AD20" s="65"/>
      <c r="AE20" s="17"/>
      <c r="AF20" s="440"/>
      <c r="AG20" s="441"/>
      <c r="AH20" s="441"/>
      <c r="AI20" s="444"/>
      <c r="AJ20" s="153"/>
    </row>
    <row r="21" spans="1:36" x14ac:dyDescent="0.2">
      <c r="A21" s="16" t="s">
        <v>55</v>
      </c>
      <c r="B21" s="445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7"/>
      <c r="O21" s="443"/>
      <c r="P21" s="440"/>
      <c r="Q21" s="1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9"/>
      <c r="AD21" s="65"/>
      <c r="AE21" s="17"/>
      <c r="AF21" s="440"/>
      <c r="AG21" s="441"/>
      <c r="AH21" s="441"/>
      <c r="AI21" s="444"/>
      <c r="AJ21" s="153"/>
    </row>
    <row r="22" spans="1:36" x14ac:dyDescent="0.2">
      <c r="A22" s="16" t="s">
        <v>55</v>
      </c>
      <c r="B22" s="445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7"/>
      <c r="O22" s="443"/>
      <c r="P22" s="440"/>
      <c r="Q22" s="1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9"/>
      <c r="AD22" s="65"/>
      <c r="AE22" s="17"/>
      <c r="AF22" s="440"/>
      <c r="AG22" s="441"/>
      <c r="AH22" s="441"/>
      <c r="AI22" s="444"/>
      <c r="AJ22" s="153"/>
    </row>
    <row r="23" spans="1:36" x14ac:dyDescent="0.2">
      <c r="A23" s="16" t="s">
        <v>60</v>
      </c>
      <c r="B23" s="445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7"/>
      <c r="O23" s="443"/>
      <c r="P23" s="440"/>
      <c r="Q23" s="1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9"/>
      <c r="AD23" s="65"/>
      <c r="AE23" s="17"/>
      <c r="AF23" s="440"/>
      <c r="AG23" s="441"/>
      <c r="AH23" s="441"/>
      <c r="AI23" s="444"/>
      <c r="AJ23" s="153"/>
    </row>
    <row r="24" spans="1:36" x14ac:dyDescent="0.2">
      <c r="A24" s="16" t="s">
        <v>55</v>
      </c>
      <c r="B24" s="445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7"/>
      <c r="O24" s="443"/>
      <c r="P24" s="440"/>
      <c r="Q24" s="1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9"/>
      <c r="AD24" s="65"/>
      <c r="AE24" s="17"/>
      <c r="AF24" s="440"/>
      <c r="AG24" s="441"/>
      <c r="AH24" s="441"/>
      <c r="AI24" s="444"/>
      <c r="AJ24" s="153"/>
    </row>
    <row r="25" spans="1:36" x14ac:dyDescent="0.2">
      <c r="A25" s="16" t="s">
        <v>55</v>
      </c>
      <c r="B25" s="445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7"/>
      <c r="O25" s="443"/>
      <c r="P25" s="440"/>
      <c r="Q25" s="1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9"/>
      <c r="AD25" s="65"/>
      <c r="AE25" s="17"/>
      <c r="AF25" s="440"/>
      <c r="AG25" s="441"/>
      <c r="AH25" s="441"/>
      <c r="AI25" s="444"/>
      <c r="AJ25" s="153"/>
    </row>
    <row r="26" spans="1:36" x14ac:dyDescent="0.2">
      <c r="A26" s="16" t="s">
        <v>61</v>
      </c>
      <c r="B26" s="445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7"/>
      <c r="O26" s="443"/>
      <c r="P26" s="440"/>
      <c r="Q26" s="1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9"/>
      <c r="AD26" s="65"/>
      <c r="AE26" s="17"/>
      <c r="AF26" s="440"/>
      <c r="AG26" s="441"/>
      <c r="AH26" s="441"/>
      <c r="AI26" s="444"/>
      <c r="AJ26" s="153"/>
    </row>
    <row r="27" spans="1:36" x14ac:dyDescent="0.2">
      <c r="A27" s="16" t="s">
        <v>55</v>
      </c>
      <c r="B27" s="445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7"/>
      <c r="O27" s="443"/>
      <c r="P27" s="440"/>
      <c r="Q27" s="1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9"/>
      <c r="AD27" s="65"/>
      <c r="AE27" s="17"/>
      <c r="AF27" s="440"/>
      <c r="AG27" s="441"/>
      <c r="AH27" s="441"/>
      <c r="AI27" s="444"/>
      <c r="AJ27" s="153"/>
    </row>
    <row r="28" spans="1:36" x14ac:dyDescent="0.2">
      <c r="A28" s="16" t="s">
        <v>55</v>
      </c>
      <c r="B28" s="445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7"/>
      <c r="O28" s="443"/>
      <c r="P28" s="440"/>
      <c r="Q28" s="1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9"/>
      <c r="AD28" s="65"/>
      <c r="AE28" s="17"/>
      <c r="AF28" s="440"/>
      <c r="AG28" s="441"/>
      <c r="AH28" s="441"/>
      <c r="AI28" s="444"/>
      <c r="AJ28" s="153"/>
    </row>
    <row r="29" spans="1:36" x14ac:dyDescent="0.2">
      <c r="A29" s="16" t="s">
        <v>62</v>
      </c>
      <c r="B29" s="445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7"/>
      <c r="O29" s="443"/>
      <c r="P29" s="440"/>
      <c r="Q29" s="1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9"/>
      <c r="AD29" s="65"/>
      <c r="AE29" s="17"/>
      <c r="AF29" s="440"/>
      <c r="AG29" s="441"/>
      <c r="AH29" s="441"/>
      <c r="AI29" s="444"/>
      <c r="AJ29" s="153"/>
    </row>
    <row r="30" spans="1:36" x14ac:dyDescent="0.2">
      <c r="A30" s="16" t="s">
        <v>55</v>
      </c>
      <c r="B30" s="445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7"/>
      <c r="O30" s="443"/>
      <c r="P30" s="440"/>
      <c r="Q30" s="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9"/>
      <c r="AD30" s="65"/>
      <c r="AE30" s="17"/>
      <c r="AF30" s="440"/>
      <c r="AG30" s="441"/>
      <c r="AH30" s="441"/>
      <c r="AI30" s="444"/>
      <c r="AJ30" s="153"/>
    </row>
    <row r="31" spans="1:36" x14ac:dyDescent="0.2">
      <c r="A31" s="16" t="s">
        <v>55</v>
      </c>
      <c r="B31" s="445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7"/>
      <c r="O31" s="443"/>
      <c r="P31" s="440"/>
      <c r="Q31" s="1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9"/>
      <c r="AD31" s="65"/>
      <c r="AE31" s="17"/>
      <c r="AF31" s="440"/>
      <c r="AG31" s="441"/>
      <c r="AH31" s="441"/>
      <c r="AI31" s="444"/>
      <c r="AJ31" s="153"/>
    </row>
    <row r="32" spans="1:36" x14ac:dyDescent="0.2">
      <c r="A32" s="16" t="s">
        <v>63</v>
      </c>
      <c r="B32" s="16">
        <v>100</v>
      </c>
      <c r="C32" s="455">
        <v>405819.02</v>
      </c>
      <c r="D32" s="442"/>
      <c r="E32" s="442"/>
      <c r="F32" s="442"/>
      <c r="G32" s="442"/>
      <c r="H32" s="442"/>
      <c r="I32" s="442"/>
      <c r="J32" s="442"/>
      <c r="K32" s="442"/>
      <c r="L32" s="455"/>
      <c r="M32" s="442"/>
      <c r="N32" s="7"/>
      <c r="O32" s="441">
        <v>4869828.24</v>
      </c>
      <c r="P32" s="440"/>
      <c r="Q32" s="16">
        <v>100</v>
      </c>
      <c r="R32" s="457">
        <v>4022.28</v>
      </c>
      <c r="S32" s="12"/>
      <c r="T32" s="12"/>
      <c r="U32" s="12"/>
      <c r="V32" s="12"/>
      <c r="W32" s="12"/>
      <c r="X32" s="12"/>
      <c r="Y32" s="12"/>
      <c r="Z32" s="12"/>
      <c r="AA32" s="457"/>
      <c r="AB32" s="457">
        <v>1000</v>
      </c>
      <c r="AC32" s="9"/>
      <c r="AD32" s="445">
        <v>4869828.24</v>
      </c>
      <c r="AE32" s="459">
        <f>+AD32/Q32</f>
        <v>48698.282400000004</v>
      </c>
      <c r="AF32" s="440">
        <f>+AD32-O32</f>
        <v>0</v>
      </c>
      <c r="AG32" s="441"/>
      <c r="AH32" s="443">
        <v>100</v>
      </c>
      <c r="AI32" s="441">
        <v>4869828.24</v>
      </c>
      <c r="AJ32" s="153"/>
    </row>
    <row r="33" spans="1:36" x14ac:dyDescent="0.2">
      <c r="A33" s="16" t="s">
        <v>55</v>
      </c>
      <c r="B33" s="445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7"/>
      <c r="O33" s="443"/>
      <c r="P33" s="440"/>
      <c r="Q33" s="1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9"/>
      <c r="AD33" s="65"/>
      <c r="AE33" s="17"/>
      <c r="AF33" s="440"/>
      <c r="AG33" s="441"/>
      <c r="AH33" s="441"/>
      <c r="AI33" s="444"/>
      <c r="AJ33" s="153"/>
    </row>
    <row r="34" spans="1:36" x14ac:dyDescent="0.2">
      <c r="A34" s="16" t="s">
        <v>55</v>
      </c>
      <c r="B34" s="445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7"/>
      <c r="O34" s="443"/>
      <c r="P34" s="440"/>
      <c r="Q34" s="1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9"/>
      <c r="AD34" s="65"/>
      <c r="AE34" s="17"/>
      <c r="AF34" s="440"/>
      <c r="AG34" s="441"/>
      <c r="AH34" s="441"/>
      <c r="AI34" s="444"/>
      <c r="AJ34" s="153"/>
    </row>
    <row r="35" spans="1:36" x14ac:dyDescent="0.2">
      <c r="A35" s="16" t="s">
        <v>64</v>
      </c>
      <c r="B35" s="445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7"/>
      <c r="O35" s="443"/>
      <c r="P35" s="440"/>
      <c r="Q35" s="1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9"/>
      <c r="AD35" s="65"/>
      <c r="AE35" s="17"/>
      <c r="AF35" s="440"/>
      <c r="AG35" s="441"/>
      <c r="AH35" s="441"/>
      <c r="AI35" s="444"/>
      <c r="AJ35" s="153"/>
    </row>
    <row r="36" spans="1:36" x14ac:dyDescent="0.2">
      <c r="A36" s="16" t="s">
        <v>55</v>
      </c>
      <c r="B36" s="16">
        <v>484</v>
      </c>
      <c r="C36" s="455">
        <v>271100</v>
      </c>
      <c r="D36" s="442"/>
      <c r="E36" s="442"/>
      <c r="F36" s="442"/>
      <c r="G36" s="442"/>
      <c r="H36" s="442"/>
      <c r="I36" s="442"/>
      <c r="J36" s="442"/>
      <c r="K36" s="442"/>
      <c r="L36" s="455"/>
      <c r="M36" s="442"/>
      <c r="N36" s="7"/>
      <c r="O36" s="441">
        <v>3253200</v>
      </c>
      <c r="P36" s="440"/>
      <c r="Q36" s="16">
        <v>483</v>
      </c>
      <c r="R36" s="457">
        <v>550</v>
      </c>
      <c r="S36" s="12"/>
      <c r="T36" s="12"/>
      <c r="U36" s="12"/>
      <c r="V36" s="12"/>
      <c r="W36" s="12"/>
      <c r="X36" s="12"/>
      <c r="Y36" s="12"/>
      <c r="Z36" s="12"/>
      <c r="AA36" s="457"/>
      <c r="AB36" s="12"/>
      <c r="AC36" s="9"/>
      <c r="AD36" s="445">
        <v>3253200</v>
      </c>
      <c r="AE36" s="459">
        <f>+AD36/Q36</f>
        <v>6735.4037267080748</v>
      </c>
      <c r="AF36" s="440">
        <f>+AD36-O36</f>
        <v>0</v>
      </c>
      <c r="AG36" s="441"/>
      <c r="AH36" s="443">
        <v>484</v>
      </c>
      <c r="AI36" s="441">
        <v>3253200</v>
      </c>
      <c r="AJ36" s="153"/>
    </row>
    <row r="37" spans="1:36" x14ac:dyDescent="0.2">
      <c r="A37" s="16" t="s">
        <v>55</v>
      </c>
      <c r="B37" s="445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7"/>
      <c r="O37" s="443"/>
      <c r="P37" s="440"/>
      <c r="Q37" s="1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  <c r="AD37" s="65"/>
      <c r="AE37" s="17"/>
      <c r="AF37" s="440"/>
      <c r="AG37" s="441"/>
      <c r="AH37" s="441"/>
      <c r="AI37" s="444"/>
      <c r="AJ37" s="153"/>
    </row>
    <row r="38" spans="1:36" x14ac:dyDescent="0.2">
      <c r="A38" s="16" t="s">
        <v>24</v>
      </c>
      <c r="B38" s="445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7"/>
      <c r="O38" s="443"/>
      <c r="P38" s="440"/>
      <c r="Q38" s="16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9"/>
      <c r="AD38" s="65"/>
      <c r="AE38" s="17"/>
      <c r="AF38" s="440"/>
      <c r="AG38" s="441"/>
      <c r="AH38" s="441"/>
      <c r="AI38" s="444"/>
      <c r="AJ38" s="153"/>
    </row>
    <row r="39" spans="1:36" x14ac:dyDescent="0.2">
      <c r="A39" s="16" t="s">
        <v>65</v>
      </c>
      <c r="B39" s="445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7"/>
      <c r="O39" s="443"/>
      <c r="P39" s="440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9"/>
      <c r="AD39" s="65"/>
      <c r="AE39" s="17"/>
      <c r="AF39" s="440"/>
      <c r="AG39" s="441"/>
      <c r="AH39" s="441"/>
      <c r="AI39" s="444"/>
      <c r="AJ39" s="153"/>
    </row>
    <row r="40" spans="1:36" x14ac:dyDescent="0.2">
      <c r="A40" s="16" t="s">
        <v>66</v>
      </c>
      <c r="B40" s="445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7"/>
      <c r="O40" s="443"/>
      <c r="P40" s="440"/>
      <c r="Q40" s="1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9"/>
      <c r="AD40" s="65"/>
      <c r="AE40" s="17"/>
      <c r="AF40" s="440"/>
      <c r="AG40" s="441"/>
      <c r="AH40" s="441"/>
      <c r="AI40" s="444"/>
      <c r="AJ40" s="153"/>
    </row>
    <row r="41" spans="1:36" x14ac:dyDescent="0.2">
      <c r="A41" s="16" t="s">
        <v>66</v>
      </c>
      <c r="B41" s="445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7"/>
      <c r="O41" s="443"/>
      <c r="P41" s="440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9"/>
      <c r="AD41" s="65"/>
      <c r="AE41" s="17"/>
      <c r="AF41" s="440"/>
      <c r="AG41" s="441"/>
      <c r="AH41" s="441"/>
      <c r="AI41" s="444"/>
      <c r="AJ41" s="153"/>
    </row>
    <row r="42" spans="1:36" x14ac:dyDescent="0.2">
      <c r="A42" s="16" t="s">
        <v>67</v>
      </c>
      <c r="B42" s="445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7"/>
      <c r="O42" s="443"/>
      <c r="P42" s="440"/>
      <c r="Q42" s="16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9"/>
      <c r="AD42" s="65"/>
      <c r="AE42" s="17"/>
      <c r="AF42" s="440"/>
      <c r="AG42" s="441"/>
      <c r="AH42" s="441"/>
      <c r="AI42" s="444"/>
      <c r="AJ42" s="153"/>
    </row>
    <row r="43" spans="1:36" x14ac:dyDescent="0.2">
      <c r="A43" s="16" t="s">
        <v>66</v>
      </c>
      <c r="B43" s="445"/>
      <c r="C43" s="442"/>
      <c r="D43" s="442"/>
      <c r="E43" s="442"/>
      <c r="F43" s="442"/>
      <c r="G43" s="442"/>
      <c r="H43" s="442"/>
      <c r="I43" s="442"/>
      <c r="J43" s="442"/>
      <c r="K43" s="442"/>
      <c r="L43" s="442">
        <v>3</v>
      </c>
      <c r="M43" s="442"/>
      <c r="N43" s="7"/>
      <c r="O43" s="443"/>
      <c r="P43" s="440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2">
        <v>3</v>
      </c>
      <c r="AB43" s="12"/>
      <c r="AC43" s="9"/>
      <c r="AD43" s="65"/>
      <c r="AE43" s="17"/>
      <c r="AF43" s="440"/>
      <c r="AG43" s="441"/>
      <c r="AH43" s="441"/>
      <c r="AI43" s="444"/>
      <c r="AJ43" s="153"/>
    </row>
    <row r="44" spans="1:36" x14ac:dyDescent="0.2">
      <c r="A44" s="16" t="s">
        <v>68</v>
      </c>
      <c r="B44" s="445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7"/>
      <c r="O44" s="443"/>
      <c r="P44" s="440"/>
      <c r="Q44" s="16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9"/>
      <c r="AD44" s="65"/>
      <c r="AE44" s="17"/>
      <c r="AF44" s="440"/>
      <c r="AG44" s="441"/>
      <c r="AH44" s="441"/>
      <c r="AI44" s="444"/>
      <c r="AJ44" s="153"/>
    </row>
    <row r="45" spans="1:36" x14ac:dyDescent="0.2">
      <c r="A45" s="16" t="s">
        <v>66</v>
      </c>
      <c r="B45" s="446"/>
      <c r="C45" s="447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7"/>
      <c r="O45" s="443"/>
      <c r="P45" s="440"/>
      <c r="Q45" s="16"/>
      <c r="R45" s="446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9"/>
      <c r="AD45" s="65"/>
      <c r="AE45" s="17"/>
      <c r="AF45" s="440"/>
      <c r="AG45" s="441"/>
      <c r="AH45" s="447"/>
      <c r="AI45" s="444"/>
      <c r="AJ45" s="153"/>
    </row>
    <row r="46" spans="1:36" x14ac:dyDescent="0.2">
      <c r="A46" s="16"/>
      <c r="B46" s="445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7"/>
      <c r="O46" s="443"/>
      <c r="P46" s="440"/>
      <c r="Q46" s="1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9"/>
      <c r="AD46" s="65"/>
      <c r="AE46" s="17"/>
      <c r="AF46" s="440"/>
      <c r="AG46" s="441"/>
      <c r="AH46" s="441"/>
      <c r="AI46" s="444"/>
      <c r="AJ46" s="153"/>
    </row>
    <row r="47" spans="1:36" x14ac:dyDescent="0.2">
      <c r="A47" s="16" t="s">
        <v>69</v>
      </c>
      <c r="B47" s="448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50"/>
      <c r="O47" s="451"/>
      <c r="P47" s="452"/>
      <c r="Q47" s="12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3"/>
      <c r="AD47" s="66"/>
      <c r="AE47" s="67"/>
      <c r="AF47" s="452"/>
      <c r="AG47" s="453"/>
      <c r="AH47" s="453"/>
      <c r="AI47" s="454"/>
      <c r="AJ47" s="153"/>
    </row>
    <row r="48" spans="1:36" x14ac:dyDescent="0.2">
      <c r="A48" s="16" t="s">
        <v>66</v>
      </c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65"/>
      <c r="P48" s="17"/>
      <c r="Q48" s="1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9"/>
      <c r="AD48" s="65"/>
      <c r="AE48" s="17"/>
      <c r="AF48" s="17"/>
      <c r="AG48" s="16"/>
      <c r="AH48" s="17"/>
      <c r="AI48" s="16"/>
    </row>
    <row r="49" spans="1:35" x14ac:dyDescent="0.2">
      <c r="A49" s="16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65"/>
      <c r="P49" s="17"/>
      <c r="Q49" s="1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9"/>
      <c r="AD49" s="65"/>
      <c r="AE49" s="17"/>
      <c r="AF49" s="17"/>
      <c r="AG49" s="16"/>
      <c r="AH49" s="17"/>
      <c r="AI49" s="16"/>
    </row>
    <row r="50" spans="1:35" ht="12.75" thickBot="1" x14ac:dyDescent="0.25">
      <c r="A50" s="59"/>
      <c r="B50" s="12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66"/>
      <c r="P50" s="67"/>
      <c r="Q50" s="128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3"/>
      <c r="AD50" s="66"/>
      <c r="AE50" s="67"/>
      <c r="AF50" s="67"/>
      <c r="AG50" s="128"/>
      <c r="AH50" s="67"/>
      <c r="AI50" s="128"/>
    </row>
    <row r="51" spans="1:35" ht="12.75" thickBot="1" x14ac:dyDescent="0.25">
      <c r="A51" s="103" t="s">
        <v>0</v>
      </c>
      <c r="B51" s="460">
        <f>SUM(B8:B50)</f>
        <v>13715</v>
      </c>
      <c r="C51" s="460">
        <f t="shared" ref="C51:AI51" si="0">SUM(C8:C50)</f>
        <v>51673327.359999999</v>
      </c>
      <c r="D51" s="460">
        <f t="shared" si="0"/>
        <v>0</v>
      </c>
      <c r="E51" s="460">
        <f t="shared" si="0"/>
        <v>0</v>
      </c>
      <c r="F51" s="460">
        <f t="shared" si="0"/>
        <v>0</v>
      </c>
      <c r="G51" s="460">
        <f t="shared" si="0"/>
        <v>0</v>
      </c>
      <c r="H51" s="460">
        <f t="shared" si="0"/>
        <v>0</v>
      </c>
      <c r="I51" s="460">
        <f t="shared" si="0"/>
        <v>0</v>
      </c>
      <c r="J51" s="460">
        <f t="shared" si="0"/>
        <v>0</v>
      </c>
      <c r="K51" s="460">
        <f t="shared" si="0"/>
        <v>0</v>
      </c>
      <c r="L51" s="460">
        <f t="shared" si="0"/>
        <v>3003</v>
      </c>
      <c r="M51" s="460">
        <f t="shared" si="0"/>
        <v>0</v>
      </c>
      <c r="N51" s="460">
        <f t="shared" si="0"/>
        <v>0</v>
      </c>
      <c r="O51" s="460">
        <f t="shared" si="0"/>
        <v>590378430.20000005</v>
      </c>
      <c r="P51" s="460">
        <f t="shared" si="0"/>
        <v>0</v>
      </c>
      <c r="Q51" s="460">
        <f t="shared" si="0"/>
        <v>13975</v>
      </c>
      <c r="R51" s="460">
        <f t="shared" si="0"/>
        <v>21688.84</v>
      </c>
      <c r="S51" s="460">
        <f t="shared" si="0"/>
        <v>0</v>
      </c>
      <c r="T51" s="460">
        <f t="shared" si="0"/>
        <v>0</v>
      </c>
      <c r="U51" s="460">
        <f t="shared" si="0"/>
        <v>0</v>
      </c>
      <c r="V51" s="460">
        <f t="shared" si="0"/>
        <v>0</v>
      </c>
      <c r="W51" s="460">
        <f t="shared" si="0"/>
        <v>0</v>
      </c>
      <c r="X51" s="460">
        <f t="shared" si="0"/>
        <v>0</v>
      </c>
      <c r="Y51" s="460">
        <f t="shared" si="0"/>
        <v>0</v>
      </c>
      <c r="Z51" s="460">
        <f t="shared" si="0"/>
        <v>0</v>
      </c>
      <c r="AA51" s="460">
        <f t="shared" si="0"/>
        <v>3003</v>
      </c>
      <c r="AB51" s="460">
        <f t="shared" si="0"/>
        <v>1000</v>
      </c>
      <c r="AC51" s="460">
        <f t="shared" si="0"/>
        <v>0</v>
      </c>
      <c r="AD51" s="460">
        <f t="shared" si="0"/>
        <v>548321035.43999994</v>
      </c>
      <c r="AE51" s="460">
        <f t="shared" si="0"/>
        <v>115785029.86800605</v>
      </c>
      <c r="AF51" s="460">
        <f t="shared" si="0"/>
        <v>-42057394.760000005</v>
      </c>
      <c r="AG51" s="460">
        <f t="shared" si="0"/>
        <v>0</v>
      </c>
      <c r="AH51" s="460">
        <f t="shared" si="0"/>
        <v>13715</v>
      </c>
      <c r="AI51" s="460">
        <f t="shared" si="0"/>
        <v>593059347.24000001</v>
      </c>
    </row>
    <row r="52" spans="1:35" x14ac:dyDescent="0.2">
      <c r="A52" s="3" t="s">
        <v>70</v>
      </c>
    </row>
    <row r="53" spans="1:35" x14ac:dyDescent="0.2">
      <c r="A53" s="3" t="s">
        <v>71</v>
      </c>
      <c r="B53" s="101" t="s">
        <v>169</v>
      </c>
    </row>
    <row r="54" spans="1:35" x14ac:dyDescent="0.2">
      <c r="A54" s="3" t="s">
        <v>72</v>
      </c>
      <c r="B54" s="101" t="s">
        <v>73</v>
      </c>
    </row>
    <row r="55" spans="1:35" x14ac:dyDescent="0.2">
      <c r="A55" s="3" t="s">
        <v>74</v>
      </c>
      <c r="B55" s="101" t="s">
        <v>75</v>
      </c>
    </row>
    <row r="56" spans="1:35" x14ac:dyDescent="0.2">
      <c r="A56" s="3" t="s">
        <v>76</v>
      </c>
      <c r="B56" s="101" t="s">
        <v>77</v>
      </c>
    </row>
    <row r="57" spans="1:35" x14ac:dyDescent="0.2">
      <c r="B57" s="101" t="s">
        <v>78</v>
      </c>
    </row>
    <row r="58" spans="1:35" x14ac:dyDescent="0.2">
      <c r="A58" s="3" t="s">
        <v>79</v>
      </c>
      <c r="B58" s="101" t="s">
        <v>160</v>
      </c>
    </row>
    <row r="59" spans="1:35" x14ac:dyDescent="0.2">
      <c r="B59" s="101" t="s">
        <v>80</v>
      </c>
    </row>
    <row r="60" spans="1:35" x14ac:dyDescent="0.2">
      <c r="B60" s="101" t="s">
        <v>81</v>
      </c>
    </row>
    <row r="61" spans="1:35" x14ac:dyDescent="0.2">
      <c r="B61" s="101" t="s">
        <v>82</v>
      </c>
    </row>
    <row r="62" spans="1:35" x14ac:dyDescent="0.2">
      <c r="A62" s="112" t="s">
        <v>194</v>
      </c>
      <c r="B62" s="112" t="s">
        <v>195</v>
      </c>
    </row>
    <row r="63" spans="1:35" s="101" customFormat="1" x14ac:dyDescent="0.2">
      <c r="A63" s="112" t="s">
        <v>196</v>
      </c>
      <c r="B63" s="101" t="s">
        <v>165</v>
      </c>
      <c r="F63" s="112"/>
      <c r="G63" s="112"/>
      <c r="H63" s="112"/>
      <c r="I63" s="112"/>
      <c r="U63" s="112"/>
      <c r="V63" s="112"/>
      <c r="W63" s="112"/>
      <c r="X63" s="112"/>
      <c r="AF63" s="153"/>
      <c r="AG63" s="153"/>
    </row>
    <row r="64" spans="1:35" x14ac:dyDescent="0.2">
      <c r="A64" s="112" t="s">
        <v>197</v>
      </c>
      <c r="B64" s="101" t="s">
        <v>161</v>
      </c>
    </row>
    <row r="65" spans="1:33" x14ac:dyDescent="0.2">
      <c r="B65" s="101" t="s">
        <v>80</v>
      </c>
    </row>
    <row r="66" spans="1:33" x14ac:dyDescent="0.2">
      <c r="B66" s="101" t="s">
        <v>81</v>
      </c>
    </row>
    <row r="67" spans="1:33" x14ac:dyDescent="0.2">
      <c r="B67" s="101" t="s">
        <v>124</v>
      </c>
    </row>
    <row r="68" spans="1:33" s="112" customFormat="1" x14ac:dyDescent="0.2">
      <c r="A68" s="112" t="s">
        <v>206</v>
      </c>
      <c r="B68" s="112" t="s">
        <v>207</v>
      </c>
      <c r="AF68" s="153"/>
      <c r="AG68" s="153"/>
    </row>
    <row r="69" spans="1:33" x14ac:dyDescent="0.2">
      <c r="A69" s="112" t="s">
        <v>204</v>
      </c>
      <c r="B69" s="112" t="s">
        <v>200</v>
      </c>
    </row>
    <row r="70" spans="1:33" x14ac:dyDescent="0.2">
      <c r="A70" s="112" t="s">
        <v>205</v>
      </c>
      <c r="B70" s="112" t="s">
        <v>208</v>
      </c>
    </row>
  </sheetData>
  <mergeCells count="5">
    <mergeCell ref="AH4:AI4"/>
    <mergeCell ref="A4:A6"/>
    <mergeCell ref="B4:P4"/>
    <mergeCell ref="Q4:AE4"/>
    <mergeCell ref="AF4:AG4"/>
  </mergeCells>
  <phoneticPr fontId="11" type="noConversion"/>
  <printOptions horizontalCentered="1"/>
  <pageMargins left="0.25" right="0.25" top="0.75" bottom="0.75" header="0.3" footer="0.3"/>
  <pageSetup paperSize="9" scale="48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7">
    <tabColor theme="6" tint="-0.249977111117893"/>
    <pageSetUpPr fitToPage="1"/>
  </sheetPr>
  <dimension ref="A1:U59"/>
  <sheetViews>
    <sheetView tabSelected="1" zoomScaleNormal="100" zoomScaleSheetLayoutView="80" zoomScalePageLayoutView="85" workbookViewId="0">
      <selection activeCell="C22" sqref="C22"/>
    </sheetView>
  </sheetViews>
  <sheetFormatPr baseColWidth="10" defaultColWidth="11.42578125" defaultRowHeight="12" x14ac:dyDescent="0.2"/>
  <cols>
    <col min="1" max="1" width="57.140625" style="3" customWidth="1"/>
    <col min="2" max="4" width="12.7109375" style="3" customWidth="1"/>
    <col min="5" max="5" width="13.140625" style="3" customWidth="1"/>
    <col min="6" max="6" width="12.7109375" style="3" customWidth="1"/>
    <col min="7" max="7" width="14.28515625" style="3" customWidth="1"/>
    <col min="8" max="8" width="12.7109375" style="3" customWidth="1"/>
    <col min="9" max="9" width="15" style="3" customWidth="1"/>
    <col min="10" max="10" width="12.7109375" style="3" customWidth="1"/>
    <col min="11" max="16384" width="11.42578125" style="3"/>
  </cols>
  <sheetData>
    <row r="1" spans="1:21" s="129" customFormat="1" x14ac:dyDescent="0.2">
      <c r="A1" s="154" t="s">
        <v>418</v>
      </c>
      <c r="B1" s="154"/>
      <c r="C1" s="154"/>
      <c r="D1" s="154"/>
      <c r="E1" s="154"/>
      <c r="F1" s="154"/>
      <c r="G1" s="154"/>
      <c r="H1" s="154"/>
      <c r="I1" s="154"/>
    </row>
    <row r="2" spans="1:21" s="5" customFormat="1" x14ac:dyDescent="0.2">
      <c r="A2" s="154" t="s">
        <v>569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1" s="137" customFormat="1" ht="12.75" thickBot="1" x14ac:dyDescent="0.25">
      <c r="A3" s="9"/>
      <c r="B3" s="11"/>
      <c r="E3" s="11"/>
    </row>
    <row r="4" spans="1:21" ht="12" customHeight="1" thickBot="1" x14ac:dyDescent="0.25">
      <c r="A4" s="601" t="s">
        <v>29</v>
      </c>
      <c r="B4" s="611" t="s">
        <v>417</v>
      </c>
      <c r="C4" s="607" t="s">
        <v>714</v>
      </c>
      <c r="D4" s="612" t="s">
        <v>419</v>
      </c>
      <c r="E4" s="605" t="s">
        <v>420</v>
      </c>
      <c r="F4" s="609" t="s">
        <v>421</v>
      </c>
      <c r="G4" s="603" t="s">
        <v>388</v>
      </c>
      <c r="H4" s="605" t="s">
        <v>387</v>
      </c>
      <c r="I4" s="603" t="s">
        <v>422</v>
      </c>
      <c r="J4" s="607" t="s">
        <v>387</v>
      </c>
    </row>
    <row r="5" spans="1:21" ht="31.5" customHeight="1" thickBot="1" x14ac:dyDescent="0.25">
      <c r="A5" s="602"/>
      <c r="B5" s="602"/>
      <c r="C5" s="608"/>
      <c r="D5" s="613"/>
      <c r="E5" s="606"/>
      <c r="F5" s="610"/>
      <c r="G5" s="604"/>
      <c r="H5" s="606"/>
      <c r="I5" s="604"/>
      <c r="J5" s="608"/>
    </row>
    <row r="6" spans="1:21" x14ac:dyDescent="0.2">
      <c r="A6" s="55" t="s">
        <v>679</v>
      </c>
      <c r="B6" s="496"/>
      <c r="C6" s="496"/>
      <c r="D6" s="529">
        <v>4584534</v>
      </c>
      <c r="E6" s="528">
        <v>4586008</v>
      </c>
      <c r="F6" s="529">
        <v>3608965</v>
      </c>
      <c r="G6" s="497">
        <f>B6-C6</f>
        <v>0</v>
      </c>
      <c r="H6" s="347"/>
      <c r="I6" s="526">
        <f>D6-F6</f>
        <v>975569</v>
      </c>
      <c r="J6" s="527">
        <f>I6/D6</f>
        <v>0.21279567345339789</v>
      </c>
    </row>
    <row r="7" spans="1:21" x14ac:dyDescent="0.2">
      <c r="A7" s="55" t="s">
        <v>680</v>
      </c>
      <c r="B7" s="496"/>
      <c r="C7" s="496"/>
      <c r="D7" s="496">
        <v>450297</v>
      </c>
      <c r="E7" s="528">
        <v>666998</v>
      </c>
      <c r="F7" s="496">
        <v>171693</v>
      </c>
      <c r="G7" s="497">
        <f t="shared" ref="G7:G53" si="0">B7-C7</f>
        <v>0</v>
      </c>
      <c r="H7" s="347"/>
      <c r="I7" s="526">
        <f t="shared" ref="I7:I53" si="1">D7-F7</f>
        <v>278604</v>
      </c>
      <c r="J7" s="527">
        <f t="shared" ref="J7:J53" si="2">I7/D7</f>
        <v>0.61871165031079489</v>
      </c>
    </row>
    <row r="8" spans="1:21" x14ac:dyDescent="0.2">
      <c r="A8" s="55" t="s">
        <v>633</v>
      </c>
      <c r="B8" s="496"/>
      <c r="C8" s="496"/>
      <c r="D8" s="496">
        <v>2470606</v>
      </c>
      <c r="E8" s="528">
        <v>2132841</v>
      </c>
      <c r="F8" s="496">
        <v>2871718</v>
      </c>
      <c r="G8" s="497">
        <f t="shared" si="0"/>
        <v>0</v>
      </c>
      <c r="H8" s="347"/>
      <c r="I8" s="526">
        <f t="shared" si="1"/>
        <v>-401112</v>
      </c>
      <c r="J8" s="527">
        <f t="shared" si="2"/>
        <v>-0.16235368974251663</v>
      </c>
    </row>
    <row r="9" spans="1:21" x14ac:dyDescent="0.2">
      <c r="A9" s="55" t="s">
        <v>634</v>
      </c>
      <c r="B9" s="496"/>
      <c r="C9" s="496"/>
      <c r="D9" s="496">
        <v>840863</v>
      </c>
      <c r="E9" s="528">
        <v>682382</v>
      </c>
      <c r="F9" s="496">
        <v>805723</v>
      </c>
      <c r="G9" s="497">
        <f t="shared" si="0"/>
        <v>0</v>
      </c>
      <c r="H9" s="347"/>
      <c r="I9" s="526">
        <f t="shared" si="1"/>
        <v>35140</v>
      </c>
      <c r="J9" s="527">
        <f t="shared" si="2"/>
        <v>4.1790398673743526E-2</v>
      </c>
    </row>
    <row r="10" spans="1:21" x14ac:dyDescent="0.2">
      <c r="A10" s="55" t="s">
        <v>635</v>
      </c>
      <c r="B10" s="496"/>
      <c r="C10" s="496"/>
      <c r="D10" s="496">
        <v>62110174</v>
      </c>
      <c r="E10" s="528">
        <v>84526126</v>
      </c>
      <c r="F10" s="496">
        <v>56207241</v>
      </c>
      <c r="G10" s="497">
        <f t="shared" si="0"/>
        <v>0</v>
      </c>
      <c r="H10" s="347"/>
      <c r="I10" s="526">
        <f t="shared" si="1"/>
        <v>5902933</v>
      </c>
      <c r="J10" s="527">
        <f t="shared" si="2"/>
        <v>9.5039711207378044E-2</v>
      </c>
    </row>
    <row r="11" spans="1:21" x14ac:dyDescent="0.2">
      <c r="A11" s="55" t="s">
        <v>636</v>
      </c>
      <c r="B11" s="496"/>
      <c r="C11" s="496"/>
      <c r="D11" s="496">
        <v>3453611</v>
      </c>
      <c r="E11" s="528">
        <v>2547350</v>
      </c>
      <c r="F11" s="496">
        <v>3052577</v>
      </c>
      <c r="G11" s="497">
        <f t="shared" si="0"/>
        <v>0</v>
      </c>
      <c r="H11" s="347"/>
      <c r="I11" s="526">
        <f t="shared" si="1"/>
        <v>401034</v>
      </c>
      <c r="J11" s="527">
        <f t="shared" si="2"/>
        <v>0.11612019998778091</v>
      </c>
    </row>
    <row r="12" spans="1:21" x14ac:dyDescent="0.2">
      <c r="A12" s="55" t="s">
        <v>637</v>
      </c>
      <c r="B12" s="496"/>
      <c r="C12" s="496"/>
      <c r="D12" s="496">
        <v>150314</v>
      </c>
      <c r="E12" s="528">
        <v>138846</v>
      </c>
      <c r="F12" s="496">
        <v>213832</v>
      </c>
      <c r="G12" s="497">
        <f t="shared" si="0"/>
        <v>0</v>
      </c>
      <c r="H12" s="347"/>
      <c r="I12" s="526">
        <f t="shared" si="1"/>
        <v>-63518</v>
      </c>
      <c r="J12" s="527">
        <f t="shared" si="2"/>
        <v>-0.4225687560706255</v>
      </c>
    </row>
    <row r="13" spans="1:21" ht="12.75" x14ac:dyDescent="0.2">
      <c r="A13" s="55" t="s">
        <v>638</v>
      </c>
      <c r="B13" s="496"/>
      <c r="C13" s="496"/>
      <c r="D13" s="530">
        <v>136500</v>
      </c>
      <c r="E13" s="525">
        <v>9265941</v>
      </c>
      <c r="F13" s="496">
        <v>3543151</v>
      </c>
      <c r="G13" s="497">
        <f t="shared" si="0"/>
        <v>0</v>
      </c>
      <c r="H13" s="347"/>
      <c r="I13" s="526">
        <f t="shared" si="1"/>
        <v>-3406651</v>
      </c>
      <c r="J13" s="527">
        <f t="shared" si="2"/>
        <v>-24.957150183150183</v>
      </c>
    </row>
    <row r="14" spans="1:21" ht="12.75" x14ac:dyDescent="0.2">
      <c r="A14" s="55" t="s">
        <v>639</v>
      </c>
      <c r="B14" s="496"/>
      <c r="C14" s="496"/>
      <c r="D14" s="530">
        <v>1094526</v>
      </c>
      <c r="E14" s="525">
        <v>1341964</v>
      </c>
      <c r="F14" s="496">
        <v>1243006</v>
      </c>
      <c r="G14" s="497">
        <f t="shared" si="0"/>
        <v>0</v>
      </c>
      <c r="H14" s="347"/>
      <c r="I14" s="526">
        <f t="shared" si="1"/>
        <v>-148480</v>
      </c>
      <c r="J14" s="527">
        <f t="shared" si="2"/>
        <v>-0.13565689622722529</v>
      </c>
    </row>
    <row r="15" spans="1:21" ht="12.75" x14ac:dyDescent="0.2">
      <c r="A15" s="55" t="s">
        <v>640</v>
      </c>
      <c r="B15" s="496"/>
      <c r="C15" s="496"/>
      <c r="D15" s="530">
        <v>2197310</v>
      </c>
      <c r="E15" s="525">
        <v>6703133</v>
      </c>
      <c r="F15" s="496">
        <v>2528469</v>
      </c>
      <c r="G15" s="497">
        <f t="shared" si="0"/>
        <v>0</v>
      </c>
      <c r="H15" s="347"/>
      <c r="I15" s="526">
        <f t="shared" si="1"/>
        <v>-331159</v>
      </c>
      <c r="J15" s="527">
        <f t="shared" si="2"/>
        <v>-0.15071109675011718</v>
      </c>
    </row>
    <row r="16" spans="1:21" x14ac:dyDescent="0.2">
      <c r="A16" s="55" t="s">
        <v>641</v>
      </c>
      <c r="B16" s="496"/>
      <c r="C16" s="496"/>
      <c r="D16" s="496">
        <v>306730</v>
      </c>
      <c r="E16" s="528">
        <v>569440</v>
      </c>
      <c r="F16" s="496">
        <v>413220</v>
      </c>
      <c r="G16" s="497">
        <f t="shared" si="0"/>
        <v>0</v>
      </c>
      <c r="H16" s="347"/>
      <c r="I16" s="526">
        <f t="shared" si="1"/>
        <v>-106490</v>
      </c>
      <c r="J16" s="527">
        <f t="shared" si="2"/>
        <v>-0.34717830013366807</v>
      </c>
    </row>
    <row r="17" spans="1:10" ht="12.75" x14ac:dyDescent="0.2">
      <c r="A17" s="55" t="s">
        <v>642</v>
      </c>
      <c r="B17" s="496"/>
      <c r="C17" s="496"/>
      <c r="D17" s="530">
        <v>47171</v>
      </c>
      <c r="E17" s="525">
        <v>42639</v>
      </c>
      <c r="F17" s="496">
        <v>55100</v>
      </c>
      <c r="G17" s="497">
        <f t="shared" si="0"/>
        <v>0</v>
      </c>
      <c r="H17" s="347"/>
      <c r="I17" s="526">
        <f t="shared" si="1"/>
        <v>-7929</v>
      </c>
      <c r="J17" s="527">
        <f t="shared" si="2"/>
        <v>-0.16809056411778422</v>
      </c>
    </row>
    <row r="18" spans="1:10" x14ac:dyDescent="0.2">
      <c r="A18" s="55" t="s">
        <v>643</v>
      </c>
      <c r="B18" s="496"/>
      <c r="C18" s="496"/>
      <c r="D18" s="496"/>
      <c r="E18" s="528"/>
      <c r="F18" s="496">
        <v>806710</v>
      </c>
      <c r="G18" s="497">
        <f t="shared" si="0"/>
        <v>0</v>
      </c>
      <c r="H18" s="347"/>
      <c r="I18" s="526">
        <f t="shared" si="1"/>
        <v>-806710</v>
      </c>
      <c r="J18" s="527">
        <v>0</v>
      </c>
    </row>
    <row r="19" spans="1:10" ht="12.75" x14ac:dyDescent="0.2">
      <c r="A19" s="55" t="s">
        <v>644</v>
      </c>
      <c r="B19" s="496"/>
      <c r="C19" s="496"/>
      <c r="D19" s="530">
        <v>10624513</v>
      </c>
      <c r="E19" s="525">
        <v>10061500</v>
      </c>
      <c r="F19" s="496">
        <v>10720535</v>
      </c>
      <c r="G19" s="497">
        <f t="shared" si="0"/>
        <v>0</v>
      </c>
      <c r="H19" s="347"/>
      <c r="I19" s="526">
        <f t="shared" si="1"/>
        <v>-96022</v>
      </c>
      <c r="J19" s="527">
        <f t="shared" si="2"/>
        <v>-9.0377789551389313E-3</v>
      </c>
    </row>
    <row r="20" spans="1:10" s="153" customFormat="1" ht="12.75" x14ac:dyDescent="0.2">
      <c r="A20" s="55" t="s">
        <v>645</v>
      </c>
      <c r="B20" s="496"/>
      <c r="C20" s="496"/>
      <c r="D20" s="530">
        <v>7757213</v>
      </c>
      <c r="E20" s="525">
        <v>5943988</v>
      </c>
      <c r="F20" s="496">
        <v>10071816</v>
      </c>
      <c r="G20" s="497">
        <f t="shared" si="0"/>
        <v>0</v>
      </c>
      <c r="H20" s="347"/>
      <c r="I20" s="526">
        <f t="shared" si="1"/>
        <v>-2314603</v>
      </c>
      <c r="J20" s="527">
        <f t="shared" si="2"/>
        <v>-0.29838074576526391</v>
      </c>
    </row>
    <row r="21" spans="1:10" s="153" customFormat="1" ht="12.75" x14ac:dyDescent="0.2">
      <c r="A21" s="55" t="s">
        <v>646</v>
      </c>
      <c r="B21" s="496"/>
      <c r="C21" s="496"/>
      <c r="D21" s="530">
        <v>332741</v>
      </c>
      <c r="E21" s="525">
        <v>405532</v>
      </c>
      <c r="F21" s="496">
        <v>199500</v>
      </c>
      <c r="G21" s="497">
        <f t="shared" si="0"/>
        <v>0</v>
      </c>
      <c r="H21" s="347"/>
      <c r="I21" s="526">
        <f t="shared" si="1"/>
        <v>133241</v>
      </c>
      <c r="J21" s="527">
        <f t="shared" si="2"/>
        <v>0.40043457223486134</v>
      </c>
    </row>
    <row r="22" spans="1:10" s="153" customFormat="1" ht="12.75" x14ac:dyDescent="0.2">
      <c r="A22" s="55" t="s">
        <v>647</v>
      </c>
      <c r="B22" s="496"/>
      <c r="C22" s="496"/>
      <c r="D22" s="530">
        <v>33727</v>
      </c>
      <c r="E22" s="525">
        <v>38181</v>
      </c>
      <c r="F22" s="496">
        <v>97167</v>
      </c>
      <c r="G22" s="497">
        <f t="shared" si="0"/>
        <v>0</v>
      </c>
      <c r="H22" s="347"/>
      <c r="I22" s="526">
        <f t="shared" si="1"/>
        <v>-63440</v>
      </c>
      <c r="J22" s="527">
        <f t="shared" si="2"/>
        <v>-1.8809855605301391</v>
      </c>
    </row>
    <row r="23" spans="1:10" s="153" customFormat="1" ht="12.75" x14ac:dyDescent="0.2">
      <c r="A23" s="55" t="s">
        <v>648</v>
      </c>
      <c r="B23" s="496"/>
      <c r="C23" s="496"/>
      <c r="D23" s="530">
        <v>1139745</v>
      </c>
      <c r="E23" s="525">
        <v>828704</v>
      </c>
      <c r="F23" s="496">
        <v>1295852</v>
      </c>
      <c r="G23" s="497">
        <f t="shared" si="0"/>
        <v>0</v>
      </c>
      <c r="H23" s="347"/>
      <c r="I23" s="526">
        <f t="shared" si="1"/>
        <v>-156107</v>
      </c>
      <c r="J23" s="527">
        <f t="shared" si="2"/>
        <v>-0.13696660217855749</v>
      </c>
    </row>
    <row r="24" spans="1:10" s="153" customFormat="1" x14ac:dyDescent="0.2">
      <c r="A24" s="55" t="s">
        <v>649</v>
      </c>
      <c r="B24" s="496"/>
      <c r="C24" s="496"/>
      <c r="D24" s="496"/>
      <c r="E24" s="528"/>
      <c r="F24" s="496">
        <v>12530</v>
      </c>
      <c r="G24" s="497">
        <f t="shared" si="0"/>
        <v>0</v>
      </c>
      <c r="H24" s="347"/>
      <c r="I24" s="526">
        <f t="shared" si="1"/>
        <v>-12530</v>
      </c>
      <c r="J24" s="527">
        <v>1</v>
      </c>
    </row>
    <row r="25" spans="1:10" s="153" customFormat="1" ht="12.75" x14ac:dyDescent="0.2">
      <c r="A25" s="55" t="s">
        <v>650</v>
      </c>
      <c r="B25" s="496"/>
      <c r="C25" s="496"/>
      <c r="D25" s="530">
        <v>355958</v>
      </c>
      <c r="E25" s="525">
        <v>185870</v>
      </c>
      <c r="F25" s="496">
        <v>273857</v>
      </c>
      <c r="G25" s="497">
        <f t="shared" si="0"/>
        <v>0</v>
      </c>
      <c r="H25" s="347"/>
      <c r="I25" s="526">
        <f t="shared" si="1"/>
        <v>82101</v>
      </c>
      <c r="J25" s="527">
        <f t="shared" si="2"/>
        <v>0.23064799779749295</v>
      </c>
    </row>
    <row r="26" spans="1:10" s="153" customFormat="1" ht="12.75" x14ac:dyDescent="0.2">
      <c r="A26" s="55" t="s">
        <v>651</v>
      </c>
      <c r="B26" s="496"/>
      <c r="C26" s="496"/>
      <c r="D26" s="530">
        <v>5931501</v>
      </c>
      <c r="E26" s="525">
        <v>10337058</v>
      </c>
      <c r="F26" s="496">
        <v>6305965</v>
      </c>
      <c r="G26" s="497">
        <f t="shared" si="0"/>
        <v>0</v>
      </c>
      <c r="H26" s="347"/>
      <c r="I26" s="526">
        <f t="shared" si="1"/>
        <v>-374464</v>
      </c>
      <c r="J26" s="527">
        <f t="shared" si="2"/>
        <v>-6.3131406367460785E-2</v>
      </c>
    </row>
    <row r="27" spans="1:10" s="153" customFormat="1" ht="12.75" x14ac:dyDescent="0.2">
      <c r="A27" s="55" t="s">
        <v>652</v>
      </c>
      <c r="B27" s="496"/>
      <c r="C27" s="496"/>
      <c r="D27" s="530">
        <v>27000</v>
      </c>
      <c r="E27" s="525">
        <v>27000</v>
      </c>
      <c r="F27" s="496">
        <v>28000</v>
      </c>
      <c r="G27" s="497">
        <f t="shared" si="0"/>
        <v>0</v>
      </c>
      <c r="H27" s="347"/>
      <c r="I27" s="526">
        <f t="shared" si="1"/>
        <v>-1000</v>
      </c>
      <c r="J27" s="527">
        <f t="shared" si="2"/>
        <v>-3.7037037037037035E-2</v>
      </c>
    </row>
    <row r="28" spans="1:10" s="153" customFormat="1" ht="12.75" x14ac:dyDescent="0.2">
      <c r="A28" s="55" t="s">
        <v>653</v>
      </c>
      <c r="B28" s="496"/>
      <c r="C28" s="496"/>
      <c r="D28" s="496"/>
      <c r="E28" s="525">
        <v>6458434</v>
      </c>
      <c r="F28" s="496">
        <v>14869</v>
      </c>
      <c r="G28" s="497">
        <f t="shared" si="0"/>
        <v>0</v>
      </c>
      <c r="H28" s="347"/>
      <c r="I28" s="526">
        <f t="shared" si="1"/>
        <v>-14869</v>
      </c>
      <c r="J28" s="527">
        <v>0</v>
      </c>
    </row>
    <row r="29" spans="1:10" s="153" customFormat="1" ht="12.75" x14ac:dyDescent="0.2">
      <c r="A29" s="55" t="s">
        <v>654</v>
      </c>
      <c r="B29" s="496"/>
      <c r="C29" s="496"/>
      <c r="D29" s="530">
        <v>3272275</v>
      </c>
      <c r="E29" s="525">
        <v>3925190</v>
      </c>
      <c r="F29" s="496">
        <v>14087866</v>
      </c>
      <c r="G29" s="497">
        <f t="shared" si="0"/>
        <v>0</v>
      </c>
      <c r="H29" s="347"/>
      <c r="I29" s="526">
        <f t="shared" si="1"/>
        <v>-10815591</v>
      </c>
      <c r="J29" s="527">
        <f t="shared" si="2"/>
        <v>-3.3052206798022783</v>
      </c>
    </row>
    <row r="30" spans="1:10" s="153" customFormat="1" ht="12.75" x14ac:dyDescent="0.2">
      <c r="A30" s="55" t="s">
        <v>655</v>
      </c>
      <c r="B30" s="496"/>
      <c r="C30" s="496"/>
      <c r="D30" s="530">
        <v>7161004</v>
      </c>
      <c r="E30" s="525">
        <v>20105299</v>
      </c>
      <c r="F30" s="496">
        <v>9433721</v>
      </c>
      <c r="G30" s="497">
        <f t="shared" si="0"/>
        <v>0</v>
      </c>
      <c r="H30" s="347"/>
      <c r="I30" s="526">
        <f t="shared" si="1"/>
        <v>-2272717</v>
      </c>
      <c r="J30" s="527">
        <f t="shared" si="2"/>
        <v>-0.31737407212731622</v>
      </c>
    </row>
    <row r="31" spans="1:10" s="153" customFormat="1" x14ac:dyDescent="0.2">
      <c r="A31" s="55" t="s">
        <v>656</v>
      </c>
      <c r="B31" s="496"/>
      <c r="C31" s="496"/>
      <c r="D31" s="496">
        <v>5000</v>
      </c>
      <c r="E31" s="528"/>
      <c r="F31" s="496">
        <v>57354</v>
      </c>
      <c r="G31" s="497">
        <f t="shared" si="0"/>
        <v>0</v>
      </c>
      <c r="H31" s="347"/>
      <c r="I31" s="526">
        <f t="shared" si="1"/>
        <v>-52354</v>
      </c>
      <c r="J31" s="527">
        <f t="shared" si="2"/>
        <v>-10.470800000000001</v>
      </c>
    </row>
    <row r="32" spans="1:10" s="153" customFormat="1" x14ac:dyDescent="0.2">
      <c r="A32" s="55" t="s">
        <v>657</v>
      </c>
      <c r="B32" s="496"/>
      <c r="C32" s="496"/>
      <c r="D32" s="496">
        <v>1039825</v>
      </c>
      <c r="E32" s="528">
        <v>1830136</v>
      </c>
      <c r="F32" s="496">
        <v>1081295</v>
      </c>
      <c r="G32" s="497">
        <f t="shared" si="0"/>
        <v>0</v>
      </c>
      <c r="H32" s="347"/>
      <c r="I32" s="526">
        <f t="shared" si="1"/>
        <v>-41470</v>
      </c>
      <c r="J32" s="527">
        <f t="shared" si="2"/>
        <v>-3.9881710864808982E-2</v>
      </c>
    </row>
    <row r="33" spans="1:10" s="153" customFormat="1" ht="12.75" x14ac:dyDescent="0.2">
      <c r="A33" s="55" t="s">
        <v>658</v>
      </c>
      <c r="B33" s="496"/>
      <c r="C33" s="496"/>
      <c r="D33" s="530">
        <v>9220</v>
      </c>
      <c r="E33" s="525">
        <v>10320</v>
      </c>
      <c r="F33" s="496">
        <v>3100</v>
      </c>
      <c r="G33" s="497">
        <f t="shared" si="0"/>
        <v>0</v>
      </c>
      <c r="H33" s="347"/>
      <c r="I33" s="526">
        <f t="shared" si="1"/>
        <v>6120</v>
      </c>
      <c r="J33" s="527">
        <f t="shared" si="2"/>
        <v>0.66377440347071581</v>
      </c>
    </row>
    <row r="34" spans="1:10" s="153" customFormat="1" ht="12.75" x14ac:dyDescent="0.2">
      <c r="A34" s="55" t="s">
        <v>659</v>
      </c>
      <c r="B34" s="496"/>
      <c r="C34" s="496"/>
      <c r="D34" s="530">
        <v>1288394</v>
      </c>
      <c r="E34" s="525">
        <v>1506767</v>
      </c>
      <c r="F34" s="496">
        <v>1320179</v>
      </c>
      <c r="G34" s="497">
        <f t="shared" si="0"/>
        <v>0</v>
      </c>
      <c r="H34" s="347"/>
      <c r="I34" s="526">
        <f t="shared" si="1"/>
        <v>-31785</v>
      </c>
      <c r="J34" s="527">
        <f t="shared" si="2"/>
        <v>-2.4670248386751258E-2</v>
      </c>
    </row>
    <row r="35" spans="1:10" s="153" customFormat="1" x14ac:dyDescent="0.2">
      <c r="A35" s="55" t="s">
        <v>660</v>
      </c>
      <c r="B35" s="496"/>
      <c r="C35" s="496"/>
      <c r="D35" s="496">
        <v>4293708</v>
      </c>
      <c r="E35" s="528">
        <v>3396280</v>
      </c>
      <c r="F35" s="496">
        <v>4283380</v>
      </c>
      <c r="G35" s="497">
        <f t="shared" si="0"/>
        <v>0</v>
      </c>
      <c r="H35" s="347"/>
      <c r="I35" s="526">
        <f t="shared" si="1"/>
        <v>10328</v>
      </c>
      <c r="J35" s="527">
        <f t="shared" si="2"/>
        <v>2.4053801516078876E-3</v>
      </c>
    </row>
    <row r="36" spans="1:10" s="153" customFormat="1" x14ac:dyDescent="0.2">
      <c r="A36" s="55" t="s">
        <v>661</v>
      </c>
      <c r="B36" s="496"/>
      <c r="C36" s="496"/>
      <c r="D36" s="496"/>
      <c r="E36" s="528"/>
      <c r="F36" s="496">
        <v>11500935</v>
      </c>
      <c r="G36" s="497">
        <f t="shared" si="0"/>
        <v>0</v>
      </c>
      <c r="H36" s="347"/>
      <c r="I36" s="526">
        <f t="shared" si="1"/>
        <v>-11500935</v>
      </c>
      <c r="J36" s="527">
        <v>0</v>
      </c>
    </row>
    <row r="37" spans="1:10" s="153" customFormat="1" x14ac:dyDescent="0.2">
      <c r="A37" s="55" t="s">
        <v>662</v>
      </c>
      <c r="B37" s="496"/>
      <c r="C37" s="496"/>
      <c r="D37" s="496">
        <v>256420</v>
      </c>
      <c r="E37" s="528">
        <v>352769</v>
      </c>
      <c r="F37" s="496">
        <v>235100</v>
      </c>
      <c r="G37" s="497">
        <f t="shared" si="0"/>
        <v>0</v>
      </c>
      <c r="H37" s="347"/>
      <c r="I37" s="526">
        <f t="shared" si="1"/>
        <v>21320</v>
      </c>
      <c r="J37" s="527">
        <f t="shared" si="2"/>
        <v>8.3144840496061148E-2</v>
      </c>
    </row>
    <row r="38" spans="1:10" s="153" customFormat="1" x14ac:dyDescent="0.2">
      <c r="A38" s="55" t="s">
        <v>663</v>
      </c>
      <c r="B38" s="496"/>
      <c r="C38" s="496"/>
      <c r="D38" s="496">
        <v>90041</v>
      </c>
      <c r="E38" s="528">
        <v>126408</v>
      </c>
      <c r="F38" s="496">
        <v>90000</v>
      </c>
      <c r="G38" s="497">
        <f t="shared" si="0"/>
        <v>0</v>
      </c>
      <c r="H38" s="347"/>
      <c r="I38" s="526">
        <f t="shared" si="1"/>
        <v>41</v>
      </c>
      <c r="J38" s="527">
        <f t="shared" si="2"/>
        <v>4.5534811919014669E-4</v>
      </c>
    </row>
    <row r="39" spans="1:10" s="153" customFormat="1" ht="12.75" x14ac:dyDescent="0.2">
      <c r="A39" s="55" t="s">
        <v>664</v>
      </c>
      <c r="B39" s="496"/>
      <c r="C39" s="496"/>
      <c r="D39" s="530">
        <v>250045</v>
      </c>
      <c r="E39" s="525">
        <v>254287</v>
      </c>
      <c r="F39" s="496">
        <v>186877</v>
      </c>
      <c r="G39" s="497">
        <f t="shared" si="0"/>
        <v>0</v>
      </c>
      <c r="H39" s="347"/>
      <c r="I39" s="526">
        <f t="shared" si="1"/>
        <v>63168</v>
      </c>
      <c r="J39" s="527">
        <f t="shared" si="2"/>
        <v>0.25262652722509948</v>
      </c>
    </row>
    <row r="40" spans="1:10" s="153" customFormat="1" ht="12.75" x14ac:dyDescent="0.2">
      <c r="A40" s="55" t="s">
        <v>665</v>
      </c>
      <c r="B40" s="496"/>
      <c r="C40" s="496"/>
      <c r="D40" s="530">
        <v>448945</v>
      </c>
      <c r="E40" s="525">
        <v>132099</v>
      </c>
      <c r="F40" s="496">
        <v>175921</v>
      </c>
      <c r="G40" s="497">
        <f t="shared" si="0"/>
        <v>0</v>
      </c>
      <c r="H40" s="347"/>
      <c r="I40" s="526">
        <f t="shared" si="1"/>
        <v>273024</v>
      </c>
      <c r="J40" s="527">
        <f t="shared" si="2"/>
        <v>0.60814576395772313</v>
      </c>
    </row>
    <row r="41" spans="1:10" s="137" customFormat="1" ht="12.75" x14ac:dyDescent="0.2">
      <c r="A41" s="55" t="s">
        <v>666</v>
      </c>
      <c r="B41" s="496"/>
      <c r="C41" s="496"/>
      <c r="D41" s="530">
        <v>81714</v>
      </c>
      <c r="E41" s="525">
        <v>251491</v>
      </c>
      <c r="F41" s="496">
        <v>146019</v>
      </c>
      <c r="G41" s="497">
        <f t="shared" si="0"/>
        <v>0</v>
      </c>
      <c r="H41" s="347"/>
      <c r="I41" s="526">
        <f t="shared" si="1"/>
        <v>-64305</v>
      </c>
      <c r="J41" s="527">
        <f t="shared" si="2"/>
        <v>-0.78695205227990306</v>
      </c>
    </row>
    <row r="42" spans="1:10" s="137" customFormat="1" ht="12.75" x14ac:dyDescent="0.2">
      <c r="A42" s="55" t="s">
        <v>667</v>
      </c>
      <c r="B42" s="496"/>
      <c r="C42" s="496"/>
      <c r="D42" s="530">
        <v>177450</v>
      </c>
      <c r="E42" s="525">
        <v>132744</v>
      </c>
      <c r="F42" s="496">
        <v>225950</v>
      </c>
      <c r="G42" s="497">
        <f t="shared" si="0"/>
        <v>0</v>
      </c>
      <c r="H42" s="347"/>
      <c r="I42" s="526">
        <f t="shared" si="1"/>
        <v>-48500</v>
      </c>
      <c r="J42" s="527">
        <f t="shared" si="2"/>
        <v>-0.27331642716258103</v>
      </c>
    </row>
    <row r="43" spans="1:10" s="137" customFormat="1" ht="12.75" x14ac:dyDescent="0.2">
      <c r="A43" s="55" t="s">
        <v>668</v>
      </c>
      <c r="B43" s="496"/>
      <c r="C43" s="496"/>
      <c r="D43" s="530">
        <v>12619</v>
      </c>
      <c r="E43" s="525">
        <v>772783</v>
      </c>
      <c r="F43" s="496">
        <v>99459</v>
      </c>
      <c r="G43" s="497">
        <f t="shared" si="0"/>
        <v>0</v>
      </c>
      <c r="H43" s="347"/>
      <c r="I43" s="526">
        <f t="shared" si="1"/>
        <v>-86840</v>
      </c>
      <c r="J43" s="527">
        <f t="shared" si="2"/>
        <v>-6.8816863459862114</v>
      </c>
    </row>
    <row r="44" spans="1:10" s="137" customFormat="1" ht="12.75" x14ac:dyDescent="0.2">
      <c r="A44" s="55" t="s">
        <v>669</v>
      </c>
      <c r="B44" s="496"/>
      <c r="C44" s="496"/>
      <c r="D44" s="530">
        <v>192014</v>
      </c>
      <c r="E44" s="525">
        <v>518005</v>
      </c>
      <c r="F44" s="496">
        <v>361951</v>
      </c>
      <c r="G44" s="497">
        <f t="shared" si="0"/>
        <v>0</v>
      </c>
      <c r="H44" s="347"/>
      <c r="I44" s="526">
        <f t="shared" si="1"/>
        <v>-169937</v>
      </c>
      <c r="J44" s="527">
        <f t="shared" si="2"/>
        <v>-0.88502400866603481</v>
      </c>
    </row>
    <row r="45" spans="1:10" s="137" customFormat="1" ht="12.75" x14ac:dyDescent="0.2">
      <c r="A45" s="55" t="s">
        <v>670</v>
      </c>
      <c r="B45" s="496"/>
      <c r="C45" s="496"/>
      <c r="D45" s="530">
        <v>1299426</v>
      </c>
      <c r="E45" s="525">
        <v>1132050</v>
      </c>
      <c r="F45" s="496">
        <v>257000</v>
      </c>
      <c r="G45" s="497">
        <f t="shared" si="0"/>
        <v>0</v>
      </c>
      <c r="H45" s="347"/>
      <c r="I45" s="526">
        <f t="shared" si="1"/>
        <v>1042426</v>
      </c>
      <c r="J45" s="527">
        <f t="shared" si="2"/>
        <v>0.80222036499192717</v>
      </c>
    </row>
    <row r="46" spans="1:10" s="137" customFormat="1" ht="12.75" x14ac:dyDescent="0.2">
      <c r="A46" s="55" t="s">
        <v>671</v>
      </c>
      <c r="B46" s="496"/>
      <c r="C46" s="496"/>
      <c r="D46" s="496"/>
      <c r="E46" s="525">
        <v>2500</v>
      </c>
      <c r="F46" s="496">
        <v>1500</v>
      </c>
      <c r="G46" s="497">
        <f t="shared" si="0"/>
        <v>0</v>
      </c>
      <c r="H46" s="347"/>
      <c r="I46" s="526">
        <f t="shared" si="1"/>
        <v>-1500</v>
      </c>
      <c r="J46" s="527">
        <v>0</v>
      </c>
    </row>
    <row r="47" spans="1:10" s="137" customFormat="1" x14ac:dyDescent="0.2">
      <c r="A47" s="55" t="s">
        <v>672</v>
      </c>
      <c r="B47" s="496"/>
      <c r="C47" s="496"/>
      <c r="D47" s="496">
        <v>3670</v>
      </c>
      <c r="E47" s="528">
        <v>6510</v>
      </c>
      <c r="F47" s="496">
        <v>3650</v>
      </c>
      <c r="G47" s="497">
        <f t="shared" si="0"/>
        <v>0</v>
      </c>
      <c r="H47" s="347"/>
      <c r="I47" s="526">
        <f t="shared" si="1"/>
        <v>20</v>
      </c>
      <c r="J47" s="527">
        <f t="shared" si="2"/>
        <v>5.4495912806539508E-3</v>
      </c>
    </row>
    <row r="48" spans="1:10" s="137" customFormat="1" ht="12.75" x14ac:dyDescent="0.2">
      <c r="A48" s="55" t="s">
        <v>673</v>
      </c>
      <c r="B48" s="496"/>
      <c r="C48" s="496"/>
      <c r="D48" s="530">
        <v>116855</v>
      </c>
      <c r="E48" s="525">
        <v>931623</v>
      </c>
      <c r="F48" s="496">
        <v>147686</v>
      </c>
      <c r="G48" s="497">
        <f t="shared" si="0"/>
        <v>0</v>
      </c>
      <c r="H48" s="347"/>
      <c r="I48" s="526">
        <f t="shared" si="1"/>
        <v>-30831</v>
      </c>
      <c r="J48" s="527">
        <f t="shared" si="2"/>
        <v>-0.26383980146335201</v>
      </c>
    </row>
    <row r="49" spans="1:10" s="137" customFormat="1" ht="12.75" x14ac:dyDescent="0.2">
      <c r="A49" s="55" t="s">
        <v>674</v>
      </c>
      <c r="B49" s="496"/>
      <c r="C49" s="496"/>
      <c r="D49" s="530">
        <v>55400</v>
      </c>
      <c r="E49" s="525">
        <v>50020</v>
      </c>
      <c r="F49" s="496">
        <v>41100</v>
      </c>
      <c r="G49" s="497">
        <f t="shared" si="0"/>
        <v>0</v>
      </c>
      <c r="H49" s="347"/>
      <c r="I49" s="526">
        <f t="shared" si="1"/>
        <v>14300</v>
      </c>
      <c r="J49" s="527">
        <f t="shared" si="2"/>
        <v>0.25812274368231047</v>
      </c>
    </row>
    <row r="50" spans="1:10" s="137" customFormat="1" ht="12.75" x14ac:dyDescent="0.2">
      <c r="A50" s="55" t="s">
        <v>675</v>
      </c>
      <c r="B50" s="496"/>
      <c r="C50" s="496"/>
      <c r="D50" s="530">
        <v>5000</v>
      </c>
      <c r="E50" s="525">
        <v>5000</v>
      </c>
      <c r="F50" s="496">
        <v>25000</v>
      </c>
      <c r="G50" s="497">
        <f t="shared" si="0"/>
        <v>0</v>
      </c>
      <c r="H50" s="347"/>
      <c r="I50" s="526">
        <f t="shared" si="1"/>
        <v>-20000</v>
      </c>
      <c r="J50" s="527">
        <f t="shared" si="2"/>
        <v>-4</v>
      </c>
    </row>
    <row r="51" spans="1:10" s="137" customFormat="1" ht="12.75" x14ac:dyDescent="0.2">
      <c r="A51" s="55" t="s">
        <v>676</v>
      </c>
      <c r="B51" s="496"/>
      <c r="C51" s="496"/>
      <c r="D51" s="530">
        <v>13000</v>
      </c>
      <c r="E51" s="525">
        <v>13000</v>
      </c>
      <c r="F51" s="496">
        <v>11000</v>
      </c>
      <c r="G51" s="497">
        <f t="shared" si="0"/>
        <v>0</v>
      </c>
      <c r="H51" s="347"/>
      <c r="I51" s="526">
        <f t="shared" si="1"/>
        <v>2000</v>
      </c>
      <c r="J51" s="527">
        <f t="shared" si="2"/>
        <v>0.15384615384615385</v>
      </c>
    </row>
    <row r="52" spans="1:10" s="137" customFormat="1" ht="12.75" x14ac:dyDescent="0.2">
      <c r="A52" s="55" t="s">
        <v>677</v>
      </c>
      <c r="B52" s="496"/>
      <c r="C52" s="496"/>
      <c r="D52" s="530">
        <v>18000</v>
      </c>
      <c r="E52" s="525">
        <v>10000</v>
      </c>
      <c r="F52" s="496">
        <v>70701</v>
      </c>
      <c r="G52" s="497">
        <f t="shared" si="0"/>
        <v>0</v>
      </c>
      <c r="H52" s="347"/>
      <c r="I52" s="526">
        <f t="shared" si="1"/>
        <v>-52701</v>
      </c>
      <c r="J52" s="527">
        <f t="shared" si="2"/>
        <v>-2.9278333333333335</v>
      </c>
    </row>
    <row r="53" spans="1:10" s="137" customFormat="1" ht="12.75" x14ac:dyDescent="0.2">
      <c r="A53" s="55" t="s">
        <v>678</v>
      </c>
      <c r="B53" s="496"/>
      <c r="C53" s="496"/>
      <c r="D53" s="530">
        <v>6000</v>
      </c>
      <c r="E53" s="525">
        <v>14600</v>
      </c>
      <c r="F53" s="496">
        <v>40674</v>
      </c>
      <c r="G53" s="497">
        <f t="shared" si="0"/>
        <v>0</v>
      </c>
      <c r="H53" s="347"/>
      <c r="I53" s="526">
        <f t="shared" si="1"/>
        <v>-34674</v>
      </c>
      <c r="J53" s="527">
        <f t="shared" si="2"/>
        <v>-5.7789999999999999</v>
      </c>
    </row>
    <row r="54" spans="1:10" ht="13.5" thickBot="1" x14ac:dyDescent="0.25">
      <c r="A54" s="55"/>
      <c r="B54" s="496"/>
      <c r="C54" s="496"/>
      <c r="D54" s="531"/>
      <c r="E54" s="528"/>
      <c r="F54" s="532"/>
      <c r="G54" s="41"/>
      <c r="H54" s="348"/>
      <c r="I54" s="40"/>
      <c r="J54" s="42"/>
    </row>
    <row r="55" spans="1:10" ht="12.75" thickBot="1" x14ac:dyDescent="0.25">
      <c r="A55" s="34" t="s">
        <v>43</v>
      </c>
      <c r="B55" s="498">
        <f t="shared" ref="B55:E55" si="3">SUM(B6:B54)</f>
        <v>0</v>
      </c>
      <c r="C55" s="498">
        <f t="shared" si="3"/>
        <v>0</v>
      </c>
      <c r="D55" s="498">
        <f t="shared" si="3"/>
        <v>124141059</v>
      </c>
      <c r="E55" s="498">
        <f t="shared" si="3"/>
        <v>182969816</v>
      </c>
      <c r="F55" s="498">
        <f>SUM(F6:F54)</f>
        <v>148428914</v>
      </c>
      <c r="G55" s="498">
        <f>SUM(G6:G54)</f>
        <v>0</v>
      </c>
      <c r="H55" s="46"/>
      <c r="I55" s="45"/>
      <c r="J55" s="48"/>
    </row>
    <row r="56" spans="1:10" x14ac:dyDescent="0.2">
      <c r="A56" s="1" t="s">
        <v>44</v>
      </c>
      <c r="B56" s="2"/>
      <c r="C56" s="2"/>
      <c r="D56" s="2"/>
      <c r="E56" s="2"/>
      <c r="F56" s="2"/>
      <c r="G56" s="2"/>
      <c r="H56" s="2"/>
      <c r="I56" s="2"/>
    </row>
    <row r="57" spans="1:10" s="101" customFormat="1" x14ac:dyDescent="0.2">
      <c r="A57" s="1" t="s">
        <v>681</v>
      </c>
      <c r="B57" s="90"/>
      <c r="C57" s="90"/>
      <c r="D57" s="90"/>
      <c r="E57" s="90"/>
      <c r="F57" s="90"/>
      <c r="G57" s="90"/>
      <c r="H57" s="90"/>
      <c r="I57" s="90"/>
    </row>
    <row r="58" spans="1:10" x14ac:dyDescent="0.2">
      <c r="A58" s="1" t="s">
        <v>170</v>
      </c>
      <c r="B58" s="2"/>
      <c r="C58" s="2"/>
      <c r="D58" s="2"/>
      <c r="E58" s="2"/>
      <c r="F58" s="2"/>
      <c r="G58" s="2"/>
      <c r="H58" s="2"/>
      <c r="I58" s="2"/>
    </row>
    <row r="59" spans="1:10" x14ac:dyDescent="0.2">
      <c r="A59" s="1"/>
      <c r="B59" s="2"/>
      <c r="C59" s="2"/>
      <c r="D59" s="2"/>
      <c r="E59" s="2"/>
      <c r="F59" s="2"/>
      <c r="G59" s="2"/>
      <c r="H59" s="2"/>
      <c r="I59" s="2"/>
    </row>
  </sheetData>
  <sortState xmlns:xlrd2="http://schemas.microsoft.com/office/spreadsheetml/2017/richdata2" ref="A8:K42">
    <sortCondition ref="A8:A42"/>
  </sortState>
  <mergeCells count="10">
    <mergeCell ref="A4:A5"/>
    <mergeCell ref="G4:G5"/>
    <mergeCell ref="I4:I5"/>
    <mergeCell ref="H4:H5"/>
    <mergeCell ref="J4:J5"/>
    <mergeCell ref="C4:C5"/>
    <mergeCell ref="E4:E5"/>
    <mergeCell ref="F4:F5"/>
    <mergeCell ref="B4:B5"/>
    <mergeCell ref="D4:D5"/>
  </mergeCells>
  <phoneticPr fontId="0" type="noConversion"/>
  <printOptions horizontalCentered="1"/>
  <pageMargins left="0.25" right="0.25" top="0.75" bottom="0.75" header="0.3" footer="0.3"/>
  <pageSetup paperSize="9" scale="67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>
    <tabColor theme="6" tint="-0.249977111117893"/>
  </sheetPr>
  <dimension ref="A1:Y18"/>
  <sheetViews>
    <sheetView topLeftCell="A3" zoomScaleNormal="100" zoomScaleSheetLayoutView="90" zoomScalePageLayoutView="85" workbookViewId="0">
      <selection sqref="A1:N14"/>
    </sheetView>
  </sheetViews>
  <sheetFormatPr baseColWidth="10" defaultColWidth="11.42578125" defaultRowHeight="12" x14ac:dyDescent="0.2"/>
  <cols>
    <col min="1" max="1" width="31.42578125" style="3" customWidth="1"/>
    <col min="2" max="3" width="15.5703125" style="3" customWidth="1"/>
    <col min="4" max="5" width="15.5703125" style="112" customWidth="1"/>
    <col min="6" max="7" width="15.5703125" style="101" customWidth="1"/>
    <col min="8" max="8" width="15.5703125" style="112" customWidth="1"/>
    <col min="9" max="11" width="15.5703125" style="101" customWidth="1"/>
    <col min="12" max="13" width="15.5703125" style="3" customWidth="1"/>
    <col min="14" max="14" width="15.5703125" style="101" customWidth="1"/>
    <col min="15" max="16384" width="11.42578125" style="3"/>
  </cols>
  <sheetData>
    <row r="1" spans="1:25" s="5" customFormat="1" ht="15.75" customHeight="1" x14ac:dyDescent="0.2">
      <c r="A1" s="154" t="s">
        <v>423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25" s="5" customFormat="1" x14ac:dyDescent="0.2">
      <c r="A2" s="154" t="s">
        <v>569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s="101" customFormat="1" ht="12.75" thickBot="1" x14ac:dyDescent="0.25">
      <c r="A3" s="9"/>
      <c r="B3" s="11"/>
      <c r="D3" s="112"/>
      <c r="E3" s="112"/>
      <c r="G3" s="11"/>
      <c r="H3" s="11"/>
    </row>
    <row r="4" spans="1:25" ht="13.5" hidden="1" customHeight="1" x14ac:dyDescent="0.2">
      <c r="A4" s="84" t="s">
        <v>84</v>
      </c>
      <c r="B4" s="81"/>
      <c r="C4" s="62"/>
      <c r="D4" s="114"/>
      <c r="E4" s="114"/>
      <c r="F4" s="102"/>
      <c r="G4" s="102"/>
      <c r="H4" s="114"/>
      <c r="I4" s="102"/>
      <c r="J4" s="102"/>
      <c r="K4" s="102"/>
      <c r="L4" s="62"/>
      <c r="M4" s="62"/>
      <c r="N4" s="102"/>
    </row>
    <row r="5" spans="1:25" ht="57" customHeight="1" thickBot="1" x14ac:dyDescent="0.25">
      <c r="A5" s="252" t="s">
        <v>88</v>
      </c>
      <c r="B5" s="255" t="s">
        <v>89</v>
      </c>
      <c r="C5" s="253" t="s">
        <v>90</v>
      </c>
      <c r="D5" s="253" t="s">
        <v>210</v>
      </c>
      <c r="E5" s="253" t="s">
        <v>211</v>
      </c>
      <c r="F5" s="253" t="s">
        <v>247</v>
      </c>
      <c r="G5" s="253" t="s">
        <v>171</v>
      </c>
      <c r="H5" s="253" t="s">
        <v>209</v>
      </c>
      <c r="I5" s="253" t="s">
        <v>173</v>
      </c>
      <c r="J5" s="253" t="s">
        <v>172</v>
      </c>
      <c r="K5" s="253" t="s">
        <v>174</v>
      </c>
      <c r="L5" s="253" t="s">
        <v>175</v>
      </c>
      <c r="M5" s="253" t="s">
        <v>176</v>
      </c>
      <c r="N5" s="253" t="s">
        <v>177</v>
      </c>
    </row>
    <row r="6" spans="1:25" ht="120" x14ac:dyDescent="0.2">
      <c r="A6" s="504" t="s">
        <v>696</v>
      </c>
      <c r="B6" s="80">
        <v>2450072</v>
      </c>
      <c r="C6" s="505" t="s">
        <v>697</v>
      </c>
      <c r="D6" s="57" t="s">
        <v>698</v>
      </c>
      <c r="E6" s="506" t="s">
        <v>688</v>
      </c>
      <c r="F6" s="507">
        <v>16542930.800000001</v>
      </c>
      <c r="G6" s="502">
        <v>44172</v>
      </c>
      <c r="H6" s="508" t="s">
        <v>699</v>
      </c>
      <c r="I6" s="509">
        <v>240</v>
      </c>
      <c r="J6" s="57"/>
      <c r="K6" s="57"/>
      <c r="L6" s="57"/>
      <c r="M6" s="56"/>
      <c r="N6" s="56"/>
    </row>
    <row r="7" spans="1:25" ht="132" x14ac:dyDescent="0.2">
      <c r="A7" s="504" t="s">
        <v>700</v>
      </c>
      <c r="B7" s="80">
        <v>2453726</v>
      </c>
      <c r="C7" s="505" t="s">
        <v>697</v>
      </c>
      <c r="D7" s="57" t="s">
        <v>698</v>
      </c>
      <c r="E7" s="506" t="s">
        <v>691</v>
      </c>
      <c r="F7" s="507">
        <v>23843695.68</v>
      </c>
      <c r="G7" s="502">
        <v>44195</v>
      </c>
      <c r="H7" s="508" t="s">
        <v>701</v>
      </c>
      <c r="I7" s="509">
        <v>360</v>
      </c>
      <c r="J7" s="57"/>
      <c r="K7" s="57"/>
      <c r="L7" s="57"/>
      <c r="M7" s="56"/>
      <c r="N7" s="56"/>
    </row>
    <row r="8" spans="1:25" ht="204" x14ac:dyDescent="0.2">
      <c r="A8" s="499" t="s">
        <v>702</v>
      </c>
      <c r="B8" s="80">
        <v>2455264</v>
      </c>
      <c r="C8" s="505" t="s">
        <v>697</v>
      </c>
      <c r="D8" s="57" t="s">
        <v>698</v>
      </c>
      <c r="E8" s="509" t="s">
        <v>703</v>
      </c>
      <c r="F8" s="507">
        <v>17132506.079999998</v>
      </c>
      <c r="G8" s="502">
        <v>44203</v>
      </c>
      <c r="H8" s="508" t="s">
        <v>704</v>
      </c>
      <c r="I8" s="509">
        <v>240</v>
      </c>
      <c r="J8" s="57"/>
      <c r="K8" s="57"/>
      <c r="L8" s="57"/>
      <c r="M8" s="56"/>
      <c r="N8" s="56"/>
    </row>
    <row r="9" spans="1:25" ht="168" x14ac:dyDescent="0.2">
      <c r="A9" s="499" t="s">
        <v>705</v>
      </c>
      <c r="B9" s="80"/>
      <c r="C9" s="505" t="s">
        <v>706</v>
      </c>
      <c r="D9" s="57" t="s">
        <v>698</v>
      </c>
      <c r="E9" s="509" t="s">
        <v>707</v>
      </c>
      <c r="F9" s="507">
        <v>34712531.68</v>
      </c>
      <c r="G9" s="502">
        <v>44217</v>
      </c>
      <c r="H9" s="505" t="s">
        <v>708</v>
      </c>
      <c r="I9" s="509">
        <v>620</v>
      </c>
      <c r="J9" s="57"/>
      <c r="K9" s="57"/>
      <c r="L9" s="57"/>
      <c r="M9" s="56"/>
      <c r="N9" s="56"/>
    </row>
    <row r="10" spans="1:25" ht="132" x14ac:dyDescent="0.2">
      <c r="A10" s="499" t="s">
        <v>709</v>
      </c>
      <c r="B10" s="80"/>
      <c r="C10" s="505" t="s">
        <v>683</v>
      </c>
      <c r="D10" s="57" t="s">
        <v>698</v>
      </c>
      <c r="E10" s="509" t="s">
        <v>710</v>
      </c>
      <c r="F10" s="507" t="s">
        <v>711</v>
      </c>
      <c r="G10" s="505" t="s">
        <v>712</v>
      </c>
      <c r="H10" s="505" t="s">
        <v>713</v>
      </c>
      <c r="I10" s="509">
        <v>90</v>
      </c>
      <c r="J10" s="57"/>
      <c r="K10" s="57"/>
      <c r="L10" s="57"/>
      <c r="M10" s="56"/>
      <c r="N10" s="56"/>
    </row>
    <row r="11" spans="1:25" x14ac:dyDescent="0.2">
      <c r="A11" s="63">
        <v>6</v>
      </c>
      <c r="B11" s="8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6"/>
      <c r="N11" s="56"/>
    </row>
    <row r="12" spans="1:25" ht="12.75" thickBot="1" x14ac:dyDescent="0.25">
      <c r="A12" s="86" t="s">
        <v>103</v>
      </c>
      <c r="B12" s="8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53"/>
      <c r="N12" s="53"/>
    </row>
    <row r="13" spans="1:25" ht="12.75" thickBot="1" x14ac:dyDescent="0.25">
      <c r="A13" s="36" t="s">
        <v>0</v>
      </c>
      <c r="B13" s="60"/>
      <c r="C13" s="54"/>
      <c r="D13" s="48"/>
      <c r="E13" s="48"/>
      <c r="F13" s="48"/>
      <c r="G13" s="54"/>
      <c r="H13" s="54"/>
      <c r="I13" s="54"/>
      <c r="J13" s="54"/>
      <c r="K13" s="54"/>
      <c r="L13" s="54"/>
      <c r="M13" s="54"/>
      <c r="N13" s="54"/>
    </row>
    <row r="14" spans="1:25" s="101" customFormat="1" x14ac:dyDescent="0.2">
      <c r="A14" s="1" t="s">
        <v>351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5" x14ac:dyDescent="0.2">
      <c r="A15" s="22"/>
      <c r="B15" s="22"/>
    </row>
    <row r="16" spans="1:25" x14ac:dyDescent="0.2">
      <c r="A16" s="22"/>
    </row>
    <row r="17" spans="1:1" x14ac:dyDescent="0.2">
      <c r="A17" s="22"/>
    </row>
    <row r="18" spans="1:1" x14ac:dyDescent="0.2">
      <c r="A18" s="22"/>
    </row>
  </sheetData>
  <phoneticPr fontId="11" type="noConversion"/>
  <printOptions horizontalCentered="1"/>
  <pageMargins left="0.43307086614173229" right="0.23622047244094491" top="0.74803149606299213" bottom="0.74803149606299213" header="0.31496062992125984" footer="0.31496062992125984"/>
  <pageSetup paperSize="9" scale="60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tabColor theme="6" tint="-0.249977111117893"/>
    <pageSetUpPr fitToPage="1"/>
  </sheetPr>
  <dimension ref="A1:Y17"/>
  <sheetViews>
    <sheetView zoomScaleNormal="100" zoomScaleSheetLayoutView="100" zoomScalePageLayoutView="85" workbookViewId="0">
      <selection sqref="A1:J16"/>
    </sheetView>
  </sheetViews>
  <sheetFormatPr baseColWidth="10" defaultColWidth="11.42578125" defaultRowHeight="12" x14ac:dyDescent="0.2"/>
  <cols>
    <col min="1" max="1" width="45.7109375" style="3" customWidth="1"/>
    <col min="2" max="2" width="20.28515625" style="3" customWidth="1"/>
    <col min="3" max="3" width="20.28515625" style="112" customWidth="1"/>
    <col min="4" max="4" width="12.42578125" style="3" customWidth="1"/>
    <col min="5" max="5" width="10.85546875" style="3" customWidth="1"/>
    <col min="6" max="6" width="17.7109375" style="112" customWidth="1"/>
    <col min="7" max="8" width="17.7109375" style="3" customWidth="1"/>
    <col min="9" max="9" width="17.7109375" style="112" customWidth="1"/>
    <col min="10" max="10" width="21" style="3" customWidth="1"/>
    <col min="11" max="16384" width="11.42578125" style="3"/>
  </cols>
  <sheetData>
    <row r="1" spans="1:25" s="5" customFormat="1" ht="15.75" customHeight="1" x14ac:dyDescent="0.2">
      <c r="A1" s="154" t="s">
        <v>424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25" s="5" customFormat="1" x14ac:dyDescent="0.2">
      <c r="A2" s="154" t="s">
        <v>571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4.25" customHeight="1" thickBot="1" x14ac:dyDescent="0.25">
      <c r="A3" s="10"/>
      <c r="B3" s="10"/>
      <c r="C3" s="10"/>
      <c r="D3" s="15"/>
      <c r="E3" s="15"/>
      <c r="F3" s="15"/>
      <c r="G3" s="21"/>
    </row>
    <row r="4" spans="1:25" ht="13.5" hidden="1" customHeight="1" x14ac:dyDescent="0.2">
      <c r="A4" s="81" t="s">
        <v>84</v>
      </c>
      <c r="B4" s="84"/>
      <c r="C4" s="84"/>
      <c r="D4" s="35"/>
      <c r="E4" s="35"/>
      <c r="F4" s="116"/>
      <c r="G4" s="35" t="s">
        <v>30</v>
      </c>
      <c r="H4" s="35" t="s">
        <v>85</v>
      </c>
      <c r="I4" s="114"/>
      <c r="J4" s="62"/>
    </row>
    <row r="5" spans="1:25" ht="36.75" thickBot="1" x14ac:dyDescent="0.25">
      <c r="A5" s="254" t="s">
        <v>91</v>
      </c>
      <c r="B5" s="255" t="s">
        <v>90</v>
      </c>
      <c r="C5" s="255" t="s">
        <v>210</v>
      </c>
      <c r="D5" s="253" t="s">
        <v>211</v>
      </c>
      <c r="E5" s="253" t="s">
        <v>2</v>
      </c>
      <c r="F5" s="253" t="s">
        <v>209</v>
      </c>
      <c r="G5" s="255" t="s">
        <v>93</v>
      </c>
      <c r="H5" s="253" t="s">
        <v>171</v>
      </c>
      <c r="I5" s="253" t="s">
        <v>176</v>
      </c>
      <c r="J5" s="253" t="s">
        <v>92</v>
      </c>
    </row>
    <row r="6" spans="1:25" ht="108" x14ac:dyDescent="0.2">
      <c r="A6" s="499" t="s">
        <v>682</v>
      </c>
      <c r="B6" s="500" t="s">
        <v>683</v>
      </c>
      <c r="C6" s="63" t="s">
        <v>684</v>
      </c>
      <c r="D6" s="51" t="s">
        <v>685</v>
      </c>
      <c r="E6" s="64">
        <v>37000</v>
      </c>
      <c r="F6" s="501" t="s">
        <v>686</v>
      </c>
      <c r="G6" s="56" t="s">
        <v>149</v>
      </c>
      <c r="H6" s="502">
        <v>44298</v>
      </c>
      <c r="I6" s="57"/>
      <c r="J6" s="56"/>
    </row>
    <row r="7" spans="1:25" ht="48" x14ac:dyDescent="0.2">
      <c r="A7" s="499" t="s">
        <v>687</v>
      </c>
      <c r="B7" s="500" t="s">
        <v>683</v>
      </c>
      <c r="C7" s="63" t="s">
        <v>684</v>
      </c>
      <c r="D7" s="503" t="s">
        <v>688</v>
      </c>
      <c r="E7" s="64">
        <v>48055</v>
      </c>
      <c r="F7" s="501" t="s">
        <v>689</v>
      </c>
      <c r="G7" s="56" t="s">
        <v>149</v>
      </c>
      <c r="H7" s="502">
        <v>44175</v>
      </c>
      <c r="I7" s="57"/>
      <c r="J7" s="56"/>
    </row>
    <row r="8" spans="1:25" ht="48" x14ac:dyDescent="0.2">
      <c r="A8" s="499" t="s">
        <v>690</v>
      </c>
      <c r="B8" s="500" t="s">
        <v>683</v>
      </c>
      <c r="C8" s="63" t="s">
        <v>684</v>
      </c>
      <c r="D8" s="51" t="s">
        <v>691</v>
      </c>
      <c r="E8" s="64">
        <v>41850</v>
      </c>
      <c r="F8" s="501" t="s">
        <v>692</v>
      </c>
      <c r="G8" s="56" t="s">
        <v>149</v>
      </c>
      <c r="H8" s="502">
        <v>44175</v>
      </c>
      <c r="I8" s="57"/>
      <c r="J8" s="56"/>
    </row>
    <row r="9" spans="1:25" ht="60" x14ac:dyDescent="0.2">
      <c r="A9" s="499" t="s">
        <v>693</v>
      </c>
      <c r="B9" s="80" t="s">
        <v>694</v>
      </c>
      <c r="C9" s="63" t="s">
        <v>684</v>
      </c>
      <c r="D9" s="51" t="s">
        <v>695</v>
      </c>
      <c r="E9" s="64">
        <v>62721</v>
      </c>
      <c r="F9" s="501" t="s">
        <v>692</v>
      </c>
      <c r="G9" s="56" t="s">
        <v>149</v>
      </c>
      <c r="H9" s="57"/>
      <c r="I9" s="57"/>
      <c r="J9" s="56"/>
    </row>
    <row r="10" spans="1:25" x14ac:dyDescent="0.2">
      <c r="A10" s="63"/>
      <c r="B10" s="80"/>
      <c r="C10" s="63"/>
      <c r="D10" s="51"/>
      <c r="E10" s="64"/>
      <c r="F10" s="64"/>
      <c r="G10" s="56"/>
      <c r="H10" s="57"/>
      <c r="I10" s="57"/>
      <c r="J10" s="56"/>
    </row>
    <row r="11" spans="1:25" ht="12.75" thickBot="1" x14ac:dyDescent="0.25">
      <c r="A11" s="86"/>
      <c r="B11" s="83"/>
      <c r="C11" s="37"/>
      <c r="D11" s="74"/>
      <c r="E11" s="52"/>
      <c r="F11" s="52"/>
      <c r="G11" s="53"/>
      <c r="H11" s="42"/>
      <c r="I11" s="42"/>
      <c r="J11" s="53"/>
    </row>
    <row r="12" spans="1:25" ht="12.75" thickBot="1" x14ac:dyDescent="0.25">
      <c r="A12" s="117" t="s">
        <v>0</v>
      </c>
      <c r="B12" s="60"/>
      <c r="C12" s="44"/>
      <c r="D12" s="115"/>
      <c r="E12" s="113"/>
      <c r="F12" s="113"/>
      <c r="G12" s="54"/>
      <c r="H12" s="48"/>
      <c r="I12" s="48"/>
      <c r="J12" s="54"/>
    </row>
    <row r="13" spans="1:25" x14ac:dyDescent="0.2">
      <c r="A13" s="32"/>
      <c r="B13" s="32"/>
      <c r="C13" s="32"/>
      <c r="D13" s="32"/>
      <c r="E13" s="32"/>
      <c r="F13" s="32"/>
      <c r="G13" s="2"/>
    </row>
    <row r="14" spans="1:25" x14ac:dyDescent="0.2">
      <c r="A14" s="22"/>
      <c r="B14" s="22"/>
      <c r="C14" s="22"/>
      <c r="D14" s="22"/>
      <c r="E14" s="22"/>
      <c r="F14" s="22"/>
      <c r="G14" s="2"/>
    </row>
    <row r="15" spans="1:25" x14ac:dyDescent="0.2">
      <c r="A15" s="22"/>
    </row>
    <row r="16" spans="1:25" x14ac:dyDescent="0.2">
      <c r="A16" s="22"/>
    </row>
    <row r="17" spans="1:1" x14ac:dyDescent="0.2">
      <c r="A17" s="22"/>
    </row>
  </sheetData>
  <phoneticPr fontId="11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70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>
    <tabColor theme="6" tint="-0.249977111117893"/>
  </sheetPr>
  <dimension ref="A1:W31"/>
  <sheetViews>
    <sheetView zoomScaleNormal="100" zoomScaleSheetLayoutView="100" zoomScalePageLayoutView="85" workbookViewId="0">
      <selection activeCell="B10" sqref="B10"/>
    </sheetView>
  </sheetViews>
  <sheetFormatPr baseColWidth="10" defaultColWidth="11.42578125" defaultRowHeight="12" x14ac:dyDescent="0.2"/>
  <cols>
    <col min="1" max="1" width="69.85546875" style="153" customWidth="1"/>
    <col min="2" max="2" width="30.7109375" style="153" customWidth="1"/>
    <col min="3" max="3" width="14.28515625" style="153" customWidth="1"/>
    <col min="4" max="4" width="19" style="153" customWidth="1"/>
    <col min="5" max="5" width="14.7109375" style="153" customWidth="1"/>
    <col min="6" max="6" width="22.140625" style="153" customWidth="1"/>
    <col min="7" max="7" width="18.7109375" style="153" customWidth="1"/>
    <col min="8" max="8" width="12" style="153" customWidth="1"/>
    <col min="9" max="16384" width="11.42578125" style="153"/>
  </cols>
  <sheetData>
    <row r="1" spans="1:23" s="5" customFormat="1" x14ac:dyDescent="0.2">
      <c r="A1" s="154" t="s">
        <v>425</v>
      </c>
      <c r="B1" s="154"/>
      <c r="C1" s="154"/>
      <c r="D1" s="154"/>
      <c r="E1" s="154"/>
      <c r="F1" s="154"/>
      <c r="G1" s="154"/>
    </row>
    <row r="2" spans="1:23" s="5" customFormat="1" x14ac:dyDescent="0.2">
      <c r="A2" s="154" t="s">
        <v>715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2.75" thickBot="1" x14ac:dyDescent="0.25">
      <c r="A3" s="15"/>
      <c r="B3" s="15"/>
      <c r="C3" s="15"/>
      <c r="D3" s="21"/>
      <c r="E3" s="21"/>
      <c r="F3" s="21"/>
    </row>
    <row r="4" spans="1:23" ht="24.75" thickBot="1" x14ac:dyDescent="0.25">
      <c r="A4" s="614" t="s">
        <v>31</v>
      </c>
      <c r="B4" s="614" t="s">
        <v>352</v>
      </c>
      <c r="C4" s="616" t="s">
        <v>353</v>
      </c>
      <c r="D4" s="523" t="s">
        <v>452</v>
      </c>
      <c r="E4" s="523" t="s">
        <v>453</v>
      </c>
      <c r="F4" s="233" t="s">
        <v>454</v>
      </c>
      <c r="G4" s="616" t="s">
        <v>45</v>
      </c>
      <c r="H4" s="616" t="s">
        <v>127</v>
      </c>
    </row>
    <row r="5" spans="1:23" ht="19.5" customHeight="1" thickBot="1" x14ac:dyDescent="0.25">
      <c r="A5" s="615"/>
      <c r="B5" s="615"/>
      <c r="C5" s="618"/>
      <c r="D5" s="524" t="s">
        <v>350</v>
      </c>
      <c r="E5" s="524" t="s">
        <v>350</v>
      </c>
      <c r="F5" s="524" t="s">
        <v>350</v>
      </c>
      <c r="G5" s="617"/>
      <c r="H5" s="617"/>
    </row>
    <row r="6" spans="1:23" ht="12" customHeight="1" x14ac:dyDescent="0.2">
      <c r="A6" s="499" t="s">
        <v>716</v>
      </c>
      <c r="B6" s="499" t="s">
        <v>717</v>
      </c>
      <c r="C6" s="63" t="s">
        <v>103</v>
      </c>
      <c r="D6" s="518">
        <v>199528</v>
      </c>
      <c r="E6" s="2"/>
      <c r="F6" s="349"/>
      <c r="G6" s="50" t="s">
        <v>718</v>
      </c>
      <c r="H6" s="50"/>
    </row>
    <row r="7" spans="1:23" ht="60" x14ac:dyDescent="0.2">
      <c r="A7" s="499" t="s">
        <v>719</v>
      </c>
      <c r="B7" s="499" t="s">
        <v>720</v>
      </c>
      <c r="C7" s="63" t="s">
        <v>103</v>
      </c>
      <c r="D7" s="518">
        <v>143962</v>
      </c>
      <c r="E7" s="2"/>
      <c r="F7" s="349"/>
      <c r="G7" s="50" t="s">
        <v>718</v>
      </c>
      <c r="H7" s="50"/>
    </row>
    <row r="8" spans="1:23" ht="84" x14ac:dyDescent="0.2">
      <c r="A8" s="499" t="s">
        <v>721</v>
      </c>
      <c r="B8" s="499" t="s">
        <v>722</v>
      </c>
      <c r="C8" s="63" t="s">
        <v>103</v>
      </c>
      <c r="D8" s="61"/>
      <c r="E8" s="519">
        <v>92200</v>
      </c>
      <c r="F8" s="349"/>
      <c r="G8" s="50" t="s">
        <v>723</v>
      </c>
      <c r="H8" s="50"/>
    </row>
    <row r="9" spans="1:23" ht="60" x14ac:dyDescent="0.2">
      <c r="A9" s="499" t="s">
        <v>724</v>
      </c>
      <c r="B9" s="499" t="s">
        <v>725</v>
      </c>
      <c r="C9" s="63" t="s">
        <v>103</v>
      </c>
      <c r="D9" s="518">
        <v>63000</v>
      </c>
      <c r="E9" s="2"/>
      <c r="F9" s="349"/>
      <c r="G9" s="50" t="s">
        <v>718</v>
      </c>
      <c r="H9" s="50"/>
    </row>
    <row r="10" spans="1:23" ht="84" x14ac:dyDescent="0.2">
      <c r="A10" s="499" t="s">
        <v>726</v>
      </c>
      <c r="B10" s="499" t="s">
        <v>727</v>
      </c>
      <c r="C10" s="63" t="s">
        <v>103</v>
      </c>
      <c r="D10" s="518">
        <v>242000</v>
      </c>
      <c r="E10" s="2"/>
      <c r="F10" s="349"/>
      <c r="G10" s="50" t="s">
        <v>723</v>
      </c>
      <c r="H10" s="50"/>
    </row>
    <row r="11" spans="1:23" ht="96" x14ac:dyDescent="0.2">
      <c r="A11" s="499" t="s">
        <v>728</v>
      </c>
      <c r="B11" s="499" t="s">
        <v>729</v>
      </c>
      <c r="C11" s="63"/>
      <c r="D11" s="61"/>
      <c r="E11" s="520">
        <v>150000</v>
      </c>
      <c r="F11" s="349"/>
      <c r="G11" s="50" t="s">
        <v>718</v>
      </c>
      <c r="H11" s="50"/>
    </row>
    <row r="12" spans="1:23" ht="72" x14ac:dyDescent="0.2">
      <c r="A12" s="499" t="s">
        <v>730</v>
      </c>
      <c r="B12" s="499" t="s">
        <v>731</v>
      </c>
      <c r="C12" s="63"/>
      <c r="D12" s="61"/>
      <c r="E12" s="519">
        <v>66578</v>
      </c>
      <c r="F12" s="349"/>
      <c r="G12" s="50" t="s">
        <v>723</v>
      </c>
      <c r="H12" s="50"/>
    </row>
    <row r="13" spans="1:23" ht="36" x14ac:dyDescent="0.2">
      <c r="A13" s="499" t="s">
        <v>732</v>
      </c>
      <c r="B13" s="499" t="s">
        <v>733</v>
      </c>
      <c r="C13" s="63"/>
      <c r="D13" s="521">
        <v>84080.67</v>
      </c>
      <c r="E13" s="2"/>
      <c r="F13" s="349"/>
      <c r="G13" s="50" t="s">
        <v>734</v>
      </c>
      <c r="H13" s="50"/>
    </row>
    <row r="14" spans="1:23" ht="72" x14ac:dyDescent="0.2">
      <c r="A14" s="499" t="s">
        <v>735</v>
      </c>
      <c r="B14" s="499" t="s">
        <v>736</v>
      </c>
      <c r="C14" s="63"/>
      <c r="D14" s="518">
        <v>567601.17000000004</v>
      </c>
      <c r="E14" s="2"/>
      <c r="F14" s="349"/>
      <c r="G14" s="50" t="s">
        <v>737</v>
      </c>
      <c r="H14" s="50"/>
    </row>
    <row r="15" spans="1:23" ht="72" x14ac:dyDescent="0.2">
      <c r="A15" s="499" t="s">
        <v>738</v>
      </c>
      <c r="B15" s="499" t="s">
        <v>739</v>
      </c>
      <c r="C15" s="63"/>
      <c r="D15" s="518">
        <v>380000</v>
      </c>
      <c r="E15" s="2"/>
      <c r="F15" s="349"/>
      <c r="G15" s="50" t="s">
        <v>737</v>
      </c>
      <c r="H15" s="50"/>
    </row>
    <row r="16" spans="1:23" ht="72" x14ac:dyDescent="0.2">
      <c r="A16" s="499" t="s">
        <v>740</v>
      </c>
      <c r="B16" s="499" t="s">
        <v>741</v>
      </c>
      <c r="C16" s="63"/>
      <c r="D16" s="518">
        <v>278090.01</v>
      </c>
      <c r="E16" s="2"/>
      <c r="F16" s="349"/>
      <c r="G16" s="50" t="s">
        <v>734</v>
      </c>
      <c r="H16" s="50"/>
    </row>
    <row r="17" spans="1:8" ht="72" x14ac:dyDescent="0.2">
      <c r="A17" s="499" t="s">
        <v>742</v>
      </c>
      <c r="B17" s="499" t="s">
        <v>743</v>
      </c>
      <c r="C17" s="63"/>
      <c r="D17" s="518">
        <v>278456.40000000002</v>
      </c>
      <c r="E17" s="2"/>
      <c r="F17" s="349"/>
      <c r="G17" s="522" t="s">
        <v>744</v>
      </c>
      <c r="H17" s="50"/>
    </row>
    <row r="18" spans="1:8" ht="48" x14ac:dyDescent="0.2">
      <c r="A18" s="499" t="s">
        <v>745</v>
      </c>
      <c r="B18" s="499" t="s">
        <v>746</v>
      </c>
      <c r="C18" s="63"/>
      <c r="D18" s="518">
        <v>91419.22</v>
      </c>
      <c r="E18" s="2"/>
      <c r="F18" s="349"/>
      <c r="G18" s="522" t="s">
        <v>744</v>
      </c>
      <c r="H18" s="50"/>
    </row>
    <row r="19" spans="1:8" ht="84" x14ac:dyDescent="0.2">
      <c r="A19" s="499" t="s">
        <v>747</v>
      </c>
      <c r="B19" s="499" t="s">
        <v>748</v>
      </c>
      <c r="C19" s="63"/>
      <c r="D19" s="518"/>
      <c r="E19" s="519">
        <v>548413.9</v>
      </c>
      <c r="F19" s="349"/>
      <c r="G19" s="50" t="s">
        <v>734</v>
      </c>
      <c r="H19" s="50"/>
    </row>
    <row r="20" spans="1:8" ht="72" x14ac:dyDescent="0.2">
      <c r="A20" s="499" t="s">
        <v>749</v>
      </c>
      <c r="B20" s="499" t="s">
        <v>750</v>
      </c>
      <c r="C20" s="63"/>
      <c r="D20" s="518"/>
      <c r="E20" s="519">
        <v>757381.68</v>
      </c>
      <c r="F20" s="349"/>
      <c r="G20" s="50" t="s">
        <v>734</v>
      </c>
      <c r="H20" s="50"/>
    </row>
    <row r="21" spans="1:8" ht="60" x14ac:dyDescent="0.2">
      <c r="A21" s="499" t="s">
        <v>751</v>
      </c>
      <c r="B21" s="499" t="s">
        <v>752</v>
      </c>
      <c r="C21" s="63"/>
      <c r="D21" s="518"/>
      <c r="E21" s="519">
        <v>549473</v>
      </c>
      <c r="F21" s="349"/>
      <c r="G21" s="50" t="s">
        <v>734</v>
      </c>
      <c r="H21" s="50"/>
    </row>
    <row r="22" spans="1:8" ht="72" x14ac:dyDescent="0.2">
      <c r="A22" s="499" t="s">
        <v>753</v>
      </c>
      <c r="B22" s="499" t="s">
        <v>754</v>
      </c>
      <c r="C22" s="63"/>
      <c r="D22" s="518"/>
      <c r="E22" s="519">
        <v>1189675.44</v>
      </c>
      <c r="F22" s="349"/>
      <c r="G22" s="50" t="s">
        <v>734</v>
      </c>
      <c r="H22" s="50"/>
    </row>
    <row r="23" spans="1:8" ht="60" x14ac:dyDescent="0.2">
      <c r="A23" s="499" t="s">
        <v>755</v>
      </c>
      <c r="B23" s="499" t="s">
        <v>756</v>
      </c>
      <c r="C23" s="63"/>
      <c r="D23" s="518"/>
      <c r="E23" s="519">
        <v>134164.5</v>
      </c>
      <c r="F23" s="349"/>
      <c r="G23" s="50" t="s">
        <v>734</v>
      </c>
      <c r="H23" s="50"/>
    </row>
    <row r="24" spans="1:8" ht="72" x14ac:dyDescent="0.2">
      <c r="A24" s="499" t="s">
        <v>757</v>
      </c>
      <c r="B24" s="499" t="s">
        <v>758</v>
      </c>
      <c r="C24" s="63"/>
      <c r="D24" s="518"/>
      <c r="E24" s="519">
        <v>1239241.8999999999</v>
      </c>
      <c r="F24" s="349"/>
      <c r="G24" s="50" t="s">
        <v>734</v>
      </c>
      <c r="H24" s="50"/>
    </row>
    <row r="25" spans="1:8" x14ac:dyDescent="0.2">
      <c r="A25" s="499"/>
      <c r="B25" s="499"/>
      <c r="C25" s="63"/>
      <c r="D25" s="518"/>
      <c r="E25" s="2"/>
      <c r="F25" s="349"/>
      <c r="G25" s="50"/>
      <c r="H25" s="50"/>
    </row>
    <row r="26" spans="1:8" x14ac:dyDescent="0.2">
      <c r="A26" s="499"/>
      <c r="B26" s="499"/>
      <c r="C26" s="63"/>
      <c r="D26" s="518"/>
      <c r="E26" s="2"/>
      <c r="F26" s="349"/>
      <c r="G26" s="50"/>
      <c r="H26" s="50"/>
    </row>
    <row r="27" spans="1:8" ht="12.75" thickBot="1" x14ac:dyDescent="0.25">
      <c r="A27" s="82"/>
      <c r="B27" s="82"/>
      <c r="C27" s="82"/>
      <c r="D27" s="40"/>
      <c r="E27" s="33"/>
      <c r="F27" s="350"/>
      <c r="G27" s="43"/>
      <c r="H27" s="43"/>
    </row>
    <row r="28" spans="1:8" ht="12.75" thickBot="1" x14ac:dyDescent="0.25">
      <c r="A28" s="117" t="s">
        <v>32</v>
      </c>
      <c r="B28" s="60"/>
      <c r="C28" s="60"/>
      <c r="D28" s="45"/>
      <c r="E28" s="47"/>
      <c r="F28" s="351"/>
      <c r="G28" s="49"/>
      <c r="H28" s="49"/>
    </row>
    <row r="29" spans="1:8" x14ac:dyDescent="0.2">
      <c r="A29" s="32"/>
      <c r="B29" s="32"/>
      <c r="C29" s="32"/>
      <c r="D29" s="2"/>
      <c r="E29" s="2"/>
      <c r="F29" s="2"/>
    </row>
    <row r="30" spans="1:8" x14ac:dyDescent="0.2">
      <c r="A30" s="22" t="s">
        <v>46</v>
      </c>
      <c r="B30" s="22"/>
      <c r="C30" s="22"/>
      <c r="D30" s="2"/>
      <c r="E30" s="2"/>
      <c r="F30" s="2"/>
    </row>
    <row r="31" spans="1:8" x14ac:dyDescent="0.2">
      <c r="A31" s="1" t="s">
        <v>128</v>
      </c>
      <c r="B31" s="1"/>
      <c r="C31" s="1"/>
      <c r="D31" s="2"/>
      <c r="E31" s="2"/>
      <c r="F31" s="2"/>
    </row>
  </sheetData>
  <mergeCells count="5">
    <mergeCell ref="B4:B5"/>
    <mergeCell ref="H4:H5"/>
    <mergeCell ref="A4:A5"/>
    <mergeCell ref="G4:G5"/>
    <mergeCell ref="C4:C5"/>
  </mergeCells>
  <phoneticPr fontId="0" type="noConversion"/>
  <printOptions horizontalCentered="1"/>
  <pageMargins left="0.62992125984251968" right="0.31496062992125984" top="0.74803149606299213" bottom="0.74803149606299213" header="0.31496062992125984" footer="0.31496062992125984"/>
  <pageSetup paperSize="9" scale="65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  <pageSetUpPr fitToPage="1"/>
  </sheetPr>
  <dimension ref="A1:V27"/>
  <sheetViews>
    <sheetView topLeftCell="A5" zoomScaleNormal="100" zoomScaleSheetLayoutView="100" zoomScalePageLayoutView="85" workbookViewId="0">
      <selection activeCell="E21" sqref="E21"/>
    </sheetView>
  </sheetViews>
  <sheetFormatPr baseColWidth="10" defaultColWidth="11.42578125" defaultRowHeight="12" x14ac:dyDescent="0.2"/>
  <cols>
    <col min="1" max="1" width="42" style="352" bestFit="1" customWidth="1"/>
    <col min="2" max="2" width="23.5703125" style="352" customWidth="1"/>
    <col min="3" max="3" width="29.28515625" style="352" customWidth="1"/>
    <col min="4" max="4" width="15.5703125" style="352" customWidth="1"/>
    <col min="5" max="5" width="13" style="352" customWidth="1"/>
    <col min="6" max="6" width="11" style="352" customWidth="1"/>
    <col min="7" max="8" width="15.5703125" style="352" customWidth="1"/>
    <col min="9" max="16384" width="11.42578125" style="352"/>
  </cols>
  <sheetData>
    <row r="1" spans="1:22" s="373" customFormat="1" ht="15.75" x14ac:dyDescent="0.25">
      <c r="A1" s="375" t="s">
        <v>426</v>
      </c>
      <c r="B1" s="374"/>
      <c r="C1" s="374"/>
      <c r="D1" s="374"/>
      <c r="E1" s="374"/>
      <c r="F1" s="374"/>
      <c r="G1" s="374"/>
      <c r="H1" s="374"/>
    </row>
    <row r="2" spans="1:22" s="372" customFormat="1" ht="15.75" x14ac:dyDescent="0.2">
      <c r="A2" s="154" t="s">
        <v>569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2.75" thickBot="1" x14ac:dyDescent="0.25"/>
    <row r="4" spans="1:22" ht="12.75" thickBot="1" x14ac:dyDescent="0.25">
      <c r="A4" s="622" t="s">
        <v>361</v>
      </c>
      <c r="B4" s="622" t="s">
        <v>105</v>
      </c>
      <c r="C4" s="619" t="s">
        <v>360</v>
      </c>
      <c r="D4" s="620"/>
      <c r="E4" s="620"/>
      <c r="F4" s="620"/>
      <c r="G4" s="620"/>
      <c r="H4" s="621"/>
    </row>
    <row r="5" spans="1:22" s="367" customFormat="1" ht="13.5" customHeight="1" thickBot="1" x14ac:dyDescent="0.25">
      <c r="A5" s="623"/>
      <c r="B5" s="623"/>
      <c r="C5" s="371" t="s">
        <v>359</v>
      </c>
      <c r="D5" s="370" t="s">
        <v>358</v>
      </c>
      <c r="E5" s="369" t="s">
        <v>357</v>
      </c>
      <c r="F5" s="368" t="s">
        <v>356</v>
      </c>
      <c r="G5" s="368" t="s">
        <v>451</v>
      </c>
      <c r="H5" s="368" t="s">
        <v>457</v>
      </c>
    </row>
    <row r="6" spans="1:22" x14ac:dyDescent="0.2">
      <c r="A6" s="366"/>
      <c r="B6" s="365"/>
      <c r="C6" s="361"/>
      <c r="D6" s="363"/>
      <c r="E6" s="362"/>
      <c r="F6" s="361"/>
      <c r="G6" s="361"/>
      <c r="H6" s="361"/>
    </row>
    <row r="7" spans="1:22" x14ac:dyDescent="0.2">
      <c r="A7" s="357" t="s">
        <v>33</v>
      </c>
      <c r="B7" s="490">
        <v>813</v>
      </c>
      <c r="C7" s="361" t="s">
        <v>630</v>
      </c>
      <c r="D7" s="363" t="s">
        <v>631</v>
      </c>
      <c r="E7" s="491">
        <v>2005</v>
      </c>
      <c r="F7" s="492" t="s">
        <v>632</v>
      </c>
      <c r="G7" s="493">
        <v>0</v>
      </c>
      <c r="H7" s="493">
        <v>0</v>
      </c>
    </row>
    <row r="8" spans="1:22" x14ac:dyDescent="0.2">
      <c r="A8" s="357"/>
      <c r="B8" s="356"/>
      <c r="C8" s="361"/>
      <c r="D8" s="363"/>
      <c r="E8" s="362"/>
      <c r="F8" s="361"/>
      <c r="G8" s="493"/>
      <c r="H8" s="493"/>
    </row>
    <row r="9" spans="1:22" x14ac:dyDescent="0.2">
      <c r="A9" s="357" t="s">
        <v>34</v>
      </c>
      <c r="B9" s="490">
        <v>813</v>
      </c>
      <c r="C9" s="361" t="s">
        <v>630</v>
      </c>
      <c r="D9" s="363" t="s">
        <v>631</v>
      </c>
      <c r="E9" s="491">
        <v>2013</v>
      </c>
      <c r="F9" s="492" t="s">
        <v>632</v>
      </c>
      <c r="G9" s="493">
        <v>2000000</v>
      </c>
      <c r="H9" s="493">
        <v>1661440.91</v>
      </c>
    </row>
    <row r="10" spans="1:22" x14ac:dyDescent="0.2">
      <c r="A10" s="357"/>
      <c r="B10" s="494"/>
      <c r="C10" s="361"/>
      <c r="D10" s="363"/>
      <c r="E10" s="491"/>
      <c r="F10" s="492"/>
      <c r="G10" s="493"/>
      <c r="H10" s="493"/>
    </row>
    <row r="11" spans="1:22" x14ac:dyDescent="0.2">
      <c r="A11" s="357" t="s">
        <v>35</v>
      </c>
      <c r="B11" s="490">
        <v>813</v>
      </c>
      <c r="C11" s="361" t="s">
        <v>630</v>
      </c>
      <c r="D11" s="363" t="s">
        <v>631</v>
      </c>
      <c r="E11" s="491">
        <v>2016</v>
      </c>
      <c r="F11" s="492" t="s">
        <v>632</v>
      </c>
      <c r="G11" s="493">
        <v>1500000</v>
      </c>
      <c r="H11" s="493">
        <v>2044092.4</v>
      </c>
    </row>
    <row r="12" spans="1:22" x14ac:dyDescent="0.2">
      <c r="A12" s="357" t="s">
        <v>355</v>
      </c>
      <c r="B12" s="494"/>
      <c r="C12" s="361"/>
      <c r="D12" s="363"/>
      <c r="E12" s="491"/>
      <c r="F12" s="492"/>
      <c r="G12" s="493"/>
      <c r="H12" s="493"/>
    </row>
    <row r="13" spans="1:22" x14ac:dyDescent="0.2">
      <c r="A13" s="357"/>
      <c r="B13" s="494"/>
      <c r="C13" s="361"/>
      <c r="D13" s="363"/>
      <c r="E13" s="491"/>
      <c r="F13" s="492"/>
      <c r="G13" s="493"/>
      <c r="H13" s="493"/>
    </row>
    <row r="14" spans="1:22" x14ac:dyDescent="0.2">
      <c r="A14" s="357" t="s">
        <v>36</v>
      </c>
      <c r="B14" s="490">
        <v>813</v>
      </c>
      <c r="C14" s="364" t="s">
        <v>630</v>
      </c>
      <c r="D14" s="363" t="s">
        <v>631</v>
      </c>
      <c r="E14" s="491">
        <v>2013</v>
      </c>
      <c r="F14" s="492" t="s">
        <v>632</v>
      </c>
      <c r="G14" s="493">
        <v>25982.27</v>
      </c>
      <c r="H14" s="493">
        <v>25982.27</v>
      </c>
    </row>
    <row r="15" spans="1:22" x14ac:dyDescent="0.2">
      <c r="A15" s="357"/>
      <c r="B15" s="494"/>
      <c r="C15" s="361"/>
      <c r="D15" s="363"/>
      <c r="E15" s="491"/>
      <c r="F15" s="492"/>
      <c r="G15" s="493"/>
      <c r="H15" s="493"/>
    </row>
    <row r="16" spans="1:22" x14ac:dyDescent="0.2">
      <c r="A16" s="357" t="s">
        <v>37</v>
      </c>
      <c r="B16" s="490"/>
      <c r="C16" s="361"/>
      <c r="D16" s="363"/>
      <c r="E16" s="491"/>
      <c r="F16" s="492"/>
      <c r="G16" s="493"/>
      <c r="H16" s="493"/>
    </row>
    <row r="17" spans="1:8" x14ac:dyDescent="0.2">
      <c r="A17" s="357"/>
      <c r="B17" s="490"/>
      <c r="C17" s="361"/>
      <c r="D17" s="363"/>
      <c r="E17" s="491"/>
      <c r="F17" s="492"/>
      <c r="G17" s="493"/>
      <c r="H17" s="493"/>
    </row>
    <row r="18" spans="1:8" x14ac:dyDescent="0.2">
      <c r="A18" s="357" t="s">
        <v>41</v>
      </c>
      <c r="B18" s="490">
        <v>813</v>
      </c>
      <c r="C18" s="361" t="s">
        <v>630</v>
      </c>
      <c r="D18" s="363" t="s">
        <v>631</v>
      </c>
      <c r="E18" s="491">
        <v>2008</v>
      </c>
      <c r="F18" s="492" t="s">
        <v>632</v>
      </c>
      <c r="G18" s="493">
        <v>40000000</v>
      </c>
      <c r="H18" s="493">
        <v>80658646.959999993</v>
      </c>
    </row>
    <row r="19" spans="1:8" x14ac:dyDescent="0.2">
      <c r="A19" s="357" t="s">
        <v>42</v>
      </c>
      <c r="B19" s="356"/>
      <c r="C19" s="361"/>
      <c r="D19" s="363"/>
      <c r="E19" s="362"/>
      <c r="F19" s="361"/>
      <c r="G19" s="361"/>
      <c r="H19" s="361"/>
    </row>
    <row r="20" spans="1:8" x14ac:dyDescent="0.2">
      <c r="A20" s="357" t="s">
        <v>38</v>
      </c>
      <c r="B20" s="356"/>
      <c r="C20" s="361"/>
      <c r="D20" s="363"/>
      <c r="E20" s="362"/>
      <c r="F20" s="361"/>
      <c r="G20" s="361"/>
      <c r="H20" s="361"/>
    </row>
    <row r="21" spans="1:8" x14ac:dyDescent="0.2">
      <c r="A21" s="357" t="s">
        <v>39</v>
      </c>
      <c r="B21" s="356"/>
      <c r="C21" s="361"/>
      <c r="D21" s="363"/>
      <c r="E21" s="362"/>
      <c r="F21" s="361"/>
      <c r="G21" s="361"/>
      <c r="H21" s="361"/>
    </row>
    <row r="22" spans="1:8" x14ac:dyDescent="0.2">
      <c r="A22" s="357" t="s">
        <v>40</v>
      </c>
      <c r="B22" s="356"/>
      <c r="C22" s="361"/>
      <c r="D22" s="363"/>
      <c r="E22" s="362"/>
      <c r="F22" s="361"/>
      <c r="G22" s="361"/>
      <c r="H22" s="361"/>
    </row>
    <row r="23" spans="1:8" x14ac:dyDescent="0.2">
      <c r="A23" s="357" t="s">
        <v>354</v>
      </c>
      <c r="B23" s="356"/>
      <c r="C23" s="361"/>
      <c r="D23" s="363"/>
      <c r="E23" s="362"/>
      <c r="F23" s="361"/>
      <c r="G23" s="361"/>
      <c r="H23" s="361"/>
    </row>
    <row r="24" spans="1:8" ht="12.75" thickBot="1" x14ac:dyDescent="0.25">
      <c r="A24" s="360"/>
      <c r="B24" s="359"/>
      <c r="C24" s="356"/>
      <c r="D24" s="358"/>
      <c r="E24" s="357"/>
      <c r="F24" s="356"/>
      <c r="G24" s="356"/>
      <c r="H24" s="356"/>
    </row>
    <row r="25" spans="1:8" ht="12.75" thickBot="1" x14ac:dyDescent="0.25">
      <c r="A25" s="355" t="s">
        <v>0</v>
      </c>
      <c r="B25" s="354"/>
      <c r="C25" s="353"/>
      <c r="D25" s="353"/>
      <c r="E25" s="353"/>
      <c r="F25" s="353"/>
      <c r="G25" s="495">
        <f>SUM(G7:G24)</f>
        <v>43525982.270000003</v>
      </c>
      <c r="H25" s="495">
        <f>SUM(H7:H24)</f>
        <v>84390162.539999992</v>
      </c>
    </row>
    <row r="26" spans="1:8" x14ac:dyDescent="0.2">
      <c r="A26" s="352" t="s">
        <v>431</v>
      </c>
    </row>
    <row r="27" spans="1:8" x14ac:dyDescent="0.2">
      <c r="A27" s="352" t="s">
        <v>432</v>
      </c>
    </row>
  </sheetData>
  <mergeCells count="3">
    <mergeCell ref="C4:H4"/>
    <mergeCell ref="B4:B5"/>
    <mergeCell ref="A4:A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6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5">
    <tabColor rgb="FFFF0000"/>
    <pageSetUpPr fitToPage="1"/>
  </sheetPr>
  <dimension ref="A1:V19"/>
  <sheetViews>
    <sheetView zoomScaleNormal="100" zoomScaleSheetLayoutView="100" zoomScalePageLayoutView="75" workbookViewId="0">
      <selection activeCell="H16" sqref="H16"/>
    </sheetView>
  </sheetViews>
  <sheetFormatPr baseColWidth="10" defaultColWidth="11.42578125" defaultRowHeight="12" x14ac:dyDescent="0.2"/>
  <cols>
    <col min="1" max="7" width="18.7109375" style="3" customWidth="1"/>
    <col min="8" max="9" width="18.7109375" style="101" customWidth="1"/>
    <col min="10" max="10" width="18.7109375" style="3" customWidth="1"/>
    <col min="11" max="12" width="7.140625" style="70" customWidth="1"/>
    <col min="13" max="16" width="7.140625" style="3" customWidth="1"/>
    <col min="17" max="16384" width="11.42578125" style="3"/>
  </cols>
  <sheetData>
    <row r="1" spans="1:22" s="129" customFormat="1" x14ac:dyDescent="0.2">
      <c r="A1" s="155" t="s">
        <v>427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22" s="5" customFormat="1" x14ac:dyDescent="0.2">
      <c r="A2" s="154" t="s">
        <v>569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137" customFormat="1" ht="12.75" thickBot="1" x14ac:dyDescent="0.25">
      <c r="K3" s="70"/>
      <c r="L3" s="70"/>
    </row>
    <row r="4" spans="1:22" s="93" customFormat="1" ht="12.75" customHeight="1" thickBot="1" x14ac:dyDescent="0.25">
      <c r="A4" s="627" t="s">
        <v>148</v>
      </c>
      <c r="B4" s="628"/>
      <c r="C4" s="628"/>
      <c r="D4" s="628"/>
      <c r="E4" s="629"/>
      <c r="F4" s="630" t="s">
        <v>149</v>
      </c>
      <c r="G4" s="631"/>
      <c r="H4" s="632"/>
      <c r="I4" s="632"/>
      <c r="J4" s="633"/>
      <c r="K4" s="624" t="s">
        <v>463</v>
      </c>
      <c r="L4" s="625"/>
      <c r="M4" s="626"/>
      <c r="N4" s="624" t="s">
        <v>464</v>
      </c>
      <c r="O4" s="625"/>
      <c r="P4" s="626"/>
    </row>
    <row r="5" spans="1:22" s="96" customFormat="1" ht="80.099999999999994" customHeight="1" thickBot="1" x14ac:dyDescent="0.25">
      <c r="A5" s="256" t="s">
        <v>105</v>
      </c>
      <c r="B5" s="257" t="s">
        <v>8</v>
      </c>
      <c r="C5" s="257" t="s">
        <v>100</v>
      </c>
      <c r="D5" s="258" t="s">
        <v>107</v>
      </c>
      <c r="E5" s="259" t="s">
        <v>129</v>
      </c>
      <c r="F5" s="256" t="s">
        <v>136</v>
      </c>
      <c r="G5" s="258" t="s">
        <v>137</v>
      </c>
      <c r="H5" s="258" t="s">
        <v>151</v>
      </c>
      <c r="I5" s="257" t="s">
        <v>152</v>
      </c>
      <c r="J5" s="260" t="s">
        <v>141</v>
      </c>
      <c r="K5" s="261" t="s">
        <v>138</v>
      </c>
      <c r="L5" s="262" t="s">
        <v>139</v>
      </c>
      <c r="M5" s="263" t="s">
        <v>140</v>
      </c>
      <c r="N5" s="261" t="s">
        <v>138</v>
      </c>
      <c r="O5" s="262" t="s">
        <v>139</v>
      </c>
      <c r="P5" s="263" t="s">
        <v>140</v>
      </c>
    </row>
    <row r="6" spans="1:22" x14ac:dyDescent="0.2">
      <c r="A6" s="91"/>
      <c r="B6" s="30"/>
      <c r="C6" s="30"/>
      <c r="D6" s="24"/>
      <c r="E6" s="25"/>
      <c r="F6" s="12"/>
      <c r="G6" s="120"/>
      <c r="H6" s="120"/>
      <c r="I6" s="121"/>
      <c r="J6" s="9"/>
      <c r="K6" s="122"/>
      <c r="L6" s="125"/>
      <c r="M6" s="17"/>
      <c r="N6" s="122"/>
      <c r="O6" s="125"/>
      <c r="P6" s="118"/>
    </row>
    <row r="7" spans="1:22" x14ac:dyDescent="0.2">
      <c r="A7" s="65"/>
      <c r="B7" s="12"/>
      <c r="C7" s="12" t="s">
        <v>99</v>
      </c>
      <c r="D7" s="27"/>
      <c r="E7" s="17"/>
      <c r="F7" s="12"/>
      <c r="G7" s="27"/>
      <c r="H7" s="27"/>
      <c r="I7" s="12"/>
      <c r="J7" s="9"/>
      <c r="K7" s="123"/>
      <c r="L7" s="126"/>
      <c r="M7" s="17"/>
      <c r="N7" s="123"/>
      <c r="O7" s="126"/>
      <c r="P7" s="118"/>
    </row>
    <row r="8" spans="1:22" x14ac:dyDescent="0.2">
      <c r="A8" s="65"/>
      <c r="B8" s="12"/>
      <c r="C8" s="12" t="s">
        <v>103</v>
      </c>
      <c r="D8" s="27"/>
      <c r="E8" s="17"/>
      <c r="F8" s="12"/>
      <c r="G8" s="27"/>
      <c r="H8" s="27"/>
      <c r="I8" s="12"/>
      <c r="J8" s="9"/>
      <c r="K8" s="123"/>
      <c r="L8" s="126"/>
      <c r="M8" s="17"/>
      <c r="N8" s="123"/>
      <c r="O8" s="126"/>
      <c r="P8" s="118"/>
    </row>
    <row r="9" spans="1:22" x14ac:dyDescent="0.2">
      <c r="A9" s="65"/>
      <c r="B9" s="12"/>
      <c r="C9" s="12" t="s">
        <v>101</v>
      </c>
      <c r="D9" s="27"/>
      <c r="E9" s="17"/>
      <c r="F9" s="12"/>
      <c r="G9" s="27"/>
      <c r="H9" s="27"/>
      <c r="I9" s="12"/>
      <c r="J9" s="9"/>
      <c r="K9" s="123"/>
      <c r="L9" s="126"/>
      <c r="M9" s="17"/>
      <c r="N9" s="123"/>
      <c r="O9" s="126"/>
      <c r="P9" s="118"/>
    </row>
    <row r="10" spans="1:22" x14ac:dyDescent="0.2">
      <c r="A10" s="65"/>
      <c r="B10" s="12"/>
      <c r="C10" s="12" t="s">
        <v>103</v>
      </c>
      <c r="D10" s="77"/>
      <c r="E10" s="79"/>
      <c r="F10" s="12"/>
      <c r="G10" s="77"/>
      <c r="H10" s="77"/>
      <c r="I10" s="76"/>
      <c r="J10" s="78"/>
      <c r="K10" s="123"/>
      <c r="L10" s="126"/>
      <c r="M10" s="17"/>
      <c r="N10" s="123"/>
      <c r="O10" s="126"/>
      <c r="P10" s="118"/>
    </row>
    <row r="11" spans="1:22" ht="15.75" x14ac:dyDescent="0.2">
      <c r="A11" s="567" t="s">
        <v>592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9"/>
      <c r="N11" s="123"/>
      <c r="O11" s="126"/>
      <c r="P11" s="118"/>
    </row>
    <row r="12" spans="1:22" x14ac:dyDescent="0.2">
      <c r="A12" s="65"/>
      <c r="B12" s="12"/>
      <c r="C12" s="12" t="s">
        <v>103</v>
      </c>
      <c r="D12" s="27"/>
      <c r="E12" s="17"/>
      <c r="F12" s="12"/>
      <c r="G12" s="27"/>
      <c r="H12" s="27"/>
      <c r="I12" s="12"/>
      <c r="J12" s="9"/>
      <c r="K12" s="123"/>
      <c r="L12" s="126"/>
      <c r="M12" s="17"/>
      <c r="N12" s="123"/>
      <c r="O12" s="126"/>
      <c r="P12" s="118"/>
    </row>
    <row r="13" spans="1:22" x14ac:dyDescent="0.2">
      <c r="A13" s="65"/>
      <c r="B13" s="12"/>
      <c r="C13" s="12" t="s">
        <v>102</v>
      </c>
      <c r="D13" s="27"/>
      <c r="E13" s="17"/>
      <c r="F13" s="12"/>
      <c r="G13" s="27"/>
      <c r="H13" s="27"/>
      <c r="I13" s="12"/>
      <c r="J13" s="9"/>
      <c r="K13" s="123"/>
      <c r="L13" s="126"/>
      <c r="M13" s="17"/>
      <c r="N13" s="123"/>
      <c r="O13" s="126"/>
      <c r="P13" s="118"/>
    </row>
    <row r="14" spans="1:22" x14ac:dyDescent="0.2">
      <c r="A14" s="65"/>
      <c r="B14" s="12"/>
      <c r="C14" s="12" t="s">
        <v>103</v>
      </c>
      <c r="D14" s="27"/>
      <c r="E14" s="17"/>
      <c r="F14" s="12"/>
      <c r="G14" s="27"/>
      <c r="H14" s="27"/>
      <c r="I14" s="12"/>
      <c r="J14" s="9"/>
      <c r="K14" s="123"/>
      <c r="L14" s="126"/>
      <c r="M14" s="17"/>
      <c r="N14" s="123"/>
      <c r="O14" s="126"/>
      <c r="P14" s="118"/>
    </row>
    <row r="15" spans="1:22" x14ac:dyDescent="0.2">
      <c r="A15" s="65"/>
      <c r="B15" s="12"/>
      <c r="C15" s="12" t="s">
        <v>106</v>
      </c>
      <c r="D15" s="27"/>
      <c r="E15" s="17"/>
      <c r="F15" s="12"/>
      <c r="G15" s="27"/>
      <c r="H15" s="27"/>
      <c r="I15" s="12"/>
      <c r="J15" s="9"/>
      <c r="K15" s="123"/>
      <c r="L15" s="126"/>
      <c r="M15" s="17"/>
      <c r="N15" s="123"/>
      <c r="O15" s="126"/>
      <c r="P15" s="118"/>
    </row>
    <row r="16" spans="1:22" x14ac:dyDescent="0.2">
      <c r="A16" s="65"/>
      <c r="B16" s="12"/>
      <c r="C16" s="12" t="s">
        <v>103</v>
      </c>
      <c r="D16" s="27"/>
      <c r="E16" s="17"/>
      <c r="F16" s="12"/>
      <c r="G16" s="27"/>
      <c r="H16" s="27"/>
      <c r="I16" s="12"/>
      <c r="J16" s="9"/>
      <c r="K16" s="123"/>
      <c r="L16" s="126"/>
      <c r="M16" s="17"/>
      <c r="N16" s="123"/>
      <c r="O16" s="126"/>
      <c r="P16" s="118"/>
    </row>
    <row r="17" spans="1:16" ht="12.75" thickBot="1" x14ac:dyDescent="0.25">
      <c r="A17" s="68"/>
      <c r="B17" s="100"/>
      <c r="C17" s="100"/>
      <c r="D17" s="95"/>
      <c r="E17" s="8"/>
      <c r="F17" s="12"/>
      <c r="G17" s="27"/>
      <c r="H17" s="95"/>
      <c r="I17" s="12"/>
      <c r="J17" s="9"/>
      <c r="K17" s="123"/>
      <c r="L17" s="126"/>
      <c r="M17" s="17"/>
      <c r="N17" s="123"/>
      <c r="O17" s="126"/>
      <c r="P17" s="118"/>
    </row>
    <row r="18" spans="1:16" ht="12.75" thickBot="1" x14ac:dyDescent="0.25">
      <c r="A18" s="92"/>
      <c r="B18" s="94"/>
      <c r="C18" s="94"/>
      <c r="D18" s="69"/>
      <c r="E18" s="20"/>
      <c r="F18" s="94"/>
      <c r="G18" s="69"/>
      <c r="H18" s="69"/>
      <c r="I18" s="71"/>
      <c r="J18" s="18"/>
      <c r="K18" s="124"/>
      <c r="L18" s="127"/>
      <c r="M18" s="20"/>
      <c r="N18" s="124"/>
      <c r="O18" s="127"/>
      <c r="P18" s="119"/>
    </row>
    <row r="19" spans="1:16" x14ac:dyDescent="0.2">
      <c r="A19" s="149" t="s">
        <v>428</v>
      </c>
    </row>
  </sheetData>
  <mergeCells count="5">
    <mergeCell ref="K4:M4"/>
    <mergeCell ref="N4:P4"/>
    <mergeCell ref="A4:E4"/>
    <mergeCell ref="F4:J4"/>
    <mergeCell ref="A11:M11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61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S19"/>
  <sheetViews>
    <sheetView zoomScaleNormal="100" zoomScaleSheetLayoutView="100" zoomScalePageLayoutView="55" workbookViewId="0">
      <selection activeCell="F19" sqref="F19"/>
    </sheetView>
  </sheetViews>
  <sheetFormatPr baseColWidth="10" defaultColWidth="11.42578125" defaultRowHeight="12" x14ac:dyDescent="0.2"/>
  <cols>
    <col min="1" max="6" width="18.7109375" style="153" customWidth="1"/>
    <col min="7" max="8" width="6.7109375" style="70" customWidth="1"/>
    <col min="9" max="9" width="6.7109375" style="153" customWidth="1"/>
    <col min="10" max="12" width="18.7109375" style="153" customWidth="1"/>
    <col min="13" max="13" width="18.28515625" style="153" customWidth="1"/>
    <col min="14" max="14" width="20.42578125" style="153" customWidth="1"/>
    <col min="15" max="16384" width="11.42578125" style="153"/>
  </cols>
  <sheetData>
    <row r="1" spans="1:19" s="129" customFormat="1" x14ac:dyDescent="0.2">
      <c r="A1" s="155" t="s">
        <v>429</v>
      </c>
      <c r="B1" s="155"/>
      <c r="C1" s="155"/>
      <c r="D1" s="155"/>
      <c r="E1" s="155"/>
      <c r="F1" s="155"/>
      <c r="G1" s="155"/>
      <c r="H1" s="155"/>
      <c r="J1" s="155"/>
      <c r="K1" s="155"/>
      <c r="L1" s="155"/>
      <c r="M1" s="155"/>
      <c r="N1" s="155"/>
    </row>
    <row r="2" spans="1:19" s="5" customFormat="1" x14ac:dyDescent="0.2">
      <c r="A2" s="154" t="s">
        <v>569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2.75" thickBot="1" x14ac:dyDescent="0.25"/>
    <row r="4" spans="1:19" s="93" customFormat="1" ht="12.75" customHeight="1" thickBot="1" x14ac:dyDescent="0.25">
      <c r="A4" s="627" t="s">
        <v>319</v>
      </c>
      <c r="B4" s="629"/>
      <c r="C4" s="628" t="s">
        <v>320</v>
      </c>
      <c r="D4" s="628"/>
      <c r="E4" s="630" t="s">
        <v>323</v>
      </c>
      <c r="F4" s="631"/>
      <c r="G4" s="631"/>
      <c r="H4" s="631"/>
      <c r="I4" s="633"/>
      <c r="J4" s="628" t="s">
        <v>324</v>
      </c>
      <c r="K4" s="628"/>
      <c r="L4" s="629"/>
      <c r="M4" s="585" t="s">
        <v>465</v>
      </c>
      <c r="N4" s="634" t="s">
        <v>458</v>
      </c>
    </row>
    <row r="5" spans="1:19" s="96" customFormat="1" ht="86.25" customHeight="1" thickBot="1" x14ac:dyDescent="0.25">
      <c r="A5" s="256" t="s">
        <v>104</v>
      </c>
      <c r="B5" s="264" t="s">
        <v>105</v>
      </c>
      <c r="C5" s="257" t="s">
        <v>322</v>
      </c>
      <c r="D5" s="265" t="s">
        <v>321</v>
      </c>
      <c r="E5" s="256" t="s">
        <v>327</v>
      </c>
      <c r="F5" s="258" t="s">
        <v>328</v>
      </c>
      <c r="G5" s="266" t="s">
        <v>329</v>
      </c>
      <c r="H5" s="266" t="s">
        <v>330</v>
      </c>
      <c r="I5" s="267" t="s">
        <v>24</v>
      </c>
      <c r="J5" s="256" t="s">
        <v>325</v>
      </c>
      <c r="K5" s="257" t="s">
        <v>326</v>
      </c>
      <c r="L5" s="268" t="s">
        <v>331</v>
      </c>
      <c r="M5" s="586"/>
      <c r="N5" s="635"/>
    </row>
    <row r="6" spans="1:19" x14ac:dyDescent="0.2">
      <c r="A6" s="91"/>
      <c r="B6" s="25"/>
      <c r="C6" s="121"/>
      <c r="D6" s="196"/>
      <c r="E6" s="65"/>
      <c r="F6" s="27"/>
      <c r="G6" s="27"/>
      <c r="H6" s="27"/>
      <c r="I6" s="75"/>
      <c r="J6" s="65"/>
      <c r="K6" s="121"/>
      <c r="L6" s="17"/>
      <c r="M6" s="17"/>
      <c r="N6" s="17"/>
    </row>
    <row r="7" spans="1:19" x14ac:dyDescent="0.2">
      <c r="A7" s="65"/>
      <c r="B7" s="17"/>
      <c r="C7" s="12"/>
      <c r="D7" s="197"/>
      <c r="E7" s="65"/>
      <c r="F7" s="27"/>
      <c r="G7" s="27"/>
      <c r="H7" s="27"/>
      <c r="I7" s="75"/>
      <c r="J7" s="65"/>
      <c r="K7" s="12"/>
      <c r="L7" s="17"/>
      <c r="M7" s="17"/>
      <c r="N7" s="17"/>
    </row>
    <row r="8" spans="1:19" x14ac:dyDescent="0.2">
      <c r="A8" s="65"/>
      <c r="B8" s="17"/>
      <c r="C8" s="12"/>
      <c r="D8" s="197"/>
      <c r="E8" s="65"/>
      <c r="F8" s="77"/>
      <c r="G8" s="77"/>
      <c r="H8" s="77"/>
      <c r="I8" s="110"/>
      <c r="J8" s="111"/>
      <c r="K8" s="12"/>
      <c r="L8" s="17"/>
      <c r="M8" s="17"/>
      <c r="N8" s="17"/>
    </row>
    <row r="9" spans="1:19" x14ac:dyDescent="0.2">
      <c r="A9" s="65"/>
      <c r="B9" s="17"/>
      <c r="C9" s="12"/>
      <c r="D9" s="197"/>
      <c r="E9" s="65"/>
      <c r="F9" s="27"/>
      <c r="G9" s="27"/>
      <c r="H9" s="27"/>
      <c r="I9" s="75"/>
      <c r="J9" s="65"/>
      <c r="K9" s="12"/>
      <c r="L9" s="17"/>
      <c r="M9" s="17"/>
      <c r="N9" s="17"/>
    </row>
    <row r="10" spans="1:19" x14ac:dyDescent="0.2">
      <c r="A10" s="65"/>
      <c r="B10" s="17"/>
      <c r="C10" s="76"/>
      <c r="D10" s="198"/>
      <c r="E10" s="111"/>
      <c r="F10" s="27"/>
      <c r="G10" s="27"/>
      <c r="H10" s="27"/>
      <c r="I10" s="75"/>
      <c r="J10" s="65"/>
      <c r="K10" s="76"/>
      <c r="L10" s="79"/>
      <c r="M10" s="79"/>
      <c r="N10" s="79"/>
    </row>
    <row r="11" spans="1:19" ht="15.75" x14ac:dyDescent="0.2">
      <c r="A11" s="567" t="s">
        <v>592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9"/>
      <c r="N11" s="17"/>
    </row>
    <row r="12" spans="1:19" x14ac:dyDescent="0.2">
      <c r="A12" s="65"/>
      <c r="B12" s="17"/>
      <c r="C12" s="12"/>
      <c r="D12" s="197"/>
      <c r="E12" s="65"/>
      <c r="F12" s="27"/>
      <c r="G12" s="27"/>
      <c r="H12" s="27"/>
      <c r="I12" s="75"/>
      <c r="J12" s="65"/>
      <c r="K12" s="12"/>
      <c r="L12" s="17"/>
      <c r="M12" s="17"/>
      <c r="N12" s="17"/>
    </row>
    <row r="13" spans="1:19" x14ac:dyDescent="0.2">
      <c r="A13" s="65"/>
      <c r="B13" s="17"/>
      <c r="C13" s="12"/>
      <c r="D13" s="197"/>
      <c r="E13" s="65"/>
      <c r="F13" s="27"/>
      <c r="G13" s="27"/>
      <c r="H13" s="27"/>
      <c r="I13" s="75"/>
      <c r="J13" s="65"/>
      <c r="K13" s="12"/>
      <c r="L13" s="17"/>
      <c r="M13" s="17"/>
      <c r="N13" s="17"/>
    </row>
    <row r="14" spans="1:19" x14ac:dyDescent="0.2">
      <c r="A14" s="65"/>
      <c r="B14" s="17"/>
      <c r="C14" s="12"/>
      <c r="D14" s="197"/>
      <c r="E14" s="65"/>
      <c r="F14" s="77"/>
      <c r="G14" s="77"/>
      <c r="H14" s="77"/>
      <c r="I14" s="110"/>
      <c r="J14" s="111"/>
      <c r="K14" s="12"/>
      <c r="L14" s="17"/>
      <c r="M14" s="17"/>
      <c r="N14" s="17"/>
    </row>
    <row r="15" spans="1:19" x14ac:dyDescent="0.2">
      <c r="A15" s="65"/>
      <c r="B15" s="17"/>
      <c r="C15" s="12"/>
      <c r="D15" s="197"/>
      <c r="E15" s="65"/>
      <c r="F15" s="27"/>
      <c r="G15" s="27"/>
      <c r="H15" s="27"/>
      <c r="I15" s="75"/>
      <c r="J15" s="65"/>
      <c r="K15" s="12"/>
      <c r="L15" s="17"/>
      <c r="M15" s="17"/>
      <c r="N15" s="17"/>
    </row>
    <row r="16" spans="1:19" x14ac:dyDescent="0.2">
      <c r="A16" s="65"/>
      <c r="B16" s="17"/>
      <c r="C16" s="12"/>
      <c r="D16" s="197"/>
      <c r="E16" s="65"/>
      <c r="F16" s="27"/>
      <c r="G16" s="27"/>
      <c r="H16" s="27"/>
      <c r="I16" s="75"/>
      <c r="J16" s="65"/>
      <c r="K16" s="12"/>
      <c r="L16" s="17"/>
      <c r="M16" s="17"/>
      <c r="N16" s="17"/>
    </row>
    <row r="17" spans="1:14" ht="12.75" thickBot="1" x14ac:dyDescent="0.25">
      <c r="A17" s="68"/>
      <c r="B17" s="8"/>
      <c r="C17" s="12"/>
      <c r="D17" s="197"/>
      <c r="E17" s="65"/>
      <c r="F17" s="27"/>
      <c r="G17" s="27"/>
      <c r="H17" s="27"/>
      <c r="I17" s="75"/>
      <c r="J17" s="65"/>
      <c r="K17" s="12"/>
      <c r="L17" s="17"/>
      <c r="M17" s="17"/>
      <c r="N17" s="17"/>
    </row>
    <row r="18" spans="1:14" ht="12.75" thickBot="1" x14ac:dyDescent="0.25">
      <c r="A18" s="92"/>
      <c r="B18" s="194"/>
      <c r="C18" s="71"/>
      <c r="D18" s="199"/>
      <c r="E18" s="200"/>
      <c r="F18" s="69"/>
      <c r="G18" s="69"/>
      <c r="H18" s="69"/>
      <c r="I18" s="195"/>
      <c r="J18" s="19"/>
      <c r="K18" s="71"/>
      <c r="L18" s="20"/>
      <c r="M18" s="20"/>
      <c r="N18" s="20"/>
    </row>
    <row r="19" spans="1:14" ht="21.75" customHeight="1" x14ac:dyDescent="0.2">
      <c r="A19" s="153" t="s">
        <v>430</v>
      </c>
    </row>
  </sheetData>
  <mergeCells count="7">
    <mergeCell ref="A11:M11"/>
    <mergeCell ref="M4:M5"/>
    <mergeCell ref="N4:N5"/>
    <mergeCell ref="C4:D4"/>
    <mergeCell ref="A4:B4"/>
    <mergeCell ref="J4:L4"/>
    <mergeCell ref="E4:I4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4" orientation="landscape" r:id="rId1"/>
  <headerFooter alignWithMargins="0">
    <oddHeader>&amp;C&amp;"Arial,Negrita"&amp;18PROYECTO DE PRESUPUESTO 2022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O18"/>
  <sheetViews>
    <sheetView topLeftCell="B16" zoomScaleNormal="100" zoomScaleSheetLayoutView="100" workbookViewId="0">
      <selection activeCell="H21" sqref="H21"/>
    </sheetView>
  </sheetViews>
  <sheetFormatPr baseColWidth="10" defaultColWidth="2" defaultRowHeight="11.25" x14ac:dyDescent="0.2"/>
  <cols>
    <col min="1" max="1" width="21.28515625" style="98" customWidth="1"/>
    <col min="2" max="2" width="9.5703125" style="98" customWidth="1"/>
    <col min="3" max="3" width="18.140625" style="98" customWidth="1"/>
    <col min="4" max="4" width="10.7109375" style="98" customWidth="1"/>
    <col min="5" max="5" width="8.140625" style="98" customWidth="1"/>
    <col min="6" max="6" width="9.5703125" style="98" customWidth="1"/>
    <col min="7" max="7" width="10.85546875" style="98" customWidth="1"/>
    <col min="8" max="8" width="11" style="98" customWidth="1"/>
    <col min="9" max="9" width="7.140625" style="98" customWidth="1"/>
    <col min="10" max="10" width="8.5703125" style="98" customWidth="1"/>
    <col min="11" max="11" width="6.85546875" style="98" customWidth="1"/>
    <col min="12" max="12" width="9.7109375" style="98" customWidth="1"/>
    <col min="13" max="15" width="7" style="98" customWidth="1"/>
    <col min="16" max="16" width="8.7109375" style="98" customWidth="1"/>
    <col min="17" max="16384" width="2" style="98"/>
  </cols>
  <sheetData>
    <row r="1" spans="1:15" s="163" customFormat="1" ht="12.75" x14ac:dyDescent="0.2">
      <c r="A1" s="162" t="s">
        <v>390</v>
      </c>
      <c r="B1" s="205"/>
      <c r="C1" s="162"/>
    </row>
    <row r="2" spans="1:15" s="163" customFormat="1" ht="12" thickBot="1" x14ac:dyDescent="0.25">
      <c r="A2" s="164" t="s">
        <v>483</v>
      </c>
      <c r="B2" s="164"/>
      <c r="C2" s="164"/>
    </row>
    <row r="3" spans="1:15" s="97" customFormat="1" ht="22.5" customHeight="1" x14ac:dyDescent="0.2">
      <c r="A3" s="538" t="s">
        <v>302</v>
      </c>
      <c r="B3" s="538" t="s">
        <v>305</v>
      </c>
      <c r="C3" s="538" t="s">
        <v>304</v>
      </c>
      <c r="D3" s="540" t="s">
        <v>303</v>
      </c>
      <c r="E3" s="540" t="s">
        <v>280</v>
      </c>
      <c r="F3" s="540" t="s">
        <v>281</v>
      </c>
      <c r="G3" s="540" t="s">
        <v>142</v>
      </c>
      <c r="H3" s="540" t="s">
        <v>282</v>
      </c>
      <c r="I3" s="536">
        <v>2019</v>
      </c>
      <c r="J3" s="537"/>
      <c r="K3" s="536">
        <v>2020</v>
      </c>
      <c r="L3" s="537"/>
      <c r="M3" s="536">
        <v>2021</v>
      </c>
      <c r="N3" s="537"/>
      <c r="O3" s="214">
        <v>2022</v>
      </c>
    </row>
    <row r="4" spans="1:15" s="97" customFormat="1" ht="22.5" x14ac:dyDescent="0.2">
      <c r="A4" s="539"/>
      <c r="B4" s="539"/>
      <c r="C4" s="539"/>
      <c r="D4" s="541"/>
      <c r="E4" s="541"/>
      <c r="F4" s="541"/>
      <c r="G4" s="541"/>
      <c r="H4" s="541"/>
      <c r="I4" s="215" t="s">
        <v>285</v>
      </c>
      <c r="J4" s="215" t="s">
        <v>283</v>
      </c>
      <c r="K4" s="215" t="s">
        <v>285</v>
      </c>
      <c r="L4" s="393" t="s">
        <v>283</v>
      </c>
      <c r="M4" s="215" t="s">
        <v>285</v>
      </c>
      <c r="N4" s="393" t="s">
        <v>284</v>
      </c>
      <c r="O4" s="215" t="s">
        <v>285</v>
      </c>
    </row>
    <row r="5" spans="1:15" s="165" customFormat="1" ht="54" x14ac:dyDescent="0.2">
      <c r="A5" s="544" t="s">
        <v>546</v>
      </c>
      <c r="B5" s="547" t="s">
        <v>484</v>
      </c>
      <c r="C5" s="394" t="s">
        <v>485</v>
      </c>
      <c r="D5" s="395" t="s">
        <v>486</v>
      </c>
      <c r="E5" s="395" t="s">
        <v>487</v>
      </c>
      <c r="F5" s="396">
        <v>5.8000000000000003E-2</v>
      </c>
      <c r="G5" s="395" t="s">
        <v>488</v>
      </c>
      <c r="H5" s="395" t="s">
        <v>489</v>
      </c>
      <c r="I5" s="397">
        <v>7.1999999999999995E-2</v>
      </c>
      <c r="J5" s="396">
        <v>6.4000000000000001E-2</v>
      </c>
      <c r="K5" s="397">
        <v>6.5000000000000002E-2</v>
      </c>
      <c r="L5" s="414" t="s">
        <v>550</v>
      </c>
      <c r="M5" s="396">
        <v>5.8000000000000003E-2</v>
      </c>
      <c r="N5" s="415">
        <v>5.8000000000000003E-2</v>
      </c>
      <c r="O5" s="415">
        <v>5.0999999999999997E-2</v>
      </c>
    </row>
    <row r="6" spans="1:15" s="165" customFormat="1" ht="117" x14ac:dyDescent="0.2">
      <c r="A6" s="545"/>
      <c r="B6" s="548"/>
      <c r="C6" s="550" t="s">
        <v>490</v>
      </c>
      <c r="D6" s="395" t="s">
        <v>491</v>
      </c>
      <c r="E6" s="395" t="s">
        <v>492</v>
      </c>
      <c r="F6" s="396">
        <v>0.73699999999999999</v>
      </c>
      <c r="G6" s="395" t="s">
        <v>493</v>
      </c>
      <c r="H6" s="395" t="s">
        <v>494</v>
      </c>
      <c r="I6" s="398">
        <v>0.67100000000000004</v>
      </c>
      <c r="J6" s="399">
        <v>0</v>
      </c>
      <c r="K6" s="400">
        <v>0.7</v>
      </c>
      <c r="L6" s="414" t="s">
        <v>550</v>
      </c>
      <c r="M6" s="396">
        <v>0.73699999999999999</v>
      </c>
      <c r="N6" s="415">
        <v>0.73699999999999999</v>
      </c>
      <c r="O6" s="415">
        <v>0.76400000000000001</v>
      </c>
    </row>
    <row r="7" spans="1:15" s="165" customFormat="1" ht="108" x14ac:dyDescent="0.2">
      <c r="A7" s="545"/>
      <c r="B7" s="548"/>
      <c r="C7" s="551"/>
      <c r="D7" s="395" t="s">
        <v>495</v>
      </c>
      <c r="E7" s="395" t="s">
        <v>496</v>
      </c>
      <c r="F7" s="396">
        <v>0.66400000000000003</v>
      </c>
      <c r="G7" s="395" t="s">
        <v>493</v>
      </c>
      <c r="H7" s="395" t="s">
        <v>494</v>
      </c>
      <c r="I7" s="398">
        <v>0.54100000000000004</v>
      </c>
      <c r="J7" s="399">
        <v>0</v>
      </c>
      <c r="K7" s="398">
        <v>0.59799999999999998</v>
      </c>
      <c r="L7" s="414" t="s">
        <v>550</v>
      </c>
      <c r="M7" s="396">
        <v>0.66400000000000003</v>
      </c>
      <c r="N7" s="415">
        <v>0.66400000000000003</v>
      </c>
      <c r="O7" s="415">
        <v>0.71599999999999997</v>
      </c>
    </row>
    <row r="8" spans="1:15" s="165" customFormat="1" ht="27" customHeight="1" x14ac:dyDescent="0.2">
      <c r="A8" s="545"/>
      <c r="B8" s="548"/>
      <c r="C8" s="550" t="s">
        <v>497</v>
      </c>
      <c r="D8" s="395" t="s">
        <v>498</v>
      </c>
      <c r="E8" s="395" t="s">
        <v>499</v>
      </c>
      <c r="F8" s="396">
        <v>0.52</v>
      </c>
      <c r="G8" s="395" t="s">
        <v>488</v>
      </c>
      <c r="H8" s="395" t="s">
        <v>500</v>
      </c>
      <c r="I8" s="398">
        <v>0.48</v>
      </c>
      <c r="J8" s="396">
        <v>0.48699999999999999</v>
      </c>
      <c r="K8" s="398">
        <v>0.5</v>
      </c>
      <c r="L8" s="414">
        <v>62.54</v>
      </c>
      <c r="M8" s="396">
        <v>0.52</v>
      </c>
      <c r="N8" s="415">
        <v>0.52</v>
      </c>
      <c r="O8" s="415">
        <v>0.54</v>
      </c>
    </row>
    <row r="9" spans="1:15" s="165" customFormat="1" ht="45" x14ac:dyDescent="0.2">
      <c r="A9" s="545"/>
      <c r="B9" s="549"/>
      <c r="C9" s="551"/>
      <c r="D9" s="395" t="s">
        <v>501</v>
      </c>
      <c r="E9" s="395" t="s">
        <v>502</v>
      </c>
      <c r="F9" s="396">
        <v>0.20200000000000001</v>
      </c>
      <c r="G9" s="395" t="s">
        <v>503</v>
      </c>
      <c r="H9" s="395" t="s">
        <v>500</v>
      </c>
      <c r="I9" s="398">
        <v>0.2</v>
      </c>
      <c r="J9" s="396">
        <v>0.375</v>
      </c>
      <c r="K9" s="398">
        <v>0.224</v>
      </c>
      <c r="L9" s="414">
        <v>35.799999999999997</v>
      </c>
      <c r="M9" s="396">
        <v>0.20200000000000001</v>
      </c>
      <c r="N9" s="415">
        <v>0.20200000000000001</v>
      </c>
      <c r="O9" s="415">
        <v>0.18</v>
      </c>
    </row>
    <row r="10" spans="1:15" s="165" customFormat="1" ht="54" x14ac:dyDescent="0.2">
      <c r="A10" s="545"/>
      <c r="B10" s="552" t="s">
        <v>504</v>
      </c>
      <c r="C10" s="550" t="s">
        <v>505</v>
      </c>
      <c r="D10" s="395" t="s">
        <v>506</v>
      </c>
      <c r="E10" s="395" t="s">
        <v>507</v>
      </c>
      <c r="F10" s="396">
        <v>0.22</v>
      </c>
      <c r="G10" s="395" t="s">
        <v>488</v>
      </c>
      <c r="H10" s="395" t="s">
        <v>508</v>
      </c>
      <c r="I10" s="398">
        <v>0.217</v>
      </c>
      <c r="J10" s="396">
        <v>0.192</v>
      </c>
      <c r="K10" s="398">
        <v>0.219</v>
      </c>
      <c r="L10" s="414">
        <v>11.2</v>
      </c>
      <c r="M10" s="396">
        <v>0.22</v>
      </c>
      <c r="N10" s="415">
        <v>0.22</v>
      </c>
      <c r="O10" s="415">
        <v>0.221</v>
      </c>
    </row>
    <row r="11" spans="1:15" s="165" customFormat="1" ht="63" x14ac:dyDescent="0.2">
      <c r="A11" s="545"/>
      <c r="B11" s="553"/>
      <c r="C11" s="551"/>
      <c r="D11" s="395" t="s">
        <v>509</v>
      </c>
      <c r="E11" s="395" t="s">
        <v>510</v>
      </c>
      <c r="F11" s="396">
        <v>0.19</v>
      </c>
      <c r="G11" s="395" t="s">
        <v>488</v>
      </c>
      <c r="H11" s="395" t="s">
        <v>511</v>
      </c>
      <c r="I11" s="398">
        <v>0.17</v>
      </c>
      <c r="J11" s="396">
        <v>0.13700000000000001</v>
      </c>
      <c r="K11" s="398">
        <v>0.18</v>
      </c>
      <c r="L11" s="414" t="s">
        <v>550</v>
      </c>
      <c r="M11" s="396">
        <v>0.19</v>
      </c>
      <c r="N11" s="415">
        <v>0.19</v>
      </c>
      <c r="O11" s="415">
        <v>0.2</v>
      </c>
    </row>
    <row r="12" spans="1:15" s="165" customFormat="1" ht="45" x14ac:dyDescent="0.2">
      <c r="A12" s="545"/>
      <c r="B12" s="553"/>
      <c r="C12" s="550" t="s">
        <v>512</v>
      </c>
      <c r="D12" s="395" t="s">
        <v>513</v>
      </c>
      <c r="E12" s="395" t="s">
        <v>514</v>
      </c>
      <c r="F12" s="396">
        <v>0.19</v>
      </c>
      <c r="G12" s="395" t="s">
        <v>515</v>
      </c>
      <c r="H12" s="395" t="s">
        <v>516</v>
      </c>
      <c r="I12" s="398">
        <v>0.15</v>
      </c>
      <c r="J12" s="396">
        <v>0.111</v>
      </c>
      <c r="K12" s="398">
        <v>0.17</v>
      </c>
      <c r="L12" s="414">
        <v>17</v>
      </c>
      <c r="M12" s="396">
        <v>0.19</v>
      </c>
      <c r="N12" s="415">
        <v>0.19</v>
      </c>
      <c r="O12" s="415">
        <v>0.21</v>
      </c>
    </row>
    <row r="13" spans="1:15" s="165" customFormat="1" ht="63" x14ac:dyDescent="0.2">
      <c r="A13" s="545"/>
      <c r="B13" s="554"/>
      <c r="C13" s="551"/>
      <c r="D13" s="395" t="s">
        <v>517</v>
      </c>
      <c r="E13" s="395" t="s">
        <v>518</v>
      </c>
      <c r="F13" s="396">
        <v>0.83</v>
      </c>
      <c r="G13" s="395" t="s">
        <v>516</v>
      </c>
      <c r="H13" s="395" t="s">
        <v>516</v>
      </c>
      <c r="I13" s="398">
        <v>0.77</v>
      </c>
      <c r="J13" s="396">
        <v>0.56999999999999995</v>
      </c>
      <c r="K13" s="398">
        <v>0.8</v>
      </c>
      <c r="L13" s="414">
        <v>80</v>
      </c>
      <c r="M13" s="396">
        <v>0.83</v>
      </c>
      <c r="N13" s="415">
        <v>0.83</v>
      </c>
      <c r="O13" s="415">
        <v>0.86</v>
      </c>
    </row>
    <row r="14" spans="1:15" s="165" customFormat="1" ht="45" x14ac:dyDescent="0.2">
      <c r="A14" s="545"/>
      <c r="B14" s="542" t="s">
        <v>519</v>
      </c>
      <c r="C14" s="394" t="s">
        <v>520</v>
      </c>
      <c r="D14" s="395" t="s">
        <v>521</v>
      </c>
      <c r="E14" s="395" t="s">
        <v>522</v>
      </c>
      <c r="F14" s="396">
        <v>0.32</v>
      </c>
      <c r="G14" s="395" t="s">
        <v>523</v>
      </c>
      <c r="H14" s="395" t="s">
        <v>523</v>
      </c>
      <c r="I14" s="398">
        <v>0.32200000000000001</v>
      </c>
      <c r="J14" s="396">
        <v>0</v>
      </c>
      <c r="K14" s="398">
        <v>0.32100000000000001</v>
      </c>
      <c r="L14" s="396" t="s">
        <v>550</v>
      </c>
      <c r="M14" s="396">
        <v>0.32</v>
      </c>
      <c r="N14" s="415">
        <v>0.32</v>
      </c>
      <c r="O14" s="415">
        <v>0.31900000000000001</v>
      </c>
    </row>
    <row r="15" spans="1:15" s="165" customFormat="1" ht="63" x14ac:dyDescent="0.2">
      <c r="A15" s="545"/>
      <c r="B15" s="543"/>
      <c r="C15" s="394" t="s">
        <v>524</v>
      </c>
      <c r="D15" s="395" t="s">
        <v>525</v>
      </c>
      <c r="E15" s="395" t="s">
        <v>526</v>
      </c>
      <c r="F15" s="396">
        <v>1</v>
      </c>
      <c r="G15" s="395" t="s">
        <v>527</v>
      </c>
      <c r="H15" s="395" t="s">
        <v>528</v>
      </c>
      <c r="I15" s="398">
        <v>0.97</v>
      </c>
      <c r="J15" s="396">
        <v>0.91</v>
      </c>
      <c r="K15" s="398">
        <v>1</v>
      </c>
      <c r="L15" s="396">
        <v>0.92</v>
      </c>
      <c r="M15" s="396">
        <v>1</v>
      </c>
      <c r="N15" s="396">
        <v>1</v>
      </c>
      <c r="O15" s="396">
        <v>1</v>
      </c>
    </row>
    <row r="16" spans="1:15" s="165" customFormat="1" ht="54" x14ac:dyDescent="0.2">
      <c r="A16" s="545"/>
      <c r="B16" s="401" t="s">
        <v>529</v>
      </c>
      <c r="C16" s="394" t="s">
        <v>530</v>
      </c>
      <c r="D16" s="395" t="s">
        <v>531</v>
      </c>
      <c r="E16" s="395" t="s">
        <v>532</v>
      </c>
      <c r="F16" s="402">
        <v>1.4500000000000001E-2</v>
      </c>
      <c r="G16" s="395" t="s">
        <v>533</v>
      </c>
      <c r="H16" s="395" t="s">
        <v>534</v>
      </c>
      <c r="I16" s="398">
        <v>1.4999999999999999E-2</v>
      </c>
      <c r="J16" s="396">
        <v>0</v>
      </c>
      <c r="K16" s="398">
        <v>1.4999999999999999E-2</v>
      </c>
      <c r="L16" s="402" t="s">
        <v>550</v>
      </c>
      <c r="M16" s="402">
        <v>1.4500000000000001E-2</v>
      </c>
      <c r="N16" s="402">
        <v>1.4500000000000001E-2</v>
      </c>
      <c r="O16" s="415">
        <v>1.4E-2</v>
      </c>
    </row>
    <row r="17" spans="1:15" s="165" customFormat="1" ht="81" x14ac:dyDescent="0.2">
      <c r="A17" s="546"/>
      <c r="B17" s="403" t="s">
        <v>535</v>
      </c>
      <c r="C17" s="394" t="s">
        <v>536</v>
      </c>
      <c r="D17" s="395" t="s">
        <v>537</v>
      </c>
      <c r="E17" s="395" t="s">
        <v>538</v>
      </c>
      <c r="F17" s="396">
        <v>0.17</v>
      </c>
      <c r="G17" s="395" t="s">
        <v>539</v>
      </c>
      <c r="H17" s="395" t="s">
        <v>540</v>
      </c>
      <c r="I17" s="398">
        <v>0.19700000000000001</v>
      </c>
      <c r="J17" s="396">
        <v>0</v>
      </c>
      <c r="K17" s="398">
        <v>0.18</v>
      </c>
      <c r="L17" s="396">
        <v>0.153</v>
      </c>
      <c r="M17" s="396">
        <v>0.17</v>
      </c>
      <c r="N17" s="396">
        <v>0.17</v>
      </c>
      <c r="O17" s="415">
        <v>0.16</v>
      </c>
    </row>
    <row r="18" spans="1:15" s="165" customFormat="1" ht="90.75" thickBot="1" x14ac:dyDescent="0.25">
      <c r="A18" s="166"/>
      <c r="B18" s="404" t="s">
        <v>541</v>
      </c>
      <c r="C18" s="405" t="s">
        <v>542</v>
      </c>
      <c r="D18" s="406" t="s">
        <v>543</v>
      </c>
      <c r="E18" s="406" t="s">
        <v>544</v>
      </c>
      <c r="F18" s="407">
        <v>0.93</v>
      </c>
      <c r="G18" s="406" t="s">
        <v>545</v>
      </c>
      <c r="H18" s="406" t="s">
        <v>545</v>
      </c>
      <c r="I18" s="407">
        <v>0.93</v>
      </c>
      <c r="J18" s="407">
        <v>0.83</v>
      </c>
      <c r="K18" s="407">
        <v>0.93</v>
      </c>
      <c r="L18" s="396" t="s">
        <v>550</v>
      </c>
      <c r="M18" s="407">
        <v>0.93</v>
      </c>
      <c r="N18" s="396">
        <v>0.93</v>
      </c>
      <c r="O18" s="396">
        <v>0.93</v>
      </c>
    </row>
  </sheetData>
  <mergeCells count="19">
    <mergeCell ref="B14:B15"/>
    <mergeCell ref="A5:A17"/>
    <mergeCell ref="B5:B9"/>
    <mergeCell ref="C6:C7"/>
    <mergeCell ref="C8:C9"/>
    <mergeCell ref="B10:B13"/>
    <mergeCell ref="C10:C11"/>
    <mergeCell ref="C12:C13"/>
    <mergeCell ref="A3:A4"/>
    <mergeCell ref="D3:D4"/>
    <mergeCell ref="E3:E4"/>
    <mergeCell ref="F3:F4"/>
    <mergeCell ref="G3:G4"/>
    <mergeCell ref="M3:N3"/>
    <mergeCell ref="I3:J3"/>
    <mergeCell ref="K3:L3"/>
    <mergeCell ref="C3:C4"/>
    <mergeCell ref="B3:B4"/>
    <mergeCell ref="H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D6:K11"/>
  <sheetViews>
    <sheetView topLeftCell="A4" workbookViewId="0">
      <selection activeCell="I13" sqref="I13"/>
    </sheetView>
  </sheetViews>
  <sheetFormatPr baseColWidth="10" defaultColWidth="10.7109375" defaultRowHeight="12.75" x14ac:dyDescent="0.2"/>
  <cols>
    <col min="5" max="5" width="19.5703125" customWidth="1"/>
    <col min="9" max="9" width="18" bestFit="1" customWidth="1"/>
    <col min="10" max="10" width="14.7109375" customWidth="1"/>
    <col min="11" max="11" width="13.42578125" customWidth="1"/>
  </cols>
  <sheetData>
    <row r="6" spans="4:11" ht="15" x14ac:dyDescent="0.25">
      <c r="H6" s="388"/>
      <c r="I6" s="383" t="s">
        <v>475</v>
      </c>
      <c r="J6" s="383" t="s">
        <v>466</v>
      </c>
      <c r="K6" s="383" t="s">
        <v>476</v>
      </c>
    </row>
    <row r="7" spans="4:11" ht="90" x14ac:dyDescent="0.25">
      <c r="E7" s="383" t="s">
        <v>466</v>
      </c>
      <c r="H7" s="384" t="s">
        <v>467</v>
      </c>
      <c r="I7" s="389" t="s">
        <v>480</v>
      </c>
      <c r="J7" s="385" t="s">
        <v>472</v>
      </c>
      <c r="K7" s="385" t="s">
        <v>482</v>
      </c>
    </row>
    <row r="8" spans="4:11" ht="45" x14ac:dyDescent="0.25">
      <c r="D8" s="384" t="s">
        <v>470</v>
      </c>
      <c r="E8" s="387" t="s">
        <v>471</v>
      </c>
      <c r="H8" s="386" t="s">
        <v>468</v>
      </c>
      <c r="I8" s="390" t="s">
        <v>479</v>
      </c>
      <c r="J8" s="387" t="s">
        <v>469</v>
      </c>
      <c r="K8" s="387" t="s">
        <v>481</v>
      </c>
    </row>
    <row r="9" spans="4:11" ht="45" x14ac:dyDescent="0.25">
      <c r="D9" s="384" t="s">
        <v>467</v>
      </c>
      <c r="E9" s="385" t="s">
        <v>472</v>
      </c>
      <c r="H9" s="386" t="s">
        <v>470</v>
      </c>
      <c r="I9" s="390" t="s">
        <v>478</v>
      </c>
      <c r="J9" s="387" t="s">
        <v>471</v>
      </c>
      <c r="K9" s="387" t="s">
        <v>477</v>
      </c>
    </row>
    <row r="10" spans="4:11" ht="30" x14ac:dyDescent="0.25">
      <c r="D10" s="386" t="s">
        <v>473</v>
      </c>
      <c r="E10" s="387" t="s">
        <v>474</v>
      </c>
      <c r="H10" s="386" t="s">
        <v>473</v>
      </c>
      <c r="I10" s="202"/>
      <c r="J10" s="392" t="s">
        <v>474</v>
      </c>
      <c r="K10" s="202"/>
    </row>
    <row r="11" spans="4:11" ht="30" x14ac:dyDescent="0.25">
      <c r="D11" s="386" t="s">
        <v>468</v>
      </c>
      <c r="E11" s="387" t="s">
        <v>469</v>
      </c>
      <c r="H11" s="39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H24"/>
  <sheetViews>
    <sheetView zoomScaleNormal="100" workbookViewId="0">
      <selection sqref="A1:D21"/>
    </sheetView>
  </sheetViews>
  <sheetFormatPr baseColWidth="10" defaultColWidth="11.28515625" defaultRowHeight="12.75" x14ac:dyDescent="0.2"/>
  <cols>
    <col min="1" max="1" width="58" customWidth="1"/>
    <col min="2" max="2" width="12.7109375" bestFit="1" customWidth="1"/>
    <col min="3" max="3" width="12.7109375" customWidth="1"/>
    <col min="4" max="4" width="12.7109375" bestFit="1" customWidth="1"/>
    <col min="6" max="6" width="13.28515625" customWidth="1"/>
  </cols>
  <sheetData>
    <row r="1" spans="1:8" x14ac:dyDescent="0.2">
      <c r="A1" s="162" t="s">
        <v>391</v>
      </c>
    </row>
    <row r="2" spans="1:8" x14ac:dyDescent="0.2">
      <c r="A2" s="164" t="s">
        <v>547</v>
      </c>
    </row>
    <row r="3" spans="1:8" s="201" customFormat="1" ht="28.35" customHeight="1" x14ac:dyDescent="0.2">
      <c r="A3" s="212" t="s">
        <v>341</v>
      </c>
      <c r="B3" s="213">
        <v>2020</v>
      </c>
      <c r="C3" s="213">
        <v>2021</v>
      </c>
      <c r="D3" s="213">
        <v>2022</v>
      </c>
    </row>
    <row r="4" spans="1:8" s="205" customFormat="1" x14ac:dyDescent="0.2">
      <c r="A4" s="204" t="s">
        <v>338</v>
      </c>
      <c r="B4" s="408">
        <v>115884699</v>
      </c>
      <c r="C4" s="408">
        <v>98088299</v>
      </c>
      <c r="D4" s="408">
        <v>110991470</v>
      </c>
    </row>
    <row r="5" spans="1:8" s="205" customFormat="1" x14ac:dyDescent="0.2">
      <c r="A5" s="204" t="s">
        <v>339</v>
      </c>
      <c r="B5" s="408">
        <v>288592132</v>
      </c>
      <c r="C5" s="408">
        <v>306233732</v>
      </c>
      <c r="D5" s="408">
        <v>372123505</v>
      </c>
    </row>
    <row r="6" spans="1:8" s="205" customFormat="1" x14ac:dyDescent="0.2">
      <c r="A6" s="204" t="s">
        <v>340</v>
      </c>
      <c r="B6" s="408">
        <v>710619049</v>
      </c>
      <c r="C6" s="408">
        <f>1195714717-(C4+C5)</f>
        <v>791392686</v>
      </c>
      <c r="D6" s="408">
        <v>825791442</v>
      </c>
    </row>
    <row r="7" spans="1:8" s="209" customFormat="1" ht="28.35" customHeight="1" x14ac:dyDescent="0.2">
      <c r="A7" s="210" t="s">
        <v>332</v>
      </c>
      <c r="B7" s="409">
        <f>+B4+B5+B6</f>
        <v>1115095880</v>
      </c>
      <c r="C7" s="409">
        <f t="shared" ref="C7:D7" si="0">+C4+C5+C6</f>
        <v>1195714717</v>
      </c>
      <c r="D7" s="409">
        <f t="shared" si="0"/>
        <v>1308906417</v>
      </c>
    </row>
    <row r="9" spans="1:8" s="201" customFormat="1" ht="28.35" customHeight="1" x14ac:dyDescent="0.2">
      <c r="A9" s="212" t="s">
        <v>342</v>
      </c>
      <c r="B9" s="213">
        <v>2020</v>
      </c>
      <c r="C9" s="213" t="s">
        <v>392</v>
      </c>
      <c r="D9" s="213" t="s">
        <v>393</v>
      </c>
      <c r="F9" s="201" t="s">
        <v>548</v>
      </c>
    </row>
    <row r="10" spans="1:8" s="205" customFormat="1" x14ac:dyDescent="0.2">
      <c r="A10" s="204" t="s">
        <v>338</v>
      </c>
      <c r="B10" s="408">
        <v>135312444</v>
      </c>
      <c r="C10" s="408">
        <v>119867435</v>
      </c>
      <c r="D10" s="408">
        <v>110991470</v>
      </c>
      <c r="F10" s="410">
        <v>115867435</v>
      </c>
      <c r="G10" s="410">
        <f>C10-F10</f>
        <v>4000000</v>
      </c>
      <c r="H10" s="410"/>
    </row>
    <row r="11" spans="1:8" s="205" customFormat="1" x14ac:dyDescent="0.2">
      <c r="A11" s="204" t="s">
        <v>339</v>
      </c>
      <c r="B11" s="408">
        <v>408533589</v>
      </c>
      <c r="C11" s="408">
        <f>427190219+30000000</f>
        <v>457190219</v>
      </c>
      <c r="D11" s="408">
        <v>372123505</v>
      </c>
      <c r="F11" s="410">
        <v>427190219</v>
      </c>
      <c r="G11" s="410">
        <f t="shared" ref="G11:G12" si="1">C11-F11</f>
        <v>30000000</v>
      </c>
      <c r="H11" s="410"/>
    </row>
    <row r="12" spans="1:8" s="205" customFormat="1" x14ac:dyDescent="0.2">
      <c r="A12" s="204" t="s">
        <v>340</v>
      </c>
      <c r="B12" s="408">
        <f>1448100323-(B10+B11)</f>
        <v>904254290</v>
      </c>
      <c r="C12" s="408">
        <v>880121644</v>
      </c>
      <c r="D12" s="408">
        <v>825791442</v>
      </c>
      <c r="F12" s="410">
        <f>F13-(F10+F11)</f>
        <v>874121644</v>
      </c>
      <c r="G12" s="410">
        <f t="shared" si="1"/>
        <v>6000000</v>
      </c>
      <c r="H12" s="410"/>
    </row>
    <row r="13" spans="1:8" s="209" customFormat="1" ht="28.35" customHeight="1" x14ac:dyDescent="0.2">
      <c r="A13" s="210" t="s">
        <v>333</v>
      </c>
      <c r="B13" s="409">
        <f>+B10+B11+B12</f>
        <v>1448100323</v>
      </c>
      <c r="C13" s="409">
        <f>+C10+C11+C12</f>
        <v>1457179298</v>
      </c>
      <c r="D13" s="409">
        <f t="shared" ref="D13" si="2">+D10+D11+D12</f>
        <v>1308906417</v>
      </c>
      <c r="F13" s="410">
        <v>1417179298</v>
      </c>
      <c r="G13" s="410">
        <f>C13-F13</f>
        <v>40000000</v>
      </c>
    </row>
    <row r="15" spans="1:8" s="201" customFormat="1" ht="28.35" customHeight="1" x14ac:dyDescent="0.2">
      <c r="A15" s="212" t="s">
        <v>343</v>
      </c>
      <c r="B15" s="213">
        <v>2020</v>
      </c>
      <c r="C15" s="213" t="s">
        <v>392</v>
      </c>
      <c r="D15" s="213" t="s">
        <v>393</v>
      </c>
      <c r="F15" s="201" t="s">
        <v>548</v>
      </c>
    </row>
    <row r="16" spans="1:8" s="205" customFormat="1" x14ac:dyDescent="0.2">
      <c r="A16" s="204" t="s">
        <v>338</v>
      </c>
      <c r="B16" s="408">
        <v>127019627</v>
      </c>
      <c r="C16" s="408">
        <v>119867430</v>
      </c>
      <c r="D16" s="408">
        <v>110991470</v>
      </c>
      <c r="F16" s="412">
        <v>64197221</v>
      </c>
    </row>
    <row r="17" spans="1:8" s="205" customFormat="1" x14ac:dyDescent="0.2">
      <c r="A17" s="204" t="s">
        <v>339</v>
      </c>
      <c r="B17" s="408">
        <v>365690154</v>
      </c>
      <c r="C17" s="408">
        <v>388412617</v>
      </c>
      <c r="D17" s="408">
        <v>372123505</v>
      </c>
      <c r="F17" s="412">
        <v>227992687</v>
      </c>
      <c r="G17" s="412">
        <v>160000000</v>
      </c>
      <c r="H17" s="410">
        <f>F17+G17</f>
        <v>387992687</v>
      </c>
    </row>
    <row r="18" spans="1:8" s="205" customFormat="1" x14ac:dyDescent="0.2">
      <c r="A18" s="204" t="s">
        <v>340</v>
      </c>
      <c r="B18" s="408">
        <f>1162299086-(B16+B17)</f>
        <v>669589305</v>
      </c>
      <c r="C18" s="408">
        <v>722822023</v>
      </c>
      <c r="D18" s="408">
        <v>825791442</v>
      </c>
      <c r="F18" s="410">
        <f>F19-(F16+F17)</f>
        <v>519844278</v>
      </c>
    </row>
    <row r="19" spans="1:8" s="209" customFormat="1" ht="28.35" customHeight="1" x14ac:dyDescent="0.2">
      <c r="A19" s="210" t="s">
        <v>334</v>
      </c>
      <c r="B19" s="409">
        <f t="shared" ref="B19:D19" si="3">+B16+B17+B18</f>
        <v>1162299086</v>
      </c>
      <c r="C19" s="409">
        <f t="shared" si="3"/>
        <v>1231102070</v>
      </c>
      <c r="D19" s="409">
        <f t="shared" si="3"/>
        <v>1308906417</v>
      </c>
      <c r="F19" s="409">
        <v>812034186</v>
      </c>
    </row>
    <row r="20" spans="1:8" x14ac:dyDescent="0.2">
      <c r="A20" s="380" t="s">
        <v>394</v>
      </c>
    </row>
    <row r="21" spans="1:8" x14ac:dyDescent="0.2">
      <c r="A21" s="381" t="s">
        <v>395</v>
      </c>
    </row>
    <row r="22" spans="1:8" x14ac:dyDescent="0.2">
      <c r="F22" s="409">
        <v>1231102070</v>
      </c>
    </row>
    <row r="24" spans="1:8" x14ac:dyDescent="0.2">
      <c r="F24" s="413">
        <f>F22-C19</f>
        <v>0</v>
      </c>
    </row>
  </sheetData>
  <pageMargins left="0.70866141732283472" right="0.51181102362204722" top="0.94488188976377963" bottom="0.74803149606299213" header="0.31496062992125984" footer="0.31496062992125984"/>
  <pageSetup paperSize="9" scale="90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K54"/>
  <sheetViews>
    <sheetView topLeftCell="A31" zoomScaleNormal="100" workbookViewId="0">
      <selection sqref="A1:D52"/>
    </sheetView>
  </sheetViews>
  <sheetFormatPr baseColWidth="10" defaultColWidth="11.28515625" defaultRowHeight="12.75" x14ac:dyDescent="0.2"/>
  <cols>
    <col min="1" max="1" width="52.140625" customWidth="1"/>
    <col min="2" max="3" width="12.7109375" bestFit="1" customWidth="1"/>
    <col min="4" max="4" width="12.5703125" customWidth="1"/>
    <col min="6" max="6" width="12.7109375" bestFit="1" customWidth="1"/>
    <col min="7" max="7" width="13.5703125" customWidth="1"/>
    <col min="9" max="9" width="12.7109375" bestFit="1" customWidth="1"/>
  </cols>
  <sheetData>
    <row r="1" spans="1:4" x14ac:dyDescent="0.2">
      <c r="A1" s="162" t="s">
        <v>396</v>
      </c>
    </row>
    <row r="2" spans="1:4" x14ac:dyDescent="0.2">
      <c r="A2" s="164" t="s">
        <v>569</v>
      </c>
    </row>
    <row r="3" spans="1:4" s="201" customFormat="1" ht="28.35" customHeight="1" x14ac:dyDescent="0.2">
      <c r="A3" s="212" t="s">
        <v>337</v>
      </c>
      <c r="B3" s="213">
        <v>2020</v>
      </c>
      <c r="C3" s="213">
        <v>2021</v>
      </c>
      <c r="D3" s="213">
        <v>2022</v>
      </c>
    </row>
    <row r="4" spans="1:4" s="207" customFormat="1" x14ac:dyDescent="0.2">
      <c r="A4" s="206" t="s">
        <v>123</v>
      </c>
      <c r="B4" s="206"/>
      <c r="C4" s="206"/>
      <c r="D4" s="206"/>
    </row>
    <row r="5" spans="1:4" s="205" customFormat="1" x14ac:dyDescent="0.2">
      <c r="A5" s="203" t="s">
        <v>112</v>
      </c>
      <c r="B5" s="204"/>
      <c r="C5" s="204"/>
      <c r="D5" s="204"/>
    </row>
    <row r="6" spans="1:4" s="205" customFormat="1" x14ac:dyDescent="0.2">
      <c r="A6" s="203" t="s">
        <v>113</v>
      </c>
      <c r="B6" s="408">
        <v>621220972</v>
      </c>
      <c r="C6" s="408">
        <v>685008369</v>
      </c>
      <c r="D6" s="408">
        <v>689220481</v>
      </c>
    </row>
    <row r="7" spans="1:4" s="205" customFormat="1" x14ac:dyDescent="0.2">
      <c r="A7" s="203" t="s">
        <v>114</v>
      </c>
      <c r="B7" s="408">
        <v>110942168</v>
      </c>
      <c r="C7" s="408">
        <v>104008974</v>
      </c>
      <c r="D7" s="408">
        <v>97214615</v>
      </c>
    </row>
    <row r="8" spans="1:4" s="205" customFormat="1" x14ac:dyDescent="0.2">
      <c r="A8" s="203" t="s">
        <v>115</v>
      </c>
      <c r="B8" s="408">
        <v>151413508</v>
      </c>
      <c r="C8" s="408">
        <v>124136059</v>
      </c>
      <c r="D8" s="408">
        <v>148428914</v>
      </c>
    </row>
    <row r="9" spans="1:4" s="205" customFormat="1" x14ac:dyDescent="0.2">
      <c r="A9" s="203" t="s">
        <v>144</v>
      </c>
      <c r="B9" s="408"/>
      <c r="C9" s="408"/>
      <c r="D9" s="408"/>
    </row>
    <row r="10" spans="1:4" s="205" customFormat="1" x14ac:dyDescent="0.2">
      <c r="A10" s="203" t="s">
        <v>145</v>
      </c>
      <c r="B10" s="408">
        <v>761482</v>
      </c>
      <c r="C10" s="408">
        <v>761482</v>
      </c>
      <c r="D10" s="408">
        <v>545520</v>
      </c>
    </row>
    <row r="11" spans="1:4" s="205" customFormat="1" x14ac:dyDescent="0.2">
      <c r="A11" s="206" t="s">
        <v>111</v>
      </c>
      <c r="B11" s="206"/>
      <c r="C11" s="206"/>
      <c r="D11" s="206"/>
    </row>
    <row r="12" spans="1:4" s="205" customFormat="1" x14ac:dyDescent="0.2">
      <c r="A12" s="203" t="s">
        <v>143</v>
      </c>
      <c r="B12" s="408"/>
      <c r="C12" s="408"/>
      <c r="D12" s="408"/>
    </row>
    <row r="13" spans="1:4" s="205" customFormat="1" x14ac:dyDescent="0.2">
      <c r="A13" s="203" t="s">
        <v>146</v>
      </c>
      <c r="B13" s="408"/>
      <c r="C13" s="408"/>
      <c r="D13" s="408"/>
    </row>
    <row r="14" spans="1:4" s="205" customFormat="1" x14ac:dyDescent="0.2">
      <c r="A14" s="203" t="s">
        <v>120</v>
      </c>
      <c r="B14" s="408">
        <v>219591698</v>
      </c>
      <c r="C14" s="408">
        <v>277195543</v>
      </c>
      <c r="D14" s="408">
        <v>366765893</v>
      </c>
    </row>
    <row r="15" spans="1:4" s="205" customFormat="1" x14ac:dyDescent="0.2">
      <c r="A15" s="203" t="s">
        <v>121</v>
      </c>
      <c r="B15" s="408"/>
      <c r="C15" s="408"/>
      <c r="D15" s="408"/>
    </row>
    <row r="16" spans="1:4" s="205" customFormat="1" x14ac:dyDescent="0.2">
      <c r="A16" s="206" t="s">
        <v>96</v>
      </c>
      <c r="B16" s="206"/>
      <c r="C16" s="206"/>
      <c r="D16" s="206"/>
    </row>
    <row r="17" spans="1:10" s="205" customFormat="1" x14ac:dyDescent="0.2">
      <c r="A17" s="203" t="s">
        <v>122</v>
      </c>
      <c r="B17" s="408">
        <v>11166052</v>
      </c>
      <c r="C17" s="408">
        <v>4604290</v>
      </c>
      <c r="D17" s="408">
        <v>6730994</v>
      </c>
    </row>
    <row r="18" spans="1:10" s="209" customFormat="1" ht="18" customHeight="1" x14ac:dyDescent="0.2">
      <c r="A18" s="208" t="s">
        <v>332</v>
      </c>
      <c r="B18" s="409">
        <f>SUM(B5:B17)</f>
        <v>1115095880</v>
      </c>
      <c r="C18" s="409">
        <f t="shared" ref="C18:D18" si="0">SUM(C5:C17)</f>
        <v>1195714717</v>
      </c>
      <c r="D18" s="409">
        <f t="shared" si="0"/>
        <v>1308906417</v>
      </c>
    </row>
    <row r="20" spans="1:10" s="201" customFormat="1" ht="28.35" customHeight="1" x14ac:dyDescent="0.2">
      <c r="A20" s="212" t="s">
        <v>336</v>
      </c>
      <c r="B20" s="213">
        <v>2020</v>
      </c>
      <c r="C20" s="213">
        <v>2021</v>
      </c>
      <c r="D20" s="213">
        <v>2022</v>
      </c>
    </row>
    <row r="21" spans="1:10" s="207" customFormat="1" x14ac:dyDescent="0.2">
      <c r="A21" s="206" t="s">
        <v>123</v>
      </c>
      <c r="B21" s="206"/>
      <c r="C21" s="206"/>
      <c r="D21" s="206"/>
    </row>
    <row r="22" spans="1:10" s="205" customFormat="1" x14ac:dyDescent="0.2">
      <c r="A22" s="203" t="s">
        <v>112</v>
      </c>
      <c r="B22" s="204"/>
      <c r="C22" s="204"/>
      <c r="D22" s="204"/>
    </row>
    <row r="23" spans="1:10" s="205" customFormat="1" x14ac:dyDescent="0.2">
      <c r="A23" s="203" t="s">
        <v>113</v>
      </c>
      <c r="B23" s="408">
        <v>703651457</v>
      </c>
      <c r="C23" s="408">
        <v>730880323</v>
      </c>
      <c r="D23" s="408">
        <v>689220481</v>
      </c>
      <c r="G23" s="408">
        <v>119867435</v>
      </c>
      <c r="H23" s="411">
        <v>2.1</v>
      </c>
      <c r="I23" s="408">
        <v>722980396</v>
      </c>
    </row>
    <row r="24" spans="1:10" s="205" customFormat="1" x14ac:dyDescent="0.2">
      <c r="A24" s="203" t="s">
        <v>114</v>
      </c>
      <c r="B24" s="408">
        <v>105151199</v>
      </c>
      <c r="C24" s="408">
        <v>108669584</v>
      </c>
      <c r="D24" s="408">
        <v>97214615</v>
      </c>
      <c r="G24" s="408">
        <v>457190219</v>
      </c>
      <c r="H24" s="411">
        <v>2.2000000000000002</v>
      </c>
      <c r="I24" s="408">
        <v>107669981</v>
      </c>
    </row>
    <row r="25" spans="1:10" s="205" customFormat="1" x14ac:dyDescent="0.2">
      <c r="A25" s="203" t="s">
        <v>115</v>
      </c>
      <c r="B25" s="408">
        <v>238760430</v>
      </c>
      <c r="C25" s="408">
        <v>235580444</v>
      </c>
      <c r="D25" s="408">
        <v>148428914</v>
      </c>
      <c r="G25" s="408">
        <v>880121644</v>
      </c>
      <c r="H25" s="411">
        <v>2.2999999999999998</v>
      </c>
      <c r="I25" s="408">
        <v>209580044</v>
      </c>
      <c r="J25" s="205">
        <v>24000000</v>
      </c>
    </row>
    <row r="26" spans="1:10" s="205" customFormat="1" x14ac:dyDescent="0.2">
      <c r="A26" s="203" t="s">
        <v>144</v>
      </c>
      <c r="B26" s="408">
        <v>293865</v>
      </c>
      <c r="C26" s="408">
        <v>417125</v>
      </c>
      <c r="D26" s="408"/>
      <c r="G26" s="409">
        <v>1457179298</v>
      </c>
      <c r="H26" s="205">
        <v>2.4</v>
      </c>
      <c r="I26" s="408">
        <v>417125</v>
      </c>
    </row>
    <row r="27" spans="1:10" s="205" customFormat="1" x14ac:dyDescent="0.2">
      <c r="A27" s="203" t="s">
        <v>145</v>
      </c>
      <c r="B27" s="408">
        <v>41294870</v>
      </c>
      <c r="C27" s="408">
        <v>19828972</v>
      </c>
      <c r="D27" s="408">
        <v>545520</v>
      </c>
      <c r="H27" s="205">
        <v>2.5</v>
      </c>
      <c r="I27" s="408">
        <v>14728902</v>
      </c>
      <c r="J27" s="205">
        <v>4300000</v>
      </c>
    </row>
    <row r="28" spans="1:10" s="205" customFormat="1" x14ac:dyDescent="0.2">
      <c r="A28" s="206" t="s">
        <v>111</v>
      </c>
      <c r="B28" s="206"/>
      <c r="C28" s="206"/>
      <c r="D28" s="206"/>
      <c r="G28" s="410">
        <f>G26-C35</f>
        <v>0</v>
      </c>
      <c r="H28" s="205">
        <v>2.6</v>
      </c>
      <c r="I28" s="205">
        <v>351198560</v>
      </c>
      <c r="J28" s="205">
        <v>-90000000</v>
      </c>
    </row>
    <row r="29" spans="1:10" s="205" customFormat="1" x14ac:dyDescent="0.2">
      <c r="A29" s="203" t="s">
        <v>143</v>
      </c>
      <c r="B29" s="408"/>
      <c r="C29" s="408"/>
      <c r="D29" s="408"/>
      <c r="H29" s="207">
        <v>2.8</v>
      </c>
      <c r="I29" s="205">
        <v>10604290</v>
      </c>
    </row>
    <row r="30" spans="1:10" s="205" customFormat="1" x14ac:dyDescent="0.2">
      <c r="A30" s="203" t="s">
        <v>146</v>
      </c>
      <c r="B30" s="408"/>
      <c r="C30" s="408"/>
      <c r="D30" s="408"/>
      <c r="F30" s="409">
        <v>1448100323</v>
      </c>
      <c r="I30" s="410">
        <f>SUM(I23:I29)</f>
        <v>1417179298</v>
      </c>
    </row>
    <row r="31" spans="1:10" s="205" customFormat="1" x14ac:dyDescent="0.2">
      <c r="A31" s="203" t="s">
        <v>120</v>
      </c>
      <c r="B31" s="408">
        <v>347782450</v>
      </c>
      <c r="C31" s="408">
        <v>351198560</v>
      </c>
      <c r="D31" s="408">
        <v>366765893</v>
      </c>
    </row>
    <row r="32" spans="1:10" s="205" customFormat="1" x14ac:dyDescent="0.2">
      <c r="A32" s="203" t="s">
        <v>121</v>
      </c>
      <c r="B32" s="408"/>
      <c r="C32" s="408"/>
      <c r="D32" s="408"/>
    </row>
    <row r="33" spans="1:11" s="205" customFormat="1" x14ac:dyDescent="0.2">
      <c r="A33" s="206" t="s">
        <v>96</v>
      </c>
      <c r="B33" s="206"/>
      <c r="C33" s="206"/>
      <c r="D33" s="206"/>
      <c r="F33" s="409">
        <v>1417179298</v>
      </c>
      <c r="G33" s="410">
        <f>C35-F33</f>
        <v>40000000</v>
      </c>
    </row>
    <row r="34" spans="1:11" s="205" customFormat="1" x14ac:dyDescent="0.2">
      <c r="A34" s="203" t="s">
        <v>122</v>
      </c>
      <c r="B34" s="408">
        <v>11166052</v>
      </c>
      <c r="C34" s="408">
        <v>10604290</v>
      </c>
      <c r="D34" s="408">
        <v>6730994</v>
      </c>
    </row>
    <row r="35" spans="1:11" s="209" customFormat="1" ht="18" customHeight="1" x14ac:dyDescent="0.2">
      <c r="A35" s="208" t="s">
        <v>333</v>
      </c>
      <c r="B35" s="409">
        <f t="shared" ref="B35" si="1">SUM(B22:B34)</f>
        <v>1448100323</v>
      </c>
      <c r="C35" s="409">
        <f t="shared" ref="C35" si="2">SUM(C22:C34)</f>
        <v>1457179298</v>
      </c>
      <c r="D35" s="409">
        <f t="shared" ref="D35" si="3">SUM(D22:D34)</f>
        <v>1308906417</v>
      </c>
    </row>
    <row r="37" spans="1:11" s="201" customFormat="1" ht="28.35" customHeight="1" x14ac:dyDescent="0.2">
      <c r="A37" s="212" t="s">
        <v>335</v>
      </c>
      <c r="B37" s="213">
        <v>2020</v>
      </c>
      <c r="C37" s="213">
        <v>2021</v>
      </c>
      <c r="D37" s="213">
        <v>2022</v>
      </c>
    </row>
    <row r="38" spans="1:11" s="207" customFormat="1" x14ac:dyDescent="0.2">
      <c r="A38" s="206" t="s">
        <v>123</v>
      </c>
      <c r="B38" s="206"/>
      <c r="C38" s="206"/>
      <c r="D38" s="206"/>
    </row>
    <row r="39" spans="1:11" s="205" customFormat="1" x14ac:dyDescent="0.2">
      <c r="A39" s="203" t="s">
        <v>112</v>
      </c>
      <c r="B39" s="204"/>
      <c r="C39" s="204"/>
      <c r="D39" s="204"/>
    </row>
    <row r="40" spans="1:11" s="205" customFormat="1" x14ac:dyDescent="0.2">
      <c r="A40" s="203" t="s">
        <v>113</v>
      </c>
      <c r="B40" s="408">
        <v>700927124</v>
      </c>
      <c r="C40" s="408">
        <v>702880000</v>
      </c>
      <c r="D40" s="408">
        <v>689220481</v>
      </c>
    </row>
    <row r="41" spans="1:11" s="205" customFormat="1" x14ac:dyDescent="0.2">
      <c r="A41" s="203" t="s">
        <v>114</v>
      </c>
      <c r="B41" s="408">
        <v>104885603</v>
      </c>
      <c r="C41" s="408">
        <v>103669581</v>
      </c>
      <c r="D41" s="408">
        <v>97214615</v>
      </c>
      <c r="I41" s="205" t="s">
        <v>549</v>
      </c>
    </row>
    <row r="42" spans="1:11" s="205" customFormat="1" x14ac:dyDescent="0.2">
      <c r="A42" s="203" t="s">
        <v>115</v>
      </c>
      <c r="B42" s="408">
        <v>213419668</v>
      </c>
      <c r="C42" s="408">
        <v>215503542</v>
      </c>
      <c r="D42" s="408">
        <v>148428914</v>
      </c>
      <c r="G42" s="408">
        <v>121793813.66666667</v>
      </c>
      <c r="I42" s="411">
        <v>2.1</v>
      </c>
      <c r="J42" s="408">
        <v>498801437</v>
      </c>
      <c r="K42" s="408">
        <v>175000000</v>
      </c>
    </row>
    <row r="43" spans="1:11" s="205" customFormat="1" x14ac:dyDescent="0.2">
      <c r="A43" s="203" t="s">
        <v>144</v>
      </c>
      <c r="B43" s="408">
        <v>293865</v>
      </c>
      <c r="C43" s="408">
        <v>417125</v>
      </c>
      <c r="D43" s="408"/>
      <c r="G43" s="408">
        <v>387992687</v>
      </c>
      <c r="H43" s="205">
        <f>C25*0.95</f>
        <v>223801421.79999998</v>
      </c>
      <c r="I43" s="411">
        <v>2.2000000000000002</v>
      </c>
      <c r="J43" s="408">
        <v>76918222</v>
      </c>
      <c r="K43" s="408">
        <v>25000000</v>
      </c>
    </row>
    <row r="44" spans="1:11" s="205" customFormat="1" x14ac:dyDescent="0.2">
      <c r="A44" s="203" t="s">
        <v>145</v>
      </c>
      <c r="B44" s="408">
        <v>40313199</v>
      </c>
      <c r="C44" s="408">
        <v>19828972</v>
      </c>
      <c r="D44" s="408">
        <v>545520</v>
      </c>
      <c r="G44" s="408">
        <v>670216493</v>
      </c>
      <c r="I44" s="411">
        <v>2.2999999999999998</v>
      </c>
      <c r="J44" s="408">
        <v>139424789</v>
      </c>
      <c r="K44" s="408">
        <v>60000000</v>
      </c>
    </row>
    <row r="45" spans="1:11" s="205" customFormat="1" x14ac:dyDescent="0.2">
      <c r="A45" s="206" t="s">
        <v>111</v>
      </c>
      <c r="B45" s="206"/>
      <c r="C45" s="206"/>
      <c r="D45" s="206"/>
      <c r="G45" s="409">
        <v>1180002993.6666667</v>
      </c>
      <c r="I45" s="205">
        <v>2.4</v>
      </c>
      <c r="J45" s="408">
        <v>367946</v>
      </c>
      <c r="K45" s="408">
        <v>0</v>
      </c>
    </row>
    <row r="46" spans="1:11" s="205" customFormat="1" x14ac:dyDescent="0.2">
      <c r="A46" s="203" t="s">
        <v>143</v>
      </c>
      <c r="B46" s="408"/>
      <c r="C46" s="408"/>
      <c r="D46" s="408"/>
      <c r="I46" s="205">
        <v>2.5</v>
      </c>
      <c r="J46" s="408">
        <v>3455349</v>
      </c>
      <c r="K46" s="408">
        <v>5000000</v>
      </c>
    </row>
    <row r="47" spans="1:11" s="205" customFormat="1" x14ac:dyDescent="0.2">
      <c r="A47" s="203" t="s">
        <v>146</v>
      </c>
      <c r="B47" s="408"/>
      <c r="C47" s="408"/>
      <c r="D47" s="408"/>
      <c r="G47" s="410">
        <f>G45-C52</f>
        <v>-51099076.333333254</v>
      </c>
      <c r="I47" s="205">
        <v>2.6</v>
      </c>
      <c r="J47" s="408">
        <v>99214264</v>
      </c>
      <c r="K47" s="408">
        <v>70000000</v>
      </c>
    </row>
    <row r="48" spans="1:11" s="205" customFormat="1" x14ac:dyDescent="0.2">
      <c r="A48" s="203" t="s">
        <v>120</v>
      </c>
      <c r="B48" s="408">
        <v>96969840</v>
      </c>
      <c r="C48" s="408">
        <v>180198560</v>
      </c>
      <c r="D48" s="408">
        <v>366765893</v>
      </c>
      <c r="I48" s="207">
        <v>2.8</v>
      </c>
      <c r="J48" s="408">
        <v>5416734</v>
      </c>
      <c r="K48" s="408">
        <v>4420889</v>
      </c>
    </row>
    <row r="49" spans="1:7" s="205" customFormat="1" x14ac:dyDescent="0.2">
      <c r="A49" s="203" t="s">
        <v>121</v>
      </c>
      <c r="B49" s="408"/>
      <c r="C49" s="408"/>
      <c r="D49" s="408"/>
      <c r="G49" s="410">
        <f>C31-90000000</f>
        <v>261198560</v>
      </c>
    </row>
    <row r="50" spans="1:7" s="205" customFormat="1" x14ac:dyDescent="0.2">
      <c r="A50" s="206" t="s">
        <v>96</v>
      </c>
      <c r="B50" s="206"/>
      <c r="C50" s="206"/>
      <c r="D50" s="206"/>
    </row>
    <row r="51" spans="1:7" s="205" customFormat="1" x14ac:dyDescent="0.2">
      <c r="A51" s="203" t="s">
        <v>122</v>
      </c>
      <c r="B51" s="408">
        <v>5489788</v>
      </c>
      <c r="C51" s="408">
        <v>8604290</v>
      </c>
      <c r="D51" s="408">
        <v>6730994</v>
      </c>
    </row>
    <row r="52" spans="1:7" s="209" customFormat="1" ht="18" customHeight="1" x14ac:dyDescent="0.2">
      <c r="A52" s="379" t="s">
        <v>334</v>
      </c>
      <c r="B52" s="409">
        <f t="shared" ref="B52" si="4">SUM(B39:B51)</f>
        <v>1162299087</v>
      </c>
      <c r="C52" s="409">
        <f>SUM(C39:C51)</f>
        <v>1231102070</v>
      </c>
      <c r="D52" s="409">
        <f t="shared" ref="D52" si="5">SUM(D39:D51)</f>
        <v>1308906417</v>
      </c>
    </row>
    <row r="53" spans="1:7" x14ac:dyDescent="0.2">
      <c r="A53" s="380"/>
    </row>
    <row r="54" spans="1:7" x14ac:dyDescent="0.2">
      <c r="A54" s="381"/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&amp;C&amp;"Arial,Negrita"&amp;18PROYECTO DE PRESUPUESTO 2022
</oddHeader>
    <oddFooter>&amp;L&amp;"Arial,Negrita"&amp;8PROYECTO DE PRESUPUESTO PARA EL AÑO FISCAL 2022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3" tint="0.59999389629810485"/>
  </sheetPr>
  <dimension ref="A1:W23"/>
  <sheetViews>
    <sheetView topLeftCell="A5" zoomScaleNormal="100" zoomScaleSheetLayoutView="100" workbookViewId="0">
      <selection sqref="A1:R22"/>
    </sheetView>
  </sheetViews>
  <sheetFormatPr baseColWidth="10" defaultColWidth="11.28515625" defaultRowHeight="11.25" x14ac:dyDescent="0.2"/>
  <cols>
    <col min="1" max="1" width="25.5703125" style="171" customWidth="1"/>
    <col min="2" max="2" width="37" style="171" customWidth="1"/>
    <col min="3" max="3" width="3" style="171" customWidth="1"/>
    <col min="4" max="4" width="9.85546875" style="171" customWidth="1"/>
    <col min="5" max="5" width="9" style="171" customWidth="1"/>
    <col min="6" max="6" width="9.7109375" style="171" customWidth="1"/>
    <col min="7" max="7" width="5" style="171" customWidth="1"/>
    <col min="8" max="8" width="7" style="171" customWidth="1"/>
    <col min="9" max="10" width="5" style="171" customWidth="1"/>
    <col min="11" max="11" width="3.140625" style="171" customWidth="1"/>
    <col min="12" max="12" width="9.5703125" style="171" customWidth="1"/>
    <col min="13" max="14" width="5" style="171" customWidth="1"/>
    <col min="15" max="15" width="8" style="171" bestFit="1" customWidth="1"/>
    <col min="16" max="16" width="5" style="171" customWidth="1"/>
    <col min="17" max="17" width="10.85546875" style="171" customWidth="1"/>
    <col min="18" max="18" width="6.28515625" style="171" customWidth="1"/>
    <col min="19" max="16384" width="11.28515625" style="171"/>
  </cols>
  <sheetData>
    <row r="1" spans="1:23" s="170" customFormat="1" x14ac:dyDescent="0.2">
      <c r="A1" s="162" t="s">
        <v>397</v>
      </c>
      <c r="B1" s="162"/>
      <c r="C1" s="269"/>
      <c r="D1" s="269"/>
      <c r="E1" s="269"/>
      <c r="F1" s="269"/>
      <c r="G1" s="269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23" s="170" customFormat="1" ht="12" thickBot="1" x14ac:dyDescent="0.25">
      <c r="A2" s="162" t="s">
        <v>569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9"/>
      <c r="T2" s="169"/>
      <c r="U2" s="169"/>
      <c r="V2" s="169"/>
      <c r="W2" s="169"/>
    </row>
    <row r="3" spans="1:23" s="174" customFormat="1" ht="28.35" customHeight="1" thickBot="1" x14ac:dyDescent="0.25">
      <c r="A3" s="555" t="s">
        <v>301</v>
      </c>
      <c r="B3" s="555" t="s">
        <v>286</v>
      </c>
      <c r="C3" s="557" t="s">
        <v>123</v>
      </c>
      <c r="D3" s="558"/>
      <c r="E3" s="558"/>
      <c r="F3" s="558"/>
      <c r="G3" s="558"/>
      <c r="H3" s="558"/>
      <c r="I3" s="559"/>
      <c r="J3" s="557" t="s">
        <v>111</v>
      </c>
      <c r="K3" s="558"/>
      <c r="L3" s="558"/>
      <c r="M3" s="558"/>
      <c r="N3" s="559"/>
      <c r="O3" s="557" t="s">
        <v>96</v>
      </c>
      <c r="P3" s="559"/>
      <c r="Q3" s="557" t="s">
        <v>0</v>
      </c>
      <c r="R3" s="559"/>
    </row>
    <row r="4" spans="1:23" s="175" customFormat="1" ht="109.5" customHeight="1" thickBot="1" x14ac:dyDescent="0.25">
      <c r="A4" s="556"/>
      <c r="B4" s="556"/>
      <c r="C4" s="271" t="s">
        <v>112</v>
      </c>
      <c r="D4" s="272" t="s">
        <v>113</v>
      </c>
      <c r="E4" s="272" t="s">
        <v>114</v>
      </c>
      <c r="F4" s="272" t="s">
        <v>115</v>
      </c>
      <c r="G4" s="272" t="s">
        <v>116</v>
      </c>
      <c r="H4" s="272" t="s">
        <v>117</v>
      </c>
      <c r="I4" s="273" t="s">
        <v>108</v>
      </c>
      <c r="J4" s="271" t="s">
        <v>118</v>
      </c>
      <c r="K4" s="272" t="s">
        <v>119</v>
      </c>
      <c r="L4" s="272" t="s">
        <v>120</v>
      </c>
      <c r="M4" s="272" t="s">
        <v>121</v>
      </c>
      <c r="N4" s="273" t="s">
        <v>109</v>
      </c>
      <c r="O4" s="271" t="s">
        <v>122</v>
      </c>
      <c r="P4" s="273" t="s">
        <v>110</v>
      </c>
      <c r="Q4" s="274" t="s">
        <v>147</v>
      </c>
      <c r="R4" s="275" t="s">
        <v>94</v>
      </c>
    </row>
    <row r="5" spans="1:23" ht="12.75" x14ac:dyDescent="0.2">
      <c r="A5" s="276" t="s">
        <v>568</v>
      </c>
      <c r="B5" s="276" t="s">
        <v>551</v>
      </c>
      <c r="C5" s="277"/>
      <c r="D5" s="418">
        <v>9247440</v>
      </c>
      <c r="E5" s="418">
        <v>3160874</v>
      </c>
      <c r="F5" s="418">
        <v>29324236</v>
      </c>
      <c r="G5" s="278"/>
      <c r="H5" s="418"/>
      <c r="I5" s="279"/>
      <c r="J5" s="277"/>
      <c r="K5" s="278"/>
      <c r="L5" s="418">
        <v>174534702</v>
      </c>
      <c r="M5" s="419"/>
      <c r="N5" s="420"/>
      <c r="O5" s="417">
        <v>6730994</v>
      </c>
      <c r="P5" s="279"/>
      <c r="Q5" s="422">
        <f>SUM(D5:O5)</f>
        <v>222998246</v>
      </c>
      <c r="R5" s="423">
        <f>Q5/$Q$22</f>
        <v>0.17036989283856493</v>
      </c>
    </row>
    <row r="6" spans="1:23" ht="12.75" x14ac:dyDescent="0.2">
      <c r="A6" s="280" t="s">
        <v>568</v>
      </c>
      <c r="B6" s="280" t="s">
        <v>552</v>
      </c>
      <c r="C6" s="281"/>
      <c r="D6" s="417"/>
      <c r="E6" s="417"/>
      <c r="F6" s="417"/>
      <c r="G6" s="282"/>
      <c r="H6" s="417"/>
      <c r="I6" s="283"/>
      <c r="J6" s="281"/>
      <c r="K6" s="282"/>
      <c r="L6" s="417">
        <v>172531271</v>
      </c>
      <c r="M6" s="290"/>
      <c r="N6" s="291"/>
      <c r="O6" s="289"/>
      <c r="P6" s="283"/>
      <c r="Q6" s="422">
        <f t="shared" ref="Q6:Q21" si="0">SUM(D6:O6)</f>
        <v>172531271</v>
      </c>
      <c r="R6" s="423">
        <f t="shared" ref="R6:R21" si="1">Q6/$Q$22</f>
        <v>0.13181329754302823</v>
      </c>
    </row>
    <row r="7" spans="1:23" s="211" customFormat="1" ht="12.75" x14ac:dyDescent="0.2">
      <c r="A7" s="280" t="s">
        <v>568</v>
      </c>
      <c r="B7" s="280" t="s">
        <v>553</v>
      </c>
      <c r="C7" s="281"/>
      <c r="D7" s="417">
        <v>3489413</v>
      </c>
      <c r="E7" s="417">
        <v>5147818</v>
      </c>
      <c r="F7" s="417">
        <v>970120</v>
      </c>
      <c r="G7" s="282"/>
      <c r="H7" s="417"/>
      <c r="I7" s="283"/>
      <c r="J7" s="281"/>
      <c r="K7" s="282"/>
      <c r="L7" s="417">
        <v>18000000</v>
      </c>
      <c r="M7" s="290"/>
      <c r="N7" s="291"/>
      <c r="O7" s="289"/>
      <c r="P7" s="283"/>
      <c r="Q7" s="422">
        <f t="shared" si="0"/>
        <v>27607351</v>
      </c>
      <c r="R7" s="423">
        <f t="shared" si="1"/>
        <v>2.1091921195768727E-2</v>
      </c>
    </row>
    <row r="8" spans="1:23" s="211" customFormat="1" ht="12.75" x14ac:dyDescent="0.2">
      <c r="A8" s="280" t="s">
        <v>568</v>
      </c>
      <c r="B8" s="280" t="s">
        <v>554</v>
      </c>
      <c r="C8" s="281"/>
      <c r="D8" s="417">
        <v>3104929</v>
      </c>
      <c r="E8" s="417">
        <v>1211516</v>
      </c>
      <c r="F8" s="417">
        <v>14373409</v>
      </c>
      <c r="G8" s="282"/>
      <c r="H8" s="417"/>
      <c r="I8" s="283"/>
      <c r="J8" s="281"/>
      <c r="K8" s="282"/>
      <c r="L8" s="417"/>
      <c r="M8" s="290"/>
      <c r="N8" s="291"/>
      <c r="O8" s="289"/>
      <c r="P8" s="283"/>
      <c r="Q8" s="422">
        <f t="shared" si="0"/>
        <v>18689854</v>
      </c>
      <c r="R8" s="423">
        <f t="shared" si="1"/>
        <v>1.4278984163617253E-2</v>
      </c>
    </row>
    <row r="9" spans="1:23" s="211" customFormat="1" ht="12.75" x14ac:dyDescent="0.2">
      <c r="A9" s="280" t="s">
        <v>568</v>
      </c>
      <c r="B9" s="280" t="s">
        <v>555</v>
      </c>
      <c r="C9" s="281"/>
      <c r="D9" s="417">
        <v>205189002</v>
      </c>
      <c r="E9" s="417">
        <v>46111989</v>
      </c>
      <c r="F9" s="417">
        <v>8286820</v>
      </c>
      <c r="G9" s="282"/>
      <c r="H9" s="417"/>
      <c r="I9" s="283"/>
      <c r="J9" s="281"/>
      <c r="K9" s="282"/>
      <c r="L9" s="417">
        <v>231120</v>
      </c>
      <c r="M9" s="290"/>
      <c r="N9" s="291"/>
      <c r="O9" s="289"/>
      <c r="P9" s="283"/>
      <c r="Q9" s="422">
        <f t="shared" si="0"/>
        <v>259818931</v>
      </c>
      <c r="R9" s="423">
        <f t="shared" si="1"/>
        <v>0.19850076951681719</v>
      </c>
    </row>
    <row r="10" spans="1:23" s="211" customFormat="1" ht="12.75" x14ac:dyDescent="0.2">
      <c r="A10" s="280" t="s">
        <v>568</v>
      </c>
      <c r="B10" s="280" t="s">
        <v>556</v>
      </c>
      <c r="C10" s="281"/>
      <c r="D10" s="417">
        <v>117057091</v>
      </c>
      <c r="E10" s="417">
        <v>18283202</v>
      </c>
      <c r="F10" s="417">
        <v>4322092</v>
      </c>
      <c r="G10" s="282"/>
      <c r="H10" s="417"/>
      <c r="I10" s="283"/>
      <c r="J10" s="281"/>
      <c r="K10" s="282"/>
      <c r="L10" s="417"/>
      <c r="M10" s="290"/>
      <c r="N10" s="291"/>
      <c r="O10" s="289"/>
      <c r="P10" s="283"/>
      <c r="Q10" s="422">
        <f t="shared" si="0"/>
        <v>139662385</v>
      </c>
      <c r="R10" s="423">
        <f t="shared" si="1"/>
        <v>0.10670158170673863</v>
      </c>
    </row>
    <row r="11" spans="1:23" s="211" customFormat="1" ht="12.75" x14ac:dyDescent="0.2">
      <c r="A11" s="280" t="s">
        <v>568</v>
      </c>
      <c r="B11" s="280" t="s">
        <v>557</v>
      </c>
      <c r="C11" s="281"/>
      <c r="D11" s="417">
        <v>43464846</v>
      </c>
      <c r="E11" s="417">
        <v>4183910</v>
      </c>
      <c r="F11" s="417">
        <v>1915521</v>
      </c>
      <c r="G11" s="282"/>
      <c r="H11" s="417"/>
      <c r="I11" s="283"/>
      <c r="J11" s="281"/>
      <c r="K11" s="282"/>
      <c r="L11" s="417"/>
      <c r="M11" s="290"/>
      <c r="N11" s="291"/>
      <c r="O11" s="289"/>
      <c r="P11" s="283"/>
      <c r="Q11" s="422">
        <f t="shared" si="0"/>
        <v>49564277</v>
      </c>
      <c r="R11" s="423">
        <f t="shared" si="1"/>
        <v>3.7866937128783286E-2</v>
      </c>
    </row>
    <row r="12" spans="1:23" s="211" customFormat="1" ht="12.75" x14ac:dyDescent="0.2">
      <c r="A12" s="280" t="s">
        <v>568</v>
      </c>
      <c r="B12" s="280" t="s">
        <v>558</v>
      </c>
      <c r="C12" s="281"/>
      <c r="D12" s="417">
        <v>68408743</v>
      </c>
      <c r="E12" s="417">
        <v>5869651</v>
      </c>
      <c r="F12" s="417">
        <v>2964093</v>
      </c>
      <c r="G12" s="282"/>
      <c r="H12" s="417"/>
      <c r="I12" s="283"/>
      <c r="J12" s="281"/>
      <c r="K12" s="282"/>
      <c r="L12" s="417"/>
      <c r="M12" s="290"/>
      <c r="N12" s="291"/>
      <c r="O12" s="289"/>
      <c r="P12" s="283"/>
      <c r="Q12" s="422">
        <f t="shared" si="0"/>
        <v>77242487</v>
      </c>
      <c r="R12" s="423">
        <f t="shared" si="1"/>
        <v>5.9012994356799763E-2</v>
      </c>
    </row>
    <row r="13" spans="1:23" s="211" customFormat="1" ht="12.75" x14ac:dyDescent="0.2">
      <c r="A13" s="280" t="s">
        <v>568</v>
      </c>
      <c r="B13" s="280" t="s">
        <v>559</v>
      </c>
      <c r="C13" s="281"/>
      <c r="D13" s="417">
        <v>18724920</v>
      </c>
      <c r="E13" s="417">
        <v>1124430</v>
      </c>
      <c r="F13" s="417">
        <v>968505</v>
      </c>
      <c r="G13" s="282"/>
      <c r="H13" s="417"/>
      <c r="I13" s="283"/>
      <c r="J13" s="281"/>
      <c r="K13" s="282"/>
      <c r="L13" s="417"/>
      <c r="M13" s="290"/>
      <c r="N13" s="291"/>
      <c r="O13" s="289"/>
      <c r="P13" s="283"/>
      <c r="Q13" s="422">
        <f t="shared" si="0"/>
        <v>20817855</v>
      </c>
      <c r="R13" s="423">
        <f t="shared" si="1"/>
        <v>1.5904769607375222E-2</v>
      </c>
    </row>
    <row r="14" spans="1:23" s="211" customFormat="1" ht="12.75" x14ac:dyDescent="0.2">
      <c r="A14" s="280" t="s">
        <v>568</v>
      </c>
      <c r="B14" s="280" t="s">
        <v>560</v>
      </c>
      <c r="C14" s="281"/>
      <c r="D14" s="417">
        <v>13112137</v>
      </c>
      <c r="E14" s="417">
        <v>4985507</v>
      </c>
      <c r="F14" s="417">
        <v>5767861</v>
      </c>
      <c r="G14" s="282"/>
      <c r="H14" s="417"/>
      <c r="I14" s="283"/>
      <c r="J14" s="281"/>
      <c r="K14" s="282"/>
      <c r="L14" s="417">
        <v>1468800</v>
      </c>
      <c r="M14" s="290"/>
      <c r="N14" s="291"/>
      <c r="O14" s="289"/>
      <c r="P14" s="283"/>
      <c r="Q14" s="422">
        <f t="shared" si="0"/>
        <v>25334305</v>
      </c>
      <c r="R14" s="423">
        <f t="shared" si="1"/>
        <v>1.9355321870960007E-2</v>
      </c>
    </row>
    <row r="15" spans="1:23" s="211" customFormat="1" ht="12.75" x14ac:dyDescent="0.2">
      <c r="A15" s="280" t="s">
        <v>568</v>
      </c>
      <c r="B15" s="280" t="s">
        <v>561</v>
      </c>
      <c r="C15" s="281"/>
      <c r="D15" s="417">
        <v>36039993</v>
      </c>
      <c r="E15" s="417">
        <v>1600275</v>
      </c>
      <c r="F15" s="417">
        <v>20056824</v>
      </c>
      <c r="G15" s="282"/>
      <c r="H15" s="417">
        <v>160534</v>
      </c>
      <c r="I15" s="283"/>
      <c r="J15" s="281"/>
      <c r="K15" s="282"/>
      <c r="L15" s="282"/>
      <c r="M15" s="282"/>
      <c r="N15" s="283"/>
      <c r="O15" s="281"/>
      <c r="P15" s="283"/>
      <c r="Q15" s="422">
        <f t="shared" si="0"/>
        <v>57857626</v>
      </c>
      <c r="R15" s="423">
        <f t="shared" si="1"/>
        <v>4.4203027235980005E-2</v>
      </c>
    </row>
    <row r="16" spans="1:23" s="211" customFormat="1" ht="12.75" x14ac:dyDescent="0.2">
      <c r="A16" s="280" t="s">
        <v>568</v>
      </c>
      <c r="B16" s="280" t="s">
        <v>562</v>
      </c>
      <c r="C16" s="281"/>
      <c r="D16" s="417">
        <v>15881369</v>
      </c>
      <c r="E16" s="417">
        <v>290775</v>
      </c>
      <c r="F16" s="417">
        <v>13397549</v>
      </c>
      <c r="G16" s="282"/>
      <c r="H16" s="417"/>
      <c r="I16" s="283"/>
      <c r="J16" s="281"/>
      <c r="K16" s="282"/>
      <c r="L16" s="282"/>
      <c r="M16" s="282"/>
      <c r="N16" s="283"/>
      <c r="O16" s="281"/>
      <c r="P16" s="283"/>
      <c r="Q16" s="422">
        <f t="shared" si="0"/>
        <v>29569693</v>
      </c>
      <c r="R16" s="423">
        <f t="shared" si="1"/>
        <v>2.2591143733387321E-2</v>
      </c>
    </row>
    <row r="17" spans="1:18" ht="12.75" x14ac:dyDescent="0.2">
      <c r="A17" s="280" t="s">
        <v>568</v>
      </c>
      <c r="B17" s="280" t="s">
        <v>563</v>
      </c>
      <c r="C17" s="284"/>
      <c r="D17" s="417">
        <v>50386184</v>
      </c>
      <c r="E17" s="417">
        <v>2683099</v>
      </c>
      <c r="F17" s="417">
        <v>17698918</v>
      </c>
      <c r="G17" s="286"/>
      <c r="H17" s="416"/>
      <c r="I17" s="287"/>
      <c r="J17" s="284"/>
      <c r="K17" s="285"/>
      <c r="L17" s="285"/>
      <c r="M17" s="285"/>
      <c r="N17" s="287"/>
      <c r="O17" s="284"/>
      <c r="P17" s="288"/>
      <c r="Q17" s="422">
        <f t="shared" si="0"/>
        <v>70768201</v>
      </c>
      <c r="R17" s="423">
        <f t="shared" si="1"/>
        <v>5.4066662124095922E-2</v>
      </c>
    </row>
    <row r="18" spans="1:18" ht="12.75" x14ac:dyDescent="0.2">
      <c r="A18" s="280" t="s">
        <v>568</v>
      </c>
      <c r="B18" s="280" t="s">
        <v>564</v>
      </c>
      <c r="C18" s="284"/>
      <c r="D18" s="417">
        <v>32993761</v>
      </c>
      <c r="E18" s="417">
        <v>1135145</v>
      </c>
      <c r="F18" s="417">
        <v>10309472</v>
      </c>
      <c r="G18" s="286"/>
      <c r="H18" s="416">
        <v>9086</v>
      </c>
      <c r="I18" s="287"/>
      <c r="J18" s="284"/>
      <c r="K18" s="285"/>
      <c r="L18" s="285"/>
      <c r="M18" s="285"/>
      <c r="N18" s="287"/>
      <c r="O18" s="284"/>
      <c r="P18" s="288"/>
      <c r="Q18" s="422">
        <f t="shared" si="0"/>
        <v>44447464</v>
      </c>
      <c r="R18" s="423">
        <f t="shared" si="1"/>
        <v>3.3957709598424257E-2</v>
      </c>
    </row>
    <row r="19" spans="1:18" ht="12.75" x14ac:dyDescent="0.2">
      <c r="A19" s="280" t="s">
        <v>568</v>
      </c>
      <c r="B19" s="280" t="s">
        <v>565</v>
      </c>
      <c r="C19" s="281"/>
      <c r="D19" s="417">
        <v>29153599</v>
      </c>
      <c r="E19" s="417">
        <v>952264</v>
      </c>
      <c r="F19" s="417">
        <v>6706085</v>
      </c>
      <c r="G19" s="282"/>
      <c r="H19" s="417"/>
      <c r="I19" s="283"/>
      <c r="J19" s="281"/>
      <c r="K19" s="282"/>
      <c r="L19" s="282"/>
      <c r="M19" s="282"/>
      <c r="N19" s="283"/>
      <c r="O19" s="281"/>
      <c r="P19" s="283"/>
      <c r="Q19" s="422">
        <f t="shared" si="0"/>
        <v>36811948</v>
      </c>
      <c r="R19" s="423">
        <f t="shared" si="1"/>
        <v>2.8124201640307184E-2</v>
      </c>
    </row>
    <row r="20" spans="1:18" ht="12.75" x14ac:dyDescent="0.2">
      <c r="A20" s="280" t="s">
        <v>568</v>
      </c>
      <c r="B20" s="280" t="s">
        <v>566</v>
      </c>
      <c r="C20" s="289"/>
      <c r="D20" s="417">
        <v>35118396</v>
      </c>
      <c r="E20" s="417">
        <v>261211</v>
      </c>
      <c r="F20" s="417">
        <v>9018397</v>
      </c>
      <c r="G20" s="290"/>
      <c r="H20" s="417">
        <v>375900</v>
      </c>
      <c r="I20" s="291"/>
      <c r="J20" s="289"/>
      <c r="K20" s="290"/>
      <c r="L20" s="290"/>
      <c r="M20" s="290"/>
      <c r="N20" s="291"/>
      <c r="O20" s="289"/>
      <c r="P20" s="291"/>
      <c r="Q20" s="422">
        <f t="shared" si="0"/>
        <v>44773904</v>
      </c>
      <c r="R20" s="423">
        <f t="shared" si="1"/>
        <v>3.4207108635483145E-2</v>
      </c>
    </row>
    <row r="21" spans="1:18" ht="13.5" thickBot="1" x14ac:dyDescent="0.25">
      <c r="A21" s="280" t="s">
        <v>568</v>
      </c>
      <c r="B21" s="280" t="s">
        <v>567</v>
      </c>
      <c r="C21" s="289"/>
      <c r="D21" s="417">
        <v>7848658</v>
      </c>
      <c r="E21" s="417">
        <v>212949</v>
      </c>
      <c r="F21" s="417">
        <v>2349012</v>
      </c>
      <c r="G21" s="290"/>
      <c r="H21" s="417"/>
      <c r="I21" s="291"/>
      <c r="J21" s="289"/>
      <c r="K21" s="290"/>
      <c r="L21" s="290"/>
      <c r="M21" s="290"/>
      <c r="N21" s="292"/>
      <c r="O21" s="293"/>
      <c r="P21" s="291"/>
      <c r="Q21" s="422">
        <f t="shared" si="0"/>
        <v>10410619</v>
      </c>
      <c r="R21" s="423">
        <f t="shared" si="1"/>
        <v>7.9536771038689162E-3</v>
      </c>
    </row>
    <row r="22" spans="1:18" ht="12" thickBot="1" x14ac:dyDescent="0.25">
      <c r="A22" s="294" t="s">
        <v>87</v>
      </c>
      <c r="B22" s="294" t="s">
        <v>87</v>
      </c>
      <c r="C22" s="295"/>
      <c r="D22" s="421">
        <f>SUM(D5:D21)</f>
        <v>689220481</v>
      </c>
      <c r="E22" s="421">
        <f t="shared" ref="E22:H22" si="2">SUM(E5:E21)</f>
        <v>97214615</v>
      </c>
      <c r="F22" s="421">
        <f t="shared" si="2"/>
        <v>148428914</v>
      </c>
      <c r="G22" s="421"/>
      <c r="H22" s="421">
        <f t="shared" si="2"/>
        <v>545520</v>
      </c>
      <c r="I22" s="297"/>
      <c r="J22" s="295"/>
      <c r="K22" s="296"/>
      <c r="L22" s="421">
        <f t="shared" ref="L22" si="3">SUM(L5:L21)</f>
        <v>366765893</v>
      </c>
      <c r="M22" s="296"/>
      <c r="N22" s="297"/>
      <c r="O22" s="421">
        <f t="shared" ref="O22:Q22" si="4">SUM(O5:O21)</f>
        <v>6730994</v>
      </c>
      <c r="P22" s="297"/>
      <c r="Q22" s="421">
        <f t="shared" si="4"/>
        <v>1308906417</v>
      </c>
      <c r="R22" s="424">
        <v>1</v>
      </c>
    </row>
    <row r="23" spans="1:18" x14ac:dyDescent="0.2">
      <c r="A23" s="176"/>
      <c r="B23" s="176"/>
      <c r="C23" s="177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</row>
  </sheetData>
  <mergeCells count="6">
    <mergeCell ref="A3:A4"/>
    <mergeCell ref="J3:N3"/>
    <mergeCell ref="O3:P3"/>
    <mergeCell ref="Q3:R3"/>
    <mergeCell ref="C3:I3"/>
    <mergeCell ref="B3:B4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80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I99"/>
  <sheetViews>
    <sheetView topLeftCell="A82" zoomScaleNormal="100" workbookViewId="0">
      <selection sqref="A1:D99"/>
    </sheetView>
  </sheetViews>
  <sheetFormatPr baseColWidth="10" defaultColWidth="11.28515625" defaultRowHeight="12.75" x14ac:dyDescent="0.2"/>
  <cols>
    <col min="1" max="1" width="77.7109375" customWidth="1"/>
    <col min="2" max="3" width="11.140625" customWidth="1"/>
    <col min="4" max="4" width="11.85546875" customWidth="1"/>
  </cols>
  <sheetData>
    <row r="1" spans="1:9" x14ac:dyDescent="0.2">
      <c r="A1" s="162" t="s">
        <v>398</v>
      </c>
    </row>
    <row r="2" spans="1:9" x14ac:dyDescent="0.2">
      <c r="A2" s="164" t="s">
        <v>570</v>
      </c>
    </row>
    <row r="3" spans="1:9" s="201" customFormat="1" ht="28.35" customHeight="1" x14ac:dyDescent="0.2">
      <c r="A3" s="212" t="s">
        <v>344</v>
      </c>
      <c r="B3" s="213">
        <v>2020</v>
      </c>
      <c r="C3" s="213">
        <v>2021</v>
      </c>
      <c r="D3" s="213">
        <v>2022</v>
      </c>
    </row>
    <row r="4" spans="1:9" x14ac:dyDescent="0.2">
      <c r="A4" s="489" t="s">
        <v>616</v>
      </c>
      <c r="B4" s="487">
        <v>33789482</v>
      </c>
      <c r="C4" s="487">
        <v>33966561</v>
      </c>
      <c r="D4" s="487">
        <v>12583441</v>
      </c>
      <c r="F4" t="s">
        <v>628</v>
      </c>
      <c r="G4" t="s">
        <v>622</v>
      </c>
      <c r="H4" t="s">
        <v>623</v>
      </c>
      <c r="I4" t="s">
        <v>624</v>
      </c>
    </row>
    <row r="5" spans="1:9" x14ac:dyDescent="0.2">
      <c r="A5" s="489" t="s">
        <v>617</v>
      </c>
      <c r="B5" s="408">
        <v>27989503</v>
      </c>
      <c r="C5" s="408">
        <v>30092536</v>
      </c>
      <c r="D5" s="487">
        <v>30626303</v>
      </c>
    </row>
    <row r="6" spans="1:9" x14ac:dyDescent="0.2">
      <c r="A6" s="489" t="s">
        <v>618</v>
      </c>
      <c r="B6" s="408">
        <v>27427588</v>
      </c>
      <c r="C6" s="408">
        <v>26086492</v>
      </c>
      <c r="D6" s="487">
        <v>27132550</v>
      </c>
      <c r="F6" t="s">
        <v>616</v>
      </c>
      <c r="G6">
        <v>33966561</v>
      </c>
      <c r="H6">
        <v>39198060</v>
      </c>
      <c r="I6">
        <v>29334063</v>
      </c>
    </row>
    <row r="7" spans="1:9" x14ac:dyDescent="0.2">
      <c r="A7" s="489" t="s">
        <v>619</v>
      </c>
      <c r="B7" s="408">
        <v>3319717</v>
      </c>
      <c r="C7" s="408">
        <v>3409078</v>
      </c>
      <c r="D7" s="487">
        <v>4358462</v>
      </c>
      <c r="F7" t="s">
        <v>617</v>
      </c>
      <c r="G7">
        <v>30092536</v>
      </c>
      <c r="H7">
        <v>33114509</v>
      </c>
      <c r="I7">
        <v>24898749</v>
      </c>
    </row>
    <row r="8" spans="1:9" x14ac:dyDescent="0.2">
      <c r="A8" s="489" t="s">
        <v>620</v>
      </c>
      <c r="B8" s="408">
        <v>16922133</v>
      </c>
      <c r="C8" s="408">
        <v>17295454</v>
      </c>
      <c r="D8" s="487">
        <v>17928237</v>
      </c>
      <c r="F8" t="s">
        <v>618</v>
      </c>
      <c r="G8">
        <v>26086492</v>
      </c>
      <c r="H8">
        <v>27224024</v>
      </c>
      <c r="I8">
        <v>20157975</v>
      </c>
    </row>
    <row r="9" spans="1:9" x14ac:dyDescent="0.2">
      <c r="A9" s="489" t="s">
        <v>621</v>
      </c>
      <c r="B9" s="408">
        <v>9285032</v>
      </c>
      <c r="C9" s="408">
        <v>9600338</v>
      </c>
      <c r="D9" s="487">
        <v>10252704</v>
      </c>
      <c r="F9" t="s">
        <v>619</v>
      </c>
      <c r="G9">
        <v>3409078</v>
      </c>
      <c r="H9">
        <v>3662299</v>
      </c>
      <c r="I9">
        <v>2656274</v>
      </c>
    </row>
    <row r="10" spans="1:9" x14ac:dyDescent="0.2">
      <c r="A10" s="489" t="s">
        <v>593</v>
      </c>
      <c r="B10" s="408">
        <v>240059</v>
      </c>
      <c r="C10" s="408">
        <v>215881</v>
      </c>
      <c r="D10" s="487">
        <v>202190</v>
      </c>
      <c r="F10" t="s">
        <v>620</v>
      </c>
      <c r="G10">
        <v>17295454</v>
      </c>
      <c r="H10">
        <v>19952824</v>
      </c>
      <c r="I10">
        <v>15121147</v>
      </c>
    </row>
    <row r="11" spans="1:9" x14ac:dyDescent="0.2">
      <c r="A11" s="489" t="s">
        <v>594</v>
      </c>
      <c r="B11" s="408">
        <v>246221</v>
      </c>
      <c r="C11" s="408">
        <v>221903</v>
      </c>
      <c r="D11" s="487">
        <v>278163</v>
      </c>
      <c r="F11" t="s">
        <v>621</v>
      </c>
      <c r="G11">
        <v>9600338</v>
      </c>
      <c r="H11">
        <v>11408461</v>
      </c>
      <c r="I11">
        <v>8571338</v>
      </c>
    </row>
    <row r="12" spans="1:9" x14ac:dyDescent="0.2">
      <c r="A12" s="489" t="s">
        <v>595</v>
      </c>
      <c r="B12" s="408">
        <v>338071</v>
      </c>
      <c r="C12" s="408">
        <v>313076</v>
      </c>
      <c r="D12" s="487">
        <v>306290</v>
      </c>
      <c r="F12" t="s">
        <v>593</v>
      </c>
      <c r="G12">
        <v>215881</v>
      </c>
      <c r="H12">
        <v>241472</v>
      </c>
      <c r="I12">
        <v>184859</v>
      </c>
    </row>
    <row r="13" spans="1:9" ht="13.5" customHeight="1" x14ac:dyDescent="0.2">
      <c r="A13" s="489" t="s">
        <v>596</v>
      </c>
      <c r="B13" s="408">
        <v>20010546</v>
      </c>
      <c r="C13" s="408">
        <v>56273552</v>
      </c>
      <c r="D13" s="487">
        <v>51316434</v>
      </c>
      <c r="F13" t="s">
        <v>594</v>
      </c>
      <c r="G13">
        <v>221903</v>
      </c>
      <c r="H13">
        <v>240847</v>
      </c>
      <c r="I13">
        <v>192651</v>
      </c>
    </row>
    <row r="14" spans="1:9" x14ac:dyDescent="0.2">
      <c r="A14" s="489" t="s">
        <v>597</v>
      </c>
      <c r="B14" s="408">
        <v>682552</v>
      </c>
      <c r="C14" s="408">
        <v>662005</v>
      </c>
      <c r="D14" s="487">
        <v>991641</v>
      </c>
      <c r="F14" t="s">
        <v>595</v>
      </c>
      <c r="G14">
        <v>313076</v>
      </c>
      <c r="H14">
        <v>358186</v>
      </c>
      <c r="I14">
        <v>267901</v>
      </c>
    </row>
    <row r="15" spans="1:9" x14ac:dyDescent="0.2">
      <c r="A15" s="489" t="s">
        <v>598</v>
      </c>
      <c r="B15" s="408">
        <v>158298491</v>
      </c>
      <c r="C15" s="408">
        <v>149086419</v>
      </c>
      <c r="D15" s="487">
        <v>134720654</v>
      </c>
      <c r="F15" t="s">
        <v>596</v>
      </c>
      <c r="G15">
        <v>56273552</v>
      </c>
      <c r="H15">
        <v>63022975</v>
      </c>
      <c r="I15">
        <v>9383812</v>
      </c>
    </row>
    <row r="16" spans="1:9" x14ac:dyDescent="0.2">
      <c r="A16" s="489" t="s">
        <v>599</v>
      </c>
      <c r="B16" s="204"/>
      <c r="C16" s="204"/>
      <c r="D16" s="487"/>
      <c r="F16" t="s">
        <v>597</v>
      </c>
      <c r="G16">
        <v>662005</v>
      </c>
      <c r="H16">
        <v>655005</v>
      </c>
      <c r="I16">
        <v>349129</v>
      </c>
    </row>
    <row r="17" spans="1:9" x14ac:dyDescent="0.2">
      <c r="A17" s="489" t="s">
        <v>600</v>
      </c>
      <c r="B17" s="408">
        <v>429205</v>
      </c>
      <c r="C17" s="408">
        <v>227224</v>
      </c>
      <c r="D17" s="487">
        <v>207306</v>
      </c>
      <c r="F17" t="s">
        <v>598</v>
      </c>
      <c r="G17">
        <v>149086419</v>
      </c>
      <c r="H17">
        <v>159535966</v>
      </c>
      <c r="I17">
        <v>26584121</v>
      </c>
    </row>
    <row r="18" spans="1:9" s="205" customFormat="1" x14ac:dyDescent="0.2">
      <c r="A18" s="489" t="s">
        <v>601</v>
      </c>
      <c r="B18" s="408">
        <v>356462082</v>
      </c>
      <c r="C18" s="408">
        <v>402923198</v>
      </c>
      <c r="D18" s="487">
        <v>387506402</v>
      </c>
      <c r="F18" s="205" t="s">
        <v>600</v>
      </c>
      <c r="G18" s="205">
        <v>227224</v>
      </c>
      <c r="H18" s="205">
        <v>1328255</v>
      </c>
      <c r="I18" s="205">
        <v>149560</v>
      </c>
    </row>
    <row r="19" spans="1:9" s="205" customFormat="1" x14ac:dyDescent="0.2">
      <c r="A19" s="489" t="s">
        <v>602</v>
      </c>
      <c r="B19" s="408">
        <v>846551</v>
      </c>
      <c r="C19" s="408">
        <v>690570</v>
      </c>
      <c r="D19" s="487">
        <v>636618</v>
      </c>
      <c r="F19" s="205" t="s">
        <v>601</v>
      </c>
      <c r="G19" s="205">
        <v>402923198</v>
      </c>
      <c r="H19" s="205">
        <v>422316668</v>
      </c>
      <c r="I19" s="205">
        <v>293266359</v>
      </c>
    </row>
    <row r="20" spans="1:9" s="205" customFormat="1" x14ac:dyDescent="0.2">
      <c r="A20" s="489" t="s">
        <v>603</v>
      </c>
      <c r="B20" s="408">
        <v>17109512</v>
      </c>
      <c r="C20" s="408">
        <v>18009625</v>
      </c>
      <c r="D20" s="487">
        <v>18523865</v>
      </c>
      <c r="F20" s="205" t="s">
        <v>602</v>
      </c>
      <c r="G20" s="205">
        <v>690570</v>
      </c>
      <c r="H20" s="205">
        <v>712287</v>
      </c>
      <c r="I20" s="205">
        <v>500765</v>
      </c>
    </row>
    <row r="21" spans="1:9" s="205" customFormat="1" ht="24" x14ac:dyDescent="0.2">
      <c r="A21" s="489" t="s">
        <v>604</v>
      </c>
      <c r="B21" s="408">
        <v>4508365</v>
      </c>
      <c r="C21" s="408">
        <v>5167682</v>
      </c>
      <c r="D21" s="487">
        <v>4855609</v>
      </c>
      <c r="F21" s="205" t="s">
        <v>603</v>
      </c>
      <c r="G21" s="205">
        <v>18009625</v>
      </c>
      <c r="H21" s="205">
        <v>20197057</v>
      </c>
      <c r="I21" s="205">
        <v>15446611</v>
      </c>
    </row>
    <row r="22" spans="1:9" s="205" customFormat="1" ht="24" x14ac:dyDescent="0.2">
      <c r="A22" s="489" t="s">
        <v>605</v>
      </c>
      <c r="B22" s="408">
        <v>5882897</v>
      </c>
      <c r="C22" s="408">
        <v>7381035</v>
      </c>
      <c r="D22" s="487">
        <v>7149788</v>
      </c>
      <c r="F22" s="205" t="s">
        <v>604</v>
      </c>
      <c r="G22" s="205">
        <v>5167682</v>
      </c>
      <c r="H22" s="205">
        <v>5514408</v>
      </c>
      <c r="I22" s="205">
        <v>3935308</v>
      </c>
    </row>
    <row r="23" spans="1:9" s="205" customFormat="1" x14ac:dyDescent="0.2">
      <c r="A23" s="489" t="s">
        <v>606</v>
      </c>
      <c r="B23" s="204"/>
      <c r="C23" s="408">
        <v>196839</v>
      </c>
      <c r="D23" s="487">
        <v>169645</v>
      </c>
      <c r="F23" s="205" t="s">
        <v>605</v>
      </c>
      <c r="G23" s="205">
        <v>7381035</v>
      </c>
      <c r="H23" s="205">
        <v>7602527</v>
      </c>
      <c r="I23" s="205">
        <v>5704896</v>
      </c>
    </row>
    <row r="24" spans="1:9" s="205" customFormat="1" x14ac:dyDescent="0.2">
      <c r="A24" s="489" t="s">
        <v>607</v>
      </c>
      <c r="B24" s="408">
        <v>1204203</v>
      </c>
      <c r="C24" s="408">
        <v>1134924</v>
      </c>
      <c r="D24" s="487">
        <v>1037630</v>
      </c>
      <c r="F24" s="205" t="s">
        <v>606</v>
      </c>
      <c r="G24" s="205">
        <v>196839</v>
      </c>
      <c r="H24" s="205">
        <v>196839</v>
      </c>
      <c r="I24" s="205">
        <v>140314</v>
      </c>
    </row>
    <row r="25" spans="1:9" s="205" customFormat="1" x14ac:dyDescent="0.2">
      <c r="A25" s="489" t="s">
        <v>608</v>
      </c>
      <c r="B25" s="204"/>
      <c r="C25" s="204"/>
      <c r="D25" s="487"/>
      <c r="F25" s="205" t="s">
        <v>607</v>
      </c>
      <c r="G25" s="205">
        <v>1134924</v>
      </c>
      <c r="H25" s="205">
        <v>1285386</v>
      </c>
      <c r="I25" s="205">
        <v>931126</v>
      </c>
    </row>
    <row r="26" spans="1:9" s="205" customFormat="1" ht="24" x14ac:dyDescent="0.2">
      <c r="A26" s="489" t="s">
        <v>609</v>
      </c>
      <c r="B26" s="408">
        <v>1310243</v>
      </c>
      <c r="C26" s="408">
        <v>1343409</v>
      </c>
      <c r="D26" s="487">
        <v>1567328</v>
      </c>
      <c r="F26" s="205" t="s">
        <v>608</v>
      </c>
      <c r="G26" s="205">
        <v>0</v>
      </c>
      <c r="H26" s="205">
        <v>205775</v>
      </c>
      <c r="I26" s="205">
        <v>5000</v>
      </c>
    </row>
    <row r="27" spans="1:9" s="205" customFormat="1" x14ac:dyDescent="0.2">
      <c r="A27" s="489" t="s">
        <v>610</v>
      </c>
      <c r="B27" s="408">
        <v>5902936</v>
      </c>
      <c r="C27" s="408">
        <v>6726693</v>
      </c>
      <c r="D27" s="487">
        <v>6672095</v>
      </c>
      <c r="F27" s="205" t="s">
        <v>609</v>
      </c>
      <c r="G27" s="205">
        <v>1343409</v>
      </c>
      <c r="H27" s="205">
        <v>1340024</v>
      </c>
      <c r="I27" s="205">
        <v>917980</v>
      </c>
    </row>
    <row r="28" spans="1:9" s="205" customFormat="1" x14ac:dyDescent="0.2">
      <c r="A28" s="489" t="s">
        <v>611</v>
      </c>
      <c r="B28" s="408">
        <v>16129118</v>
      </c>
      <c r="C28" s="408">
        <v>614810</v>
      </c>
      <c r="D28" s="487">
        <v>60375373</v>
      </c>
      <c r="F28" s="205" t="s">
        <v>610</v>
      </c>
      <c r="G28" s="205">
        <v>6726693</v>
      </c>
      <c r="H28" s="205">
        <v>8987511</v>
      </c>
      <c r="I28" s="205">
        <v>6432155</v>
      </c>
    </row>
    <row r="29" spans="1:9" s="205" customFormat="1" x14ac:dyDescent="0.2">
      <c r="A29" s="489" t="s">
        <v>612</v>
      </c>
      <c r="B29" s="408">
        <v>303525</v>
      </c>
      <c r="C29" s="408">
        <v>16139074</v>
      </c>
      <c r="D29" s="487">
        <v>22289171</v>
      </c>
      <c r="F29" s="205" t="s">
        <v>611</v>
      </c>
      <c r="G29" s="205">
        <v>614810</v>
      </c>
      <c r="H29" s="205">
        <v>23932587</v>
      </c>
      <c r="I29" s="205">
        <v>15209345</v>
      </c>
    </row>
    <row r="30" spans="1:9" s="205" customFormat="1" ht="24" x14ac:dyDescent="0.2">
      <c r="A30" s="489" t="s">
        <v>613</v>
      </c>
      <c r="B30" s="408">
        <v>1981017</v>
      </c>
      <c r="C30" s="408">
        <v>3434401</v>
      </c>
      <c r="D30" s="487">
        <v>1421204</v>
      </c>
      <c r="F30" s="205" t="s">
        <v>629</v>
      </c>
      <c r="G30" s="205">
        <v>0</v>
      </c>
      <c r="H30" s="205">
        <v>3000</v>
      </c>
      <c r="I30" s="205">
        <v>0</v>
      </c>
    </row>
    <row r="31" spans="1:9" s="205" customFormat="1" x14ac:dyDescent="0.2">
      <c r="A31" s="489" t="s">
        <v>614</v>
      </c>
      <c r="B31" s="408"/>
      <c r="C31" s="408">
        <v>259907</v>
      </c>
      <c r="D31" s="487">
        <v>1534</v>
      </c>
      <c r="F31" s="205" t="s">
        <v>612</v>
      </c>
      <c r="G31" s="205">
        <v>16139074</v>
      </c>
      <c r="H31" s="205">
        <v>16132806</v>
      </c>
      <c r="I31" s="205">
        <v>11988949</v>
      </c>
    </row>
    <row r="32" spans="1:9" s="205" customFormat="1" x14ac:dyDescent="0.2">
      <c r="A32" s="489" t="s">
        <v>615</v>
      </c>
      <c r="B32" s="408"/>
      <c r="C32" s="408"/>
      <c r="D32" s="487">
        <v>22680805</v>
      </c>
      <c r="F32" s="205" t="s">
        <v>625</v>
      </c>
      <c r="G32" s="205">
        <v>3434401</v>
      </c>
      <c r="H32" s="205">
        <v>5561519</v>
      </c>
      <c r="I32" s="205">
        <v>536887</v>
      </c>
    </row>
    <row r="33" spans="1:9" s="209" customFormat="1" ht="22.5" customHeight="1" x14ac:dyDescent="0.2">
      <c r="A33" s="210" t="s">
        <v>332</v>
      </c>
      <c r="B33" s="409">
        <f>SUM(B4:B32)</f>
        <v>710619049</v>
      </c>
      <c r="C33" s="409">
        <f>SUM(C4:C32)</f>
        <v>791472686</v>
      </c>
      <c r="D33" s="409">
        <f t="shared" ref="D33" si="0">SUM(D4:D32)</f>
        <v>825791442</v>
      </c>
      <c r="F33" s="209" t="s">
        <v>614</v>
      </c>
      <c r="G33" s="209">
        <v>259907</v>
      </c>
      <c r="H33" s="209">
        <v>444969</v>
      </c>
      <c r="I33" s="209">
        <v>305781</v>
      </c>
    </row>
    <row r="34" spans="1:9" x14ac:dyDescent="0.2">
      <c r="F34" t="s">
        <v>626</v>
      </c>
      <c r="G34">
        <v>98008299</v>
      </c>
      <c r="H34">
        <v>115622824</v>
      </c>
      <c r="I34">
        <v>77602445</v>
      </c>
    </row>
    <row r="35" spans="1:9" s="201" customFormat="1" ht="28.35" customHeight="1" x14ac:dyDescent="0.2">
      <c r="A35" s="212" t="s">
        <v>345</v>
      </c>
      <c r="B35" s="213">
        <v>2020</v>
      </c>
      <c r="C35" s="213" t="s">
        <v>392</v>
      </c>
      <c r="D35" s="213" t="s">
        <v>393</v>
      </c>
      <c r="F35" s="201" t="s">
        <v>627</v>
      </c>
      <c r="G35" s="201">
        <v>306233732</v>
      </c>
      <c r="H35" s="201">
        <v>433007149</v>
      </c>
      <c r="I35" s="201">
        <v>299325891</v>
      </c>
    </row>
    <row r="36" spans="1:9" x14ac:dyDescent="0.2">
      <c r="A36" s="489" t="s">
        <v>616</v>
      </c>
      <c r="B36" s="487">
        <v>41522889</v>
      </c>
      <c r="C36" s="487">
        <v>39198060</v>
      </c>
      <c r="D36" s="487">
        <v>12583441</v>
      </c>
    </row>
    <row r="37" spans="1:9" x14ac:dyDescent="0.2">
      <c r="A37" s="489" t="s">
        <v>617</v>
      </c>
      <c r="B37" s="408">
        <v>34384605</v>
      </c>
      <c r="C37" s="408">
        <v>33114509</v>
      </c>
      <c r="D37" s="487">
        <v>30626303</v>
      </c>
    </row>
    <row r="38" spans="1:9" x14ac:dyDescent="0.2">
      <c r="A38" s="489" t="s">
        <v>618</v>
      </c>
      <c r="B38" s="408">
        <v>28873910</v>
      </c>
      <c r="C38" s="408">
        <v>27224024</v>
      </c>
      <c r="D38" s="487">
        <v>27132550</v>
      </c>
    </row>
    <row r="39" spans="1:9" x14ac:dyDescent="0.2">
      <c r="A39" s="489" t="s">
        <v>619</v>
      </c>
      <c r="B39" s="408">
        <v>5612252</v>
      </c>
      <c r="C39" s="408">
        <v>3654989</v>
      </c>
      <c r="D39" s="487">
        <v>4358462</v>
      </c>
    </row>
    <row r="40" spans="1:9" x14ac:dyDescent="0.2">
      <c r="A40" s="489" t="s">
        <v>620</v>
      </c>
      <c r="B40" s="408">
        <v>21701280</v>
      </c>
      <c r="C40" s="408">
        <v>19952824</v>
      </c>
      <c r="D40" s="487">
        <v>17928237</v>
      </c>
    </row>
    <row r="41" spans="1:9" x14ac:dyDescent="0.2">
      <c r="A41" s="489" t="s">
        <v>621</v>
      </c>
      <c r="B41" s="408">
        <v>10277906</v>
      </c>
      <c r="C41" s="408">
        <v>11408461</v>
      </c>
      <c r="D41" s="487">
        <v>10252704</v>
      </c>
    </row>
    <row r="42" spans="1:9" x14ac:dyDescent="0.2">
      <c r="A42" s="489" t="s">
        <v>593</v>
      </c>
      <c r="B42" s="408">
        <v>288236</v>
      </c>
      <c r="C42" s="408">
        <v>215881</v>
      </c>
      <c r="D42" s="487">
        <v>202190</v>
      </c>
    </row>
    <row r="43" spans="1:9" x14ac:dyDescent="0.2">
      <c r="A43" s="489" t="s">
        <v>594</v>
      </c>
      <c r="B43" s="408">
        <v>304653</v>
      </c>
      <c r="C43" s="408">
        <v>221903</v>
      </c>
      <c r="D43" s="487">
        <v>278163</v>
      </c>
    </row>
    <row r="44" spans="1:9" x14ac:dyDescent="0.2">
      <c r="A44" s="489" t="s">
        <v>595</v>
      </c>
      <c r="B44" s="408">
        <v>411185</v>
      </c>
      <c r="C44" s="408">
        <v>313076</v>
      </c>
      <c r="D44" s="487">
        <v>306290</v>
      </c>
    </row>
    <row r="45" spans="1:9" x14ac:dyDescent="0.2">
      <c r="A45" s="489" t="s">
        <v>596</v>
      </c>
      <c r="B45" s="408">
        <v>22882671</v>
      </c>
      <c r="C45" s="408">
        <v>63006611</v>
      </c>
      <c r="D45" s="487">
        <v>51316434</v>
      </c>
    </row>
    <row r="46" spans="1:9" x14ac:dyDescent="0.2">
      <c r="A46" s="488" t="s">
        <v>597</v>
      </c>
      <c r="B46" s="408">
        <v>520859</v>
      </c>
      <c r="C46" s="408">
        <v>662005</v>
      </c>
      <c r="D46" s="487">
        <v>991641</v>
      </c>
    </row>
    <row r="47" spans="1:9" ht="25.5" x14ac:dyDescent="0.2">
      <c r="A47" s="488" t="s">
        <v>598</v>
      </c>
      <c r="B47" s="408">
        <v>195368200</v>
      </c>
      <c r="C47" s="408">
        <v>159530855</v>
      </c>
      <c r="D47" s="487">
        <v>134720654</v>
      </c>
    </row>
    <row r="48" spans="1:9" s="205" customFormat="1" x14ac:dyDescent="0.2">
      <c r="A48" s="488" t="s">
        <v>599</v>
      </c>
      <c r="B48" s="408">
        <v>2122316</v>
      </c>
      <c r="C48" s="204">
        <v>0</v>
      </c>
      <c r="D48" s="487"/>
    </row>
    <row r="49" spans="1:4" s="205" customFormat="1" x14ac:dyDescent="0.2">
      <c r="A49" s="488" t="s">
        <v>600</v>
      </c>
      <c r="B49" s="408">
        <v>868755</v>
      </c>
      <c r="C49" s="408">
        <v>1328255</v>
      </c>
      <c r="D49" s="487">
        <v>207306</v>
      </c>
    </row>
    <row r="50" spans="1:4" s="205" customFormat="1" ht="25.5" x14ac:dyDescent="0.2">
      <c r="A50" s="488" t="s">
        <v>601</v>
      </c>
      <c r="B50" s="408">
        <v>400985707</v>
      </c>
      <c r="C50" s="408">
        <v>422316648</v>
      </c>
      <c r="D50" s="487">
        <v>387506402</v>
      </c>
    </row>
    <row r="51" spans="1:4" s="205" customFormat="1" x14ac:dyDescent="0.2">
      <c r="A51" s="488" t="s">
        <v>602</v>
      </c>
      <c r="B51" s="408">
        <v>947539</v>
      </c>
      <c r="C51" s="408">
        <v>712287</v>
      </c>
      <c r="D51" s="487">
        <v>636618</v>
      </c>
    </row>
    <row r="52" spans="1:4" s="205" customFormat="1" ht="25.5" x14ac:dyDescent="0.2">
      <c r="A52" s="488" t="s">
        <v>603</v>
      </c>
      <c r="B52" s="408">
        <v>20962715</v>
      </c>
      <c r="C52" s="408">
        <v>20197057</v>
      </c>
      <c r="D52" s="487">
        <v>18523865</v>
      </c>
    </row>
    <row r="53" spans="1:4" s="205" customFormat="1" ht="25.5" x14ac:dyDescent="0.2">
      <c r="A53" s="488" t="s">
        <v>604</v>
      </c>
      <c r="B53" s="408">
        <v>5154496</v>
      </c>
      <c r="C53" s="408">
        <v>5514408</v>
      </c>
      <c r="D53" s="487">
        <v>4855609</v>
      </c>
    </row>
    <row r="54" spans="1:4" s="205" customFormat="1" ht="25.5" x14ac:dyDescent="0.2">
      <c r="A54" s="488" t="s">
        <v>605</v>
      </c>
      <c r="B54" s="408">
        <v>6446538</v>
      </c>
      <c r="C54" s="408">
        <v>7602527</v>
      </c>
      <c r="D54" s="487">
        <v>7149788</v>
      </c>
    </row>
    <row r="55" spans="1:4" s="205" customFormat="1" ht="25.5" x14ac:dyDescent="0.2">
      <c r="A55" s="488" t="s">
        <v>606</v>
      </c>
      <c r="B55" s="408">
        <v>260643</v>
      </c>
      <c r="C55" s="408">
        <v>196839</v>
      </c>
      <c r="D55" s="487">
        <v>169645</v>
      </c>
    </row>
    <row r="56" spans="1:4" s="205" customFormat="1" x14ac:dyDescent="0.2">
      <c r="A56" s="488" t="s">
        <v>607</v>
      </c>
      <c r="B56" s="408">
        <v>2572040</v>
      </c>
      <c r="C56" s="408">
        <v>1134924</v>
      </c>
      <c r="D56" s="487">
        <v>1037630</v>
      </c>
    </row>
    <row r="57" spans="1:4" s="205" customFormat="1" x14ac:dyDescent="0.2">
      <c r="A57" s="488" t="s">
        <v>608</v>
      </c>
      <c r="B57" s="408">
        <v>184323</v>
      </c>
      <c r="C57" s="408">
        <v>205775</v>
      </c>
      <c r="D57" s="487"/>
    </row>
    <row r="58" spans="1:4" s="205" customFormat="1" ht="25.5" x14ac:dyDescent="0.2">
      <c r="A58" s="488" t="s">
        <v>609</v>
      </c>
      <c r="B58" s="408">
        <v>1329363</v>
      </c>
      <c r="C58" s="408">
        <v>1340024</v>
      </c>
      <c r="D58" s="487">
        <v>1567328</v>
      </c>
    </row>
    <row r="59" spans="1:4" s="205" customFormat="1" x14ac:dyDescent="0.2">
      <c r="A59" s="488" t="s">
        <v>610</v>
      </c>
      <c r="B59" s="408">
        <v>7523112</v>
      </c>
      <c r="C59" s="408">
        <v>8987511</v>
      </c>
      <c r="D59" s="487">
        <v>6672095</v>
      </c>
    </row>
    <row r="60" spans="1:4" s="205" customFormat="1" ht="25.5" x14ac:dyDescent="0.2">
      <c r="A60" s="488" t="s">
        <v>611</v>
      </c>
      <c r="B60" s="408">
        <v>76674210</v>
      </c>
      <c r="C60" s="408">
        <v>23932587</v>
      </c>
      <c r="D60" s="487">
        <v>60375373</v>
      </c>
    </row>
    <row r="61" spans="1:4" s="205" customFormat="1" x14ac:dyDescent="0.2">
      <c r="A61" s="488" t="s">
        <v>612</v>
      </c>
      <c r="B61" s="408">
        <v>14497754</v>
      </c>
      <c r="C61" s="408">
        <v>16132806</v>
      </c>
      <c r="D61" s="487">
        <v>22289171</v>
      </c>
    </row>
    <row r="62" spans="1:4" s="205" customFormat="1" ht="25.5" x14ac:dyDescent="0.2">
      <c r="A62" s="488" t="s">
        <v>613</v>
      </c>
      <c r="B62" s="408">
        <v>1576133</v>
      </c>
      <c r="C62" s="408">
        <v>5561519</v>
      </c>
      <c r="D62" s="487">
        <v>1421204</v>
      </c>
    </row>
    <row r="63" spans="1:4" s="205" customFormat="1" ht="25.5" x14ac:dyDescent="0.2">
      <c r="A63" s="488" t="s">
        <v>614</v>
      </c>
      <c r="B63" s="408">
        <v>0</v>
      </c>
      <c r="C63" s="408">
        <v>444969</v>
      </c>
      <c r="D63" s="487">
        <v>1534</v>
      </c>
    </row>
    <row r="64" spans="1:4" s="205" customFormat="1" x14ac:dyDescent="0.2">
      <c r="A64" s="489" t="s">
        <v>615</v>
      </c>
      <c r="B64" s="204"/>
      <c r="C64" s="204"/>
      <c r="D64" s="487">
        <v>22680805</v>
      </c>
    </row>
    <row r="65" spans="1:4" s="209" customFormat="1" ht="22.5" customHeight="1" x14ac:dyDescent="0.2">
      <c r="A65" s="210" t="s">
        <v>332</v>
      </c>
      <c r="B65" s="409">
        <f>SUM(B36:B64)</f>
        <v>904254290</v>
      </c>
      <c r="C65" s="409">
        <f t="shared" ref="C65:D65" si="1">SUM(C36:C64)</f>
        <v>874111334</v>
      </c>
      <c r="D65" s="409">
        <f t="shared" si="1"/>
        <v>825791442</v>
      </c>
    </row>
    <row r="67" spans="1:4" s="201" customFormat="1" ht="28.35" customHeight="1" x14ac:dyDescent="0.2">
      <c r="A67" s="212" t="s">
        <v>346</v>
      </c>
      <c r="B67" s="213">
        <v>2020</v>
      </c>
      <c r="C67" s="213" t="s">
        <v>392</v>
      </c>
      <c r="D67" s="213" t="s">
        <v>393</v>
      </c>
    </row>
    <row r="68" spans="1:4" x14ac:dyDescent="0.2">
      <c r="A68" s="489" t="s">
        <v>616</v>
      </c>
      <c r="B68" s="487">
        <v>40976599</v>
      </c>
      <c r="C68" s="487">
        <v>29334063</v>
      </c>
      <c r="D68" s="487">
        <v>12583441</v>
      </c>
    </row>
    <row r="69" spans="1:4" x14ac:dyDescent="0.2">
      <c r="A69" s="489" t="s">
        <v>617</v>
      </c>
      <c r="B69" s="408">
        <v>34084976</v>
      </c>
      <c r="C69" s="408">
        <v>24898749</v>
      </c>
      <c r="D69" s="487">
        <v>30626303</v>
      </c>
    </row>
    <row r="70" spans="1:4" x14ac:dyDescent="0.2">
      <c r="A70" s="489" t="s">
        <v>618</v>
      </c>
      <c r="B70" s="408">
        <v>28695120</v>
      </c>
      <c r="C70" s="408">
        <v>20157975</v>
      </c>
      <c r="D70" s="487">
        <v>27132550</v>
      </c>
    </row>
    <row r="71" spans="1:4" x14ac:dyDescent="0.2">
      <c r="A71" s="489" t="s">
        <v>619</v>
      </c>
      <c r="B71" s="408">
        <v>5492764</v>
      </c>
      <c r="C71" s="408">
        <v>2656274</v>
      </c>
      <c r="D71" s="487">
        <v>4358462</v>
      </c>
    </row>
    <row r="72" spans="1:4" x14ac:dyDescent="0.2">
      <c r="A72" s="489" t="s">
        <v>620</v>
      </c>
      <c r="B72" s="408">
        <v>21389374</v>
      </c>
      <c r="C72" s="408">
        <v>15121147</v>
      </c>
      <c r="D72" s="487">
        <v>17928237</v>
      </c>
    </row>
    <row r="73" spans="1:4" x14ac:dyDescent="0.2">
      <c r="A73" s="489" t="s">
        <v>621</v>
      </c>
      <c r="B73" s="408">
        <v>10166398</v>
      </c>
      <c r="C73" s="408">
        <v>8571338</v>
      </c>
      <c r="D73" s="487">
        <v>10252704</v>
      </c>
    </row>
    <row r="74" spans="1:4" x14ac:dyDescent="0.2">
      <c r="A74" s="489" t="s">
        <v>593</v>
      </c>
      <c r="B74" s="408">
        <v>286582</v>
      </c>
      <c r="C74" s="408">
        <v>184859</v>
      </c>
      <c r="D74" s="487">
        <v>202190</v>
      </c>
    </row>
    <row r="75" spans="1:4" x14ac:dyDescent="0.2">
      <c r="A75" s="489" t="s">
        <v>594</v>
      </c>
      <c r="B75" s="408">
        <v>297962</v>
      </c>
      <c r="C75" s="408">
        <v>192651</v>
      </c>
      <c r="D75" s="487">
        <v>278163</v>
      </c>
    </row>
    <row r="76" spans="1:4" x14ac:dyDescent="0.2">
      <c r="A76" s="489" t="s">
        <v>595</v>
      </c>
      <c r="B76" s="408">
        <v>407030</v>
      </c>
      <c r="C76" s="408">
        <v>267901</v>
      </c>
      <c r="D76" s="487">
        <v>306290</v>
      </c>
    </row>
    <row r="77" spans="1:4" x14ac:dyDescent="0.2">
      <c r="A77" s="489" t="s">
        <v>596</v>
      </c>
      <c r="B77" s="408">
        <v>8649343</v>
      </c>
      <c r="C77" s="408">
        <v>9383812</v>
      </c>
      <c r="D77" s="487">
        <v>51316434</v>
      </c>
    </row>
    <row r="78" spans="1:4" x14ac:dyDescent="0.2">
      <c r="A78" s="488" t="s">
        <v>597</v>
      </c>
      <c r="B78" s="408">
        <v>513739</v>
      </c>
      <c r="C78" s="408">
        <v>349129</v>
      </c>
      <c r="D78" s="487">
        <v>991641</v>
      </c>
    </row>
    <row r="79" spans="1:4" ht="25.5" x14ac:dyDescent="0.2">
      <c r="A79" s="488" t="s">
        <v>598</v>
      </c>
      <c r="B79" s="408">
        <v>41728579</v>
      </c>
      <c r="C79" s="408">
        <v>26584121</v>
      </c>
      <c r="D79" s="487">
        <v>134720654</v>
      </c>
    </row>
    <row r="80" spans="1:4" x14ac:dyDescent="0.2">
      <c r="A80" s="488" t="s">
        <v>599</v>
      </c>
      <c r="B80" s="408">
        <v>2096636</v>
      </c>
      <c r="C80" s="204">
        <v>149560</v>
      </c>
      <c r="D80" s="487"/>
    </row>
    <row r="81" spans="1:4" s="205" customFormat="1" x14ac:dyDescent="0.2">
      <c r="A81" s="488" t="s">
        <v>600</v>
      </c>
      <c r="B81" s="408">
        <v>444020</v>
      </c>
      <c r="C81" s="408">
        <v>293266359</v>
      </c>
      <c r="D81" s="487">
        <v>207306</v>
      </c>
    </row>
    <row r="82" spans="1:4" s="205" customFormat="1" ht="25.5" x14ac:dyDescent="0.2">
      <c r="A82" s="488" t="s">
        <v>601</v>
      </c>
      <c r="B82" s="408">
        <v>399826697</v>
      </c>
      <c r="C82" s="408">
        <v>500765</v>
      </c>
      <c r="D82" s="487">
        <v>387506402</v>
      </c>
    </row>
    <row r="83" spans="1:4" s="205" customFormat="1" x14ac:dyDescent="0.2">
      <c r="A83" s="488" t="s">
        <v>602</v>
      </c>
      <c r="B83" s="408">
        <v>925617</v>
      </c>
      <c r="C83" s="408">
        <v>15446611</v>
      </c>
      <c r="D83" s="487">
        <v>636618</v>
      </c>
    </row>
    <row r="84" spans="1:4" s="205" customFormat="1" ht="16.5" customHeight="1" x14ac:dyDescent="0.2">
      <c r="A84" s="488" t="s">
        <v>603</v>
      </c>
      <c r="B84" s="408">
        <v>20649655</v>
      </c>
      <c r="C84" s="408">
        <v>3935308</v>
      </c>
      <c r="D84" s="487">
        <v>18523865</v>
      </c>
    </row>
    <row r="85" spans="1:4" s="205" customFormat="1" ht="25.5" x14ac:dyDescent="0.2">
      <c r="A85" s="488" t="s">
        <v>604</v>
      </c>
      <c r="B85" s="408">
        <v>5135920</v>
      </c>
      <c r="C85" s="408">
        <v>5704896</v>
      </c>
      <c r="D85" s="487">
        <v>4855609</v>
      </c>
    </row>
    <row r="86" spans="1:4" s="205" customFormat="1" ht="25.5" x14ac:dyDescent="0.2">
      <c r="A86" s="488" t="s">
        <v>605</v>
      </c>
      <c r="B86" s="408">
        <v>6446062</v>
      </c>
      <c r="C86" s="408">
        <v>140314</v>
      </c>
      <c r="D86" s="487">
        <v>7149788</v>
      </c>
    </row>
    <row r="87" spans="1:4" s="205" customFormat="1" ht="16.5" customHeight="1" x14ac:dyDescent="0.2">
      <c r="A87" s="488" t="s">
        <v>606</v>
      </c>
      <c r="B87" s="408">
        <v>260623</v>
      </c>
      <c r="C87" s="408">
        <v>931126</v>
      </c>
      <c r="D87" s="487">
        <v>169645</v>
      </c>
    </row>
    <row r="88" spans="1:4" s="205" customFormat="1" x14ac:dyDescent="0.2">
      <c r="A88" s="488" t="s">
        <v>607</v>
      </c>
      <c r="B88" s="408">
        <v>1352787</v>
      </c>
      <c r="C88" s="408">
        <v>5000</v>
      </c>
      <c r="D88" s="487">
        <v>1037630</v>
      </c>
    </row>
    <row r="89" spans="1:4" s="205" customFormat="1" x14ac:dyDescent="0.2">
      <c r="A89" s="488" t="s">
        <v>608</v>
      </c>
      <c r="B89" s="408">
        <v>117490</v>
      </c>
      <c r="C89" s="204">
        <v>917980</v>
      </c>
      <c r="D89" s="487"/>
    </row>
    <row r="90" spans="1:4" s="205" customFormat="1" ht="25.5" x14ac:dyDescent="0.2">
      <c r="A90" s="488" t="s">
        <v>609</v>
      </c>
      <c r="B90" s="408">
        <v>1324761</v>
      </c>
      <c r="C90" s="408">
        <v>6432155</v>
      </c>
      <c r="D90" s="487">
        <v>1567328</v>
      </c>
    </row>
    <row r="91" spans="1:4" s="205" customFormat="1" x14ac:dyDescent="0.2">
      <c r="A91" s="488" t="s">
        <v>610</v>
      </c>
      <c r="B91" s="408">
        <v>7416328</v>
      </c>
      <c r="C91" s="408">
        <v>15209345</v>
      </c>
      <c r="D91" s="487">
        <v>6672095</v>
      </c>
    </row>
    <row r="92" spans="1:4" s="205" customFormat="1" ht="25.5" x14ac:dyDescent="0.2">
      <c r="A92" s="488" t="s">
        <v>611</v>
      </c>
      <c r="B92" s="408">
        <v>15925475</v>
      </c>
      <c r="C92" s="408">
        <v>0</v>
      </c>
      <c r="D92" s="487">
        <v>60375373</v>
      </c>
    </row>
    <row r="93" spans="1:4" s="205" customFormat="1" x14ac:dyDescent="0.2">
      <c r="A93" s="488" t="s">
        <v>612</v>
      </c>
      <c r="B93" s="408">
        <v>14495541</v>
      </c>
      <c r="C93" s="408">
        <v>11988949</v>
      </c>
      <c r="D93" s="487">
        <v>22289171</v>
      </c>
    </row>
    <row r="94" spans="1:4" s="205" customFormat="1" ht="25.5" x14ac:dyDescent="0.2">
      <c r="A94" s="488" t="s">
        <v>613</v>
      </c>
      <c r="B94" s="408">
        <v>1015665</v>
      </c>
      <c r="C94" s="408">
        <v>536887</v>
      </c>
      <c r="D94" s="487">
        <v>1421204</v>
      </c>
    </row>
    <row r="95" spans="1:4" s="205" customFormat="1" ht="25.5" x14ac:dyDescent="0.2">
      <c r="A95" s="488" t="s">
        <v>614</v>
      </c>
      <c r="B95" s="408">
        <v>0</v>
      </c>
      <c r="C95" s="408">
        <v>305781</v>
      </c>
      <c r="D95" s="487">
        <v>1534</v>
      </c>
    </row>
    <row r="96" spans="1:4" s="205" customFormat="1" x14ac:dyDescent="0.2">
      <c r="A96" s="489" t="s">
        <v>615</v>
      </c>
      <c r="B96" s="204"/>
      <c r="C96" s="204"/>
      <c r="D96" s="487">
        <v>22680805</v>
      </c>
    </row>
    <row r="97" spans="1:4" s="209" customFormat="1" ht="22.5" customHeight="1" x14ac:dyDescent="0.2">
      <c r="A97" s="210" t="s">
        <v>332</v>
      </c>
      <c r="B97" s="409">
        <f>SUM(B68:B96)</f>
        <v>670121743</v>
      </c>
      <c r="C97" s="409">
        <f t="shared" ref="C97:D97" si="2">SUM(C68:C96)</f>
        <v>493173055</v>
      </c>
      <c r="D97" s="409">
        <f t="shared" si="2"/>
        <v>825791442</v>
      </c>
    </row>
    <row r="98" spans="1:4" x14ac:dyDescent="0.2">
      <c r="A98" s="380" t="s">
        <v>394</v>
      </c>
    </row>
    <row r="99" spans="1:4" x14ac:dyDescent="0.2">
      <c r="A99" s="381" t="s">
        <v>395</v>
      </c>
    </row>
  </sheetData>
  <pageMargins left="0.6692913385826772" right="0.51181102362204722" top="0.74803149606299213" bottom="0.74803149606299213" header="0.31496062992125984" footer="0.31496062992125984"/>
  <pageSetup paperSize="9" scale="80" orientation="portrait" r:id="rId1"/>
  <headerFooter>
    <oddHeader>&amp;C&amp;"Arial,Negrita"&amp;18PROYECTO DE PRESUPUESTO 2022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rgb="FFFF0000"/>
  </sheetPr>
  <dimension ref="A1:N51"/>
  <sheetViews>
    <sheetView topLeftCell="A10" zoomScaleNormal="100" zoomScaleSheetLayoutView="70" zoomScalePageLayoutView="90" workbookViewId="0">
      <selection activeCell="B20" sqref="B20:N20"/>
    </sheetView>
  </sheetViews>
  <sheetFormatPr baseColWidth="10" defaultColWidth="11.28515625" defaultRowHeight="11.25" x14ac:dyDescent="0.2"/>
  <cols>
    <col min="1" max="1" width="30.7109375" style="171" customWidth="1"/>
    <col min="2" max="3" width="8.7109375" style="171" customWidth="1"/>
    <col min="4" max="5" width="8.7109375" style="211" customWidth="1"/>
    <col min="6" max="14" width="8.7109375" style="171" customWidth="1"/>
    <col min="15" max="16384" width="11.28515625" style="171"/>
  </cols>
  <sheetData>
    <row r="1" spans="1:14" s="167" customFormat="1" ht="14.25" customHeight="1" x14ac:dyDescent="0.2">
      <c r="A1" s="298" t="s">
        <v>399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s="170" customFormat="1" ht="12" thickBot="1" x14ac:dyDescent="0.25">
      <c r="A2" s="164" t="s">
        <v>571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72" customFormat="1" ht="12.75" customHeight="1" thickBot="1" x14ac:dyDescent="0.25">
      <c r="A3" s="565" t="s">
        <v>212</v>
      </c>
      <c r="B3" s="563" t="s">
        <v>245</v>
      </c>
      <c r="C3" s="564"/>
      <c r="D3" s="564"/>
      <c r="E3" s="564"/>
      <c r="F3" s="560" t="s">
        <v>246</v>
      </c>
      <c r="G3" s="561"/>
      <c r="H3" s="562"/>
      <c r="I3" s="560" t="s">
        <v>244</v>
      </c>
      <c r="J3" s="561"/>
      <c r="K3" s="561"/>
      <c r="L3" s="561"/>
      <c r="M3" s="561"/>
      <c r="N3" s="562"/>
    </row>
    <row r="4" spans="1:14" s="186" customFormat="1" ht="84.95" customHeight="1" thickBot="1" x14ac:dyDescent="0.25">
      <c r="A4" s="566"/>
      <c r="B4" s="300">
        <v>2020</v>
      </c>
      <c r="C4" s="301">
        <v>2021</v>
      </c>
      <c r="D4" s="301" t="s">
        <v>385</v>
      </c>
      <c r="E4" s="303" t="s">
        <v>400</v>
      </c>
      <c r="F4" s="300">
        <v>2020</v>
      </c>
      <c r="G4" s="301">
        <v>2021</v>
      </c>
      <c r="H4" s="301" t="s">
        <v>385</v>
      </c>
      <c r="I4" s="300">
        <v>2020</v>
      </c>
      <c r="J4" s="301" t="s">
        <v>392</v>
      </c>
      <c r="K4" s="301" t="s">
        <v>385</v>
      </c>
      <c r="L4" s="302" t="s">
        <v>401</v>
      </c>
      <c r="M4" s="302" t="s">
        <v>400</v>
      </c>
      <c r="N4" s="303" t="s">
        <v>402</v>
      </c>
    </row>
    <row r="5" spans="1:14" x14ac:dyDescent="0.2">
      <c r="A5" s="304"/>
      <c r="B5" s="305"/>
      <c r="C5" s="306"/>
      <c r="D5" s="306"/>
      <c r="E5" s="307"/>
      <c r="F5" s="305"/>
      <c r="G5" s="306"/>
      <c r="H5" s="308"/>
      <c r="I5" s="305"/>
      <c r="J5" s="306"/>
      <c r="K5" s="308"/>
      <c r="L5" s="307"/>
      <c r="M5" s="307"/>
      <c r="N5" s="308"/>
    </row>
    <row r="6" spans="1:14" ht="22.5" x14ac:dyDescent="0.2">
      <c r="A6" s="309" t="s">
        <v>243</v>
      </c>
      <c r="B6" s="310"/>
      <c r="C6" s="311"/>
      <c r="D6" s="311"/>
      <c r="E6" s="312"/>
      <c r="F6" s="310"/>
      <c r="G6" s="311"/>
      <c r="H6" s="313"/>
      <c r="I6" s="310"/>
      <c r="J6" s="311"/>
      <c r="K6" s="313"/>
      <c r="L6" s="312"/>
      <c r="M6" s="312"/>
      <c r="N6" s="313"/>
    </row>
    <row r="7" spans="1:14" x14ac:dyDescent="0.2">
      <c r="A7" s="314" t="s">
        <v>213</v>
      </c>
      <c r="B7" s="315"/>
      <c r="C7" s="316"/>
      <c r="D7" s="316"/>
      <c r="E7" s="317"/>
      <c r="F7" s="315"/>
      <c r="G7" s="316"/>
      <c r="H7" s="318"/>
      <c r="I7" s="315"/>
      <c r="J7" s="316"/>
      <c r="K7" s="318"/>
      <c r="L7" s="317"/>
      <c r="M7" s="317"/>
      <c r="N7" s="318"/>
    </row>
    <row r="8" spans="1:14" s="172" customFormat="1" x14ac:dyDescent="0.2">
      <c r="A8" s="319"/>
      <c r="B8" s="315"/>
      <c r="C8" s="316"/>
      <c r="D8" s="316"/>
      <c r="E8" s="317"/>
      <c r="F8" s="315"/>
      <c r="G8" s="316"/>
      <c r="H8" s="318"/>
      <c r="I8" s="315"/>
      <c r="J8" s="316"/>
      <c r="K8" s="318"/>
      <c r="L8" s="317"/>
      <c r="M8" s="317"/>
      <c r="N8" s="318"/>
    </row>
    <row r="9" spans="1:14" x14ac:dyDescent="0.2">
      <c r="A9" s="309" t="s">
        <v>218</v>
      </c>
      <c r="B9" s="315"/>
      <c r="C9" s="316"/>
      <c r="D9" s="316"/>
      <c r="E9" s="317"/>
      <c r="F9" s="315"/>
      <c r="G9" s="316"/>
      <c r="H9" s="318"/>
      <c r="I9" s="315"/>
      <c r="J9" s="316"/>
      <c r="K9" s="318"/>
      <c r="L9" s="317"/>
      <c r="M9" s="317"/>
      <c r="N9" s="318"/>
    </row>
    <row r="10" spans="1:14" x14ac:dyDescent="0.2">
      <c r="A10" s="320" t="s">
        <v>214</v>
      </c>
      <c r="B10" s="315"/>
      <c r="C10" s="316"/>
      <c r="D10" s="316"/>
      <c r="E10" s="317"/>
      <c r="F10" s="315"/>
      <c r="G10" s="316"/>
      <c r="H10" s="318"/>
      <c r="I10" s="315"/>
      <c r="J10" s="316"/>
      <c r="K10" s="318"/>
      <c r="L10" s="317"/>
      <c r="M10" s="317"/>
      <c r="N10" s="318"/>
    </row>
    <row r="11" spans="1:14" x14ac:dyDescent="0.2">
      <c r="A11" s="320" t="s">
        <v>215</v>
      </c>
      <c r="B11" s="315"/>
      <c r="C11" s="316"/>
      <c r="D11" s="316"/>
      <c r="E11" s="317"/>
      <c r="F11" s="315"/>
      <c r="G11" s="316"/>
      <c r="H11" s="318"/>
      <c r="I11" s="315"/>
      <c r="J11" s="316"/>
      <c r="K11" s="318"/>
      <c r="L11" s="317"/>
      <c r="M11" s="317"/>
      <c r="N11" s="318"/>
    </row>
    <row r="12" spans="1:14" x14ac:dyDescent="0.2">
      <c r="A12" s="320" t="s">
        <v>216</v>
      </c>
      <c r="B12" s="315"/>
      <c r="C12" s="316"/>
      <c r="D12" s="316"/>
      <c r="E12" s="317"/>
      <c r="F12" s="315"/>
      <c r="G12" s="316"/>
      <c r="H12" s="318"/>
      <c r="I12" s="315"/>
      <c r="J12" s="316"/>
      <c r="K12" s="318"/>
      <c r="L12" s="317"/>
      <c r="M12" s="317"/>
      <c r="N12" s="318"/>
    </row>
    <row r="13" spans="1:14" x14ac:dyDescent="0.2">
      <c r="A13" s="320" t="s">
        <v>217</v>
      </c>
      <c r="B13" s="315"/>
      <c r="C13" s="316"/>
      <c r="D13" s="316"/>
      <c r="E13" s="317"/>
      <c r="F13" s="315"/>
      <c r="G13" s="316"/>
      <c r="H13" s="318"/>
      <c r="I13" s="315"/>
      <c r="J13" s="316"/>
      <c r="K13" s="318"/>
      <c r="L13" s="317"/>
      <c r="M13" s="317"/>
      <c r="N13" s="318"/>
    </row>
    <row r="14" spans="1:14" x14ac:dyDescent="0.2">
      <c r="A14" s="320"/>
      <c r="B14" s="310"/>
      <c r="C14" s="311"/>
      <c r="D14" s="311"/>
      <c r="E14" s="312"/>
      <c r="F14" s="310"/>
      <c r="G14" s="311"/>
      <c r="H14" s="313"/>
      <c r="I14" s="310"/>
      <c r="J14" s="311"/>
      <c r="K14" s="313"/>
      <c r="L14" s="312"/>
      <c r="M14" s="312"/>
      <c r="N14" s="313"/>
    </row>
    <row r="15" spans="1:14" x14ac:dyDescent="0.2">
      <c r="A15" s="309" t="s">
        <v>237</v>
      </c>
      <c r="B15" s="315"/>
      <c r="C15" s="316"/>
      <c r="D15" s="316"/>
      <c r="E15" s="317"/>
      <c r="F15" s="315"/>
      <c r="G15" s="316"/>
      <c r="H15" s="318"/>
      <c r="I15" s="315"/>
      <c r="J15" s="316"/>
      <c r="K15" s="318"/>
      <c r="L15" s="317"/>
      <c r="M15" s="317"/>
      <c r="N15" s="318"/>
    </row>
    <row r="16" spans="1:14" x14ac:dyDescent="0.2">
      <c r="A16" s="320" t="s">
        <v>219</v>
      </c>
      <c r="B16" s="315"/>
      <c r="C16" s="316"/>
      <c r="D16" s="316"/>
      <c r="E16" s="317"/>
      <c r="F16" s="315"/>
      <c r="G16" s="316"/>
      <c r="H16" s="318"/>
      <c r="I16" s="315"/>
      <c r="J16" s="316"/>
      <c r="K16" s="318"/>
      <c r="L16" s="317"/>
      <c r="M16" s="317"/>
      <c r="N16" s="318"/>
    </row>
    <row r="17" spans="1:14" x14ac:dyDescent="0.2">
      <c r="A17" s="320" t="s">
        <v>220</v>
      </c>
      <c r="B17" s="315"/>
      <c r="C17" s="316"/>
      <c r="D17" s="316"/>
      <c r="E17" s="317"/>
      <c r="F17" s="315"/>
      <c r="G17" s="316"/>
      <c r="H17" s="318"/>
      <c r="I17" s="315"/>
      <c r="J17" s="316"/>
      <c r="K17" s="318"/>
      <c r="L17" s="317"/>
      <c r="M17" s="317"/>
      <c r="N17" s="318"/>
    </row>
    <row r="18" spans="1:14" x14ac:dyDescent="0.2">
      <c r="A18" s="320" t="s">
        <v>221</v>
      </c>
      <c r="B18" s="315"/>
      <c r="C18" s="316"/>
      <c r="D18" s="316"/>
      <c r="E18" s="317"/>
      <c r="F18" s="315"/>
      <c r="G18" s="316"/>
      <c r="H18" s="318"/>
      <c r="I18" s="315"/>
      <c r="J18" s="316"/>
      <c r="K18" s="318"/>
      <c r="L18" s="317"/>
      <c r="M18" s="317"/>
      <c r="N18" s="318"/>
    </row>
    <row r="19" spans="1:14" x14ac:dyDescent="0.2">
      <c r="A19" s="320" t="s">
        <v>222</v>
      </c>
      <c r="B19" s="315"/>
      <c r="C19" s="316"/>
      <c r="D19" s="316"/>
      <c r="E19" s="317"/>
      <c r="F19" s="315"/>
      <c r="G19" s="316"/>
      <c r="H19" s="318"/>
      <c r="I19" s="315"/>
      <c r="J19" s="316"/>
      <c r="K19" s="318"/>
      <c r="L19" s="317"/>
      <c r="M19" s="317"/>
      <c r="N19" s="318"/>
    </row>
    <row r="20" spans="1:14" ht="22.5" x14ac:dyDescent="0.2">
      <c r="A20" s="320" t="s">
        <v>223</v>
      </c>
      <c r="B20" s="567" t="s">
        <v>592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9"/>
    </row>
    <row r="21" spans="1:14" x14ac:dyDescent="0.2">
      <c r="A21" s="321"/>
      <c r="B21" s="315"/>
      <c r="C21" s="316"/>
      <c r="D21" s="316"/>
      <c r="E21" s="317"/>
      <c r="F21" s="315"/>
      <c r="G21" s="316"/>
      <c r="H21" s="318"/>
      <c r="I21" s="315"/>
      <c r="J21" s="316"/>
      <c r="K21" s="318"/>
      <c r="L21" s="317"/>
      <c r="M21" s="317"/>
      <c r="N21" s="318"/>
    </row>
    <row r="22" spans="1:14" x14ac:dyDescent="0.2">
      <c r="A22" s="322" t="s">
        <v>238</v>
      </c>
      <c r="B22" s="315"/>
      <c r="C22" s="316"/>
      <c r="D22" s="316"/>
      <c r="E22" s="317"/>
      <c r="F22" s="315"/>
      <c r="G22" s="316"/>
      <c r="H22" s="318"/>
      <c r="I22" s="315"/>
      <c r="J22" s="316"/>
      <c r="K22" s="318"/>
      <c r="L22" s="317"/>
      <c r="M22" s="317"/>
      <c r="N22" s="318"/>
    </row>
    <row r="23" spans="1:14" x14ac:dyDescent="0.2">
      <c r="A23" s="320" t="s">
        <v>224</v>
      </c>
      <c r="B23" s="315"/>
      <c r="C23" s="316"/>
      <c r="D23" s="316"/>
      <c r="E23" s="317"/>
      <c r="F23" s="315"/>
      <c r="G23" s="316"/>
      <c r="H23" s="318"/>
      <c r="I23" s="315"/>
      <c r="J23" s="316"/>
      <c r="K23" s="318"/>
      <c r="L23" s="317"/>
      <c r="M23" s="317"/>
      <c r="N23" s="318"/>
    </row>
    <row r="24" spans="1:14" x14ac:dyDescent="0.2">
      <c r="A24" s="320" t="s">
        <v>225</v>
      </c>
      <c r="B24" s="315"/>
      <c r="C24" s="316"/>
      <c r="D24" s="316"/>
      <c r="E24" s="317"/>
      <c r="F24" s="315"/>
      <c r="G24" s="316"/>
      <c r="H24" s="318"/>
      <c r="I24" s="315"/>
      <c r="J24" s="316"/>
      <c r="K24" s="318"/>
      <c r="L24" s="317"/>
      <c r="M24" s="317"/>
      <c r="N24" s="318"/>
    </row>
    <row r="25" spans="1:14" x14ac:dyDescent="0.2">
      <c r="A25" s="320" t="s">
        <v>226</v>
      </c>
      <c r="B25" s="315"/>
      <c r="C25" s="316"/>
      <c r="D25" s="316"/>
      <c r="E25" s="317"/>
      <c r="F25" s="315"/>
      <c r="G25" s="316"/>
      <c r="H25" s="318"/>
      <c r="I25" s="315"/>
      <c r="J25" s="316"/>
      <c r="K25" s="318"/>
      <c r="L25" s="317"/>
      <c r="M25" s="317"/>
      <c r="N25" s="318"/>
    </row>
    <row r="26" spans="1:14" x14ac:dyDescent="0.2">
      <c r="A26" s="320"/>
      <c r="B26" s="315"/>
      <c r="C26" s="316"/>
      <c r="D26" s="316"/>
      <c r="E26" s="317"/>
      <c r="F26" s="315"/>
      <c r="G26" s="316"/>
      <c r="H26" s="318"/>
      <c r="I26" s="315"/>
      <c r="J26" s="316"/>
      <c r="K26" s="318"/>
      <c r="L26" s="317"/>
      <c r="M26" s="317"/>
      <c r="N26" s="318"/>
    </row>
    <row r="27" spans="1:14" x14ac:dyDescent="0.2">
      <c r="A27" s="322" t="s">
        <v>239</v>
      </c>
      <c r="B27" s="315"/>
      <c r="C27" s="316"/>
      <c r="D27" s="316"/>
      <c r="E27" s="317"/>
      <c r="F27" s="315"/>
      <c r="G27" s="316"/>
      <c r="H27" s="318"/>
      <c r="I27" s="315"/>
      <c r="J27" s="316"/>
      <c r="K27" s="318"/>
      <c r="L27" s="317"/>
      <c r="M27" s="317"/>
      <c r="N27" s="318"/>
    </row>
    <row r="28" spans="1:14" x14ac:dyDescent="0.2">
      <c r="A28" s="320" t="s">
        <v>227</v>
      </c>
      <c r="B28" s="315"/>
      <c r="C28" s="316"/>
      <c r="D28" s="316"/>
      <c r="E28" s="317"/>
      <c r="F28" s="315"/>
      <c r="G28" s="316"/>
      <c r="H28" s="318"/>
      <c r="I28" s="315"/>
      <c r="J28" s="316"/>
      <c r="K28" s="318"/>
      <c r="L28" s="317"/>
      <c r="M28" s="317"/>
      <c r="N28" s="318"/>
    </row>
    <row r="29" spans="1:14" x14ac:dyDescent="0.2">
      <c r="A29" s="320" t="s">
        <v>225</v>
      </c>
      <c r="B29" s="315"/>
      <c r="C29" s="316"/>
      <c r="D29" s="316"/>
      <c r="E29" s="317"/>
      <c r="F29" s="315"/>
      <c r="G29" s="316"/>
      <c r="H29" s="318"/>
      <c r="I29" s="315"/>
      <c r="J29" s="316"/>
      <c r="K29" s="318"/>
      <c r="L29" s="317"/>
      <c r="M29" s="317"/>
      <c r="N29" s="318"/>
    </row>
    <row r="30" spans="1:14" x14ac:dyDescent="0.2">
      <c r="A30" s="320"/>
      <c r="B30" s="315"/>
      <c r="C30" s="316"/>
      <c r="D30" s="316"/>
      <c r="E30" s="317"/>
      <c r="F30" s="315"/>
      <c r="G30" s="316"/>
      <c r="H30" s="318"/>
      <c r="I30" s="315"/>
      <c r="J30" s="316"/>
      <c r="K30" s="318"/>
      <c r="L30" s="317"/>
      <c r="M30" s="317"/>
      <c r="N30" s="318"/>
    </row>
    <row r="31" spans="1:14" x14ac:dyDescent="0.2">
      <c r="A31" s="322" t="s">
        <v>240</v>
      </c>
      <c r="B31" s="315"/>
      <c r="C31" s="316"/>
      <c r="D31" s="316"/>
      <c r="E31" s="317"/>
      <c r="F31" s="315"/>
      <c r="G31" s="316"/>
      <c r="H31" s="318"/>
      <c r="I31" s="315"/>
      <c r="J31" s="316"/>
      <c r="K31" s="318"/>
      <c r="L31" s="317"/>
      <c r="M31" s="317"/>
      <c r="N31" s="318"/>
    </row>
    <row r="32" spans="1:14" x14ac:dyDescent="0.2">
      <c r="A32" s="320" t="s">
        <v>228</v>
      </c>
      <c r="B32" s="315"/>
      <c r="C32" s="316"/>
      <c r="D32" s="316"/>
      <c r="E32" s="317"/>
      <c r="F32" s="315"/>
      <c r="G32" s="316"/>
      <c r="H32" s="318"/>
      <c r="I32" s="315"/>
      <c r="J32" s="316"/>
      <c r="K32" s="318"/>
      <c r="L32" s="317"/>
      <c r="M32" s="317"/>
      <c r="N32" s="318"/>
    </row>
    <row r="33" spans="1:14" x14ac:dyDescent="0.2">
      <c r="A33" s="320" t="s">
        <v>226</v>
      </c>
      <c r="B33" s="315"/>
      <c r="C33" s="316"/>
      <c r="D33" s="316"/>
      <c r="E33" s="317"/>
      <c r="F33" s="315"/>
      <c r="G33" s="316"/>
      <c r="H33" s="318"/>
      <c r="I33" s="315"/>
      <c r="J33" s="316"/>
      <c r="K33" s="318"/>
      <c r="L33" s="317"/>
      <c r="M33" s="317"/>
      <c r="N33" s="318"/>
    </row>
    <row r="34" spans="1:14" x14ac:dyDescent="0.2">
      <c r="A34" s="320" t="s">
        <v>229</v>
      </c>
      <c r="B34" s="315"/>
      <c r="C34" s="316"/>
      <c r="D34" s="316"/>
      <c r="E34" s="317"/>
      <c r="F34" s="315"/>
      <c r="G34" s="316"/>
      <c r="H34" s="318"/>
      <c r="I34" s="315"/>
      <c r="J34" s="316"/>
      <c r="K34" s="318"/>
      <c r="L34" s="317"/>
      <c r="M34" s="317"/>
      <c r="N34" s="318"/>
    </row>
    <row r="35" spans="1:14" x14ac:dyDescent="0.2">
      <c r="A35" s="320" t="s">
        <v>230</v>
      </c>
      <c r="B35" s="315"/>
      <c r="C35" s="316"/>
      <c r="D35" s="316"/>
      <c r="E35" s="317"/>
      <c r="F35" s="315"/>
      <c r="G35" s="316"/>
      <c r="H35" s="318"/>
      <c r="I35" s="315"/>
      <c r="J35" s="316"/>
      <c r="K35" s="318"/>
      <c r="L35" s="317"/>
      <c r="M35" s="317"/>
      <c r="N35" s="318"/>
    </row>
    <row r="36" spans="1:14" x14ac:dyDescent="0.2">
      <c r="A36" s="320"/>
      <c r="B36" s="315"/>
      <c r="C36" s="316"/>
      <c r="D36" s="316"/>
      <c r="E36" s="317"/>
      <c r="F36" s="315"/>
      <c r="G36" s="316"/>
      <c r="H36" s="318"/>
      <c r="I36" s="315"/>
      <c r="J36" s="316"/>
      <c r="K36" s="318"/>
      <c r="L36" s="317"/>
      <c r="M36" s="317"/>
      <c r="N36" s="318"/>
    </row>
    <row r="37" spans="1:14" x14ac:dyDescent="0.2">
      <c r="A37" s="322" t="s">
        <v>241</v>
      </c>
      <c r="B37" s="315"/>
      <c r="C37" s="316"/>
      <c r="D37" s="316"/>
      <c r="E37" s="317"/>
      <c r="F37" s="315"/>
      <c r="G37" s="316"/>
      <c r="H37" s="318"/>
      <c r="I37" s="315"/>
      <c r="J37" s="316"/>
      <c r="K37" s="318"/>
      <c r="L37" s="317"/>
      <c r="M37" s="317"/>
      <c r="N37" s="318"/>
    </row>
    <row r="38" spans="1:14" x14ac:dyDescent="0.2">
      <c r="A38" s="320" t="s">
        <v>231</v>
      </c>
      <c r="B38" s="315"/>
      <c r="C38" s="316"/>
      <c r="D38" s="316"/>
      <c r="E38" s="317"/>
      <c r="F38" s="315"/>
      <c r="G38" s="316"/>
      <c r="H38" s="318"/>
      <c r="I38" s="315"/>
      <c r="J38" s="316"/>
      <c r="K38" s="318"/>
      <c r="L38" s="317"/>
      <c r="M38" s="317"/>
      <c r="N38" s="318"/>
    </row>
    <row r="39" spans="1:14" x14ac:dyDescent="0.2">
      <c r="A39" s="320" t="s">
        <v>232</v>
      </c>
      <c r="B39" s="315"/>
      <c r="C39" s="316"/>
      <c r="D39" s="316"/>
      <c r="E39" s="317"/>
      <c r="F39" s="315"/>
      <c r="G39" s="316"/>
      <c r="H39" s="318"/>
      <c r="I39" s="315"/>
      <c r="J39" s="316"/>
      <c r="K39" s="318"/>
      <c r="L39" s="317"/>
      <c r="M39" s="317"/>
      <c r="N39" s="318"/>
    </row>
    <row r="40" spans="1:14" ht="22.5" x14ac:dyDescent="0.2">
      <c r="A40" s="320" t="s">
        <v>233</v>
      </c>
      <c r="B40" s="315"/>
      <c r="C40" s="316"/>
      <c r="D40" s="316"/>
      <c r="E40" s="317"/>
      <c r="F40" s="315"/>
      <c r="G40" s="316"/>
      <c r="H40" s="318"/>
      <c r="I40" s="315"/>
      <c r="J40" s="316"/>
      <c r="K40" s="318"/>
      <c r="L40" s="317"/>
      <c r="M40" s="317"/>
      <c r="N40" s="318"/>
    </row>
    <row r="41" spans="1:14" ht="22.5" x14ac:dyDescent="0.2">
      <c r="A41" s="320" t="s">
        <v>234</v>
      </c>
      <c r="B41" s="315"/>
      <c r="C41" s="316"/>
      <c r="D41" s="316"/>
      <c r="E41" s="317"/>
      <c r="F41" s="315"/>
      <c r="G41" s="316"/>
      <c r="H41" s="318"/>
      <c r="I41" s="315"/>
      <c r="J41" s="316"/>
      <c r="K41" s="318"/>
      <c r="L41" s="317"/>
      <c r="M41" s="317"/>
      <c r="N41" s="318"/>
    </row>
    <row r="42" spans="1:14" x14ac:dyDescent="0.2">
      <c r="A42" s="320"/>
      <c r="B42" s="315"/>
      <c r="C42" s="316"/>
      <c r="D42" s="316"/>
      <c r="E42" s="317"/>
      <c r="F42" s="315"/>
      <c r="G42" s="316"/>
      <c r="H42" s="318"/>
      <c r="I42" s="315"/>
      <c r="J42" s="316"/>
      <c r="K42" s="318"/>
      <c r="L42" s="317"/>
      <c r="M42" s="317"/>
      <c r="N42" s="318"/>
    </row>
    <row r="43" spans="1:14" x14ac:dyDescent="0.2">
      <c r="A43" s="322" t="s">
        <v>242</v>
      </c>
      <c r="B43" s="315"/>
      <c r="C43" s="316"/>
      <c r="D43" s="316"/>
      <c r="E43" s="317"/>
      <c r="F43" s="315"/>
      <c r="G43" s="316"/>
      <c r="H43" s="318"/>
      <c r="I43" s="315"/>
      <c r="J43" s="316"/>
      <c r="K43" s="318"/>
      <c r="L43" s="317"/>
      <c r="M43" s="317"/>
      <c r="N43" s="318"/>
    </row>
    <row r="44" spans="1:14" x14ac:dyDescent="0.2">
      <c r="A44" s="320" t="s">
        <v>235</v>
      </c>
      <c r="B44" s="315"/>
      <c r="C44" s="316"/>
      <c r="D44" s="316"/>
      <c r="E44" s="317"/>
      <c r="F44" s="315"/>
      <c r="G44" s="316"/>
      <c r="H44" s="318"/>
      <c r="I44" s="315"/>
      <c r="J44" s="316"/>
      <c r="K44" s="318"/>
      <c r="L44" s="317"/>
      <c r="M44" s="317"/>
      <c r="N44" s="318"/>
    </row>
    <row r="45" spans="1:14" s="172" customFormat="1" ht="22.5" x14ac:dyDescent="0.2">
      <c r="A45" s="320" t="s">
        <v>236</v>
      </c>
      <c r="B45" s="315"/>
      <c r="C45" s="316"/>
      <c r="D45" s="316"/>
      <c r="E45" s="317"/>
      <c r="F45" s="315"/>
      <c r="G45" s="316"/>
      <c r="H45" s="318"/>
      <c r="I45" s="315"/>
      <c r="J45" s="316"/>
      <c r="K45" s="318"/>
      <c r="L45" s="317"/>
      <c r="M45" s="317"/>
      <c r="N45" s="318"/>
    </row>
    <row r="46" spans="1:14" ht="12" thickBot="1" x14ac:dyDescent="0.25">
      <c r="A46" s="323"/>
      <c r="B46" s="315"/>
      <c r="C46" s="316"/>
      <c r="D46" s="316"/>
      <c r="E46" s="317"/>
      <c r="F46" s="315"/>
      <c r="G46" s="316"/>
      <c r="H46" s="318"/>
      <c r="I46" s="315"/>
      <c r="J46" s="316"/>
      <c r="K46" s="318"/>
      <c r="L46" s="317"/>
      <c r="M46" s="317"/>
      <c r="N46" s="318"/>
    </row>
    <row r="47" spans="1:14" s="170" customFormat="1" x14ac:dyDescent="0.2">
      <c r="A47" s="324"/>
      <c r="B47" s="336"/>
      <c r="C47" s="337"/>
      <c r="D47" s="343"/>
      <c r="E47" s="340"/>
      <c r="F47" s="336"/>
      <c r="G47" s="339"/>
      <c r="H47" s="340"/>
      <c r="I47" s="336"/>
      <c r="J47" s="337"/>
      <c r="K47" s="338"/>
      <c r="L47" s="339"/>
      <c r="M47" s="339"/>
      <c r="N47" s="340"/>
    </row>
    <row r="48" spans="1:14" s="170" customFormat="1" ht="12" thickBot="1" x14ac:dyDescent="0.25">
      <c r="A48" s="325" t="s">
        <v>0</v>
      </c>
      <c r="B48" s="326"/>
      <c r="C48" s="327"/>
      <c r="D48" s="342"/>
      <c r="E48" s="329"/>
      <c r="F48" s="326"/>
      <c r="G48" s="328"/>
      <c r="H48" s="329"/>
      <c r="I48" s="326"/>
      <c r="J48" s="327"/>
      <c r="K48" s="335"/>
      <c r="L48" s="328"/>
      <c r="M48" s="328"/>
      <c r="N48" s="329"/>
    </row>
    <row r="49" spans="1:14" s="170" customFormat="1" ht="12.75" thickTop="1" thickBot="1" x14ac:dyDescent="0.25">
      <c r="A49" s="330" t="s">
        <v>20</v>
      </c>
      <c r="B49" s="331"/>
      <c r="C49" s="332"/>
      <c r="D49" s="344"/>
      <c r="E49" s="334"/>
      <c r="F49" s="331"/>
      <c r="G49" s="333"/>
      <c r="H49" s="334"/>
      <c r="I49" s="331"/>
      <c r="J49" s="332"/>
      <c r="K49" s="341"/>
      <c r="L49" s="333"/>
      <c r="M49" s="333"/>
      <c r="N49" s="334"/>
    </row>
    <row r="50" spans="1:14" x14ac:dyDescent="0.2">
      <c r="A50" s="98" t="s">
        <v>428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2">
      <c r="A51" s="98" t="s">
        <v>459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</sheetData>
  <mergeCells count="5">
    <mergeCell ref="I3:N3"/>
    <mergeCell ref="B3:E3"/>
    <mergeCell ref="F3:H3"/>
    <mergeCell ref="A3:A4"/>
    <mergeCell ref="B20:N2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2022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6" tint="-0.249977111117893"/>
  </sheetPr>
  <dimension ref="A1:V25"/>
  <sheetViews>
    <sheetView zoomScaleNormal="100" zoomScaleSheetLayoutView="90" workbookViewId="0">
      <selection sqref="A1:Q24"/>
    </sheetView>
  </sheetViews>
  <sheetFormatPr baseColWidth="10" defaultColWidth="11.28515625" defaultRowHeight="11.25" x14ac:dyDescent="0.2"/>
  <cols>
    <col min="1" max="1" width="25.5703125" style="171" customWidth="1"/>
    <col min="2" max="2" width="7" style="171" customWidth="1"/>
    <col min="3" max="3" width="9.5703125" style="171" bestFit="1" customWidth="1"/>
    <col min="4" max="4" width="8.7109375" style="171" bestFit="1" customWidth="1"/>
    <col min="5" max="5" width="9.5703125" style="171" bestFit="1" customWidth="1"/>
    <col min="6" max="7" width="7" style="171" customWidth="1"/>
    <col min="8" max="8" width="9.5703125" style="171" bestFit="1" customWidth="1"/>
    <col min="9" max="10" width="7" style="171" customWidth="1"/>
    <col min="11" max="11" width="9.5703125" style="171" bestFit="1" customWidth="1"/>
    <col min="12" max="12" width="7" style="171" customWidth="1"/>
    <col min="13" max="13" width="9.5703125" style="171" bestFit="1" customWidth="1"/>
    <col min="14" max="14" width="7.85546875" style="171" bestFit="1" customWidth="1"/>
    <col min="15" max="15" width="11" style="171" customWidth="1"/>
    <col min="16" max="16" width="10.85546875" style="171" customWidth="1"/>
    <col min="17" max="17" width="7" style="171" customWidth="1"/>
    <col min="18" max="16384" width="11.28515625" style="171"/>
  </cols>
  <sheetData>
    <row r="1" spans="1:22" s="170" customFormat="1" x14ac:dyDescent="0.2">
      <c r="A1" s="168" t="s">
        <v>403</v>
      </c>
      <c r="B1" s="173"/>
      <c r="C1" s="173"/>
      <c r="D1" s="173"/>
      <c r="E1" s="173"/>
    </row>
    <row r="2" spans="1:22" s="170" customFormat="1" ht="12" thickBot="1" x14ac:dyDescent="0.25">
      <c r="A2" s="169" t="s">
        <v>569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12" thickBot="1" x14ac:dyDescent="0.25">
      <c r="A3" s="574" t="s">
        <v>1</v>
      </c>
      <c r="B3" s="572" t="s">
        <v>404</v>
      </c>
      <c r="C3" s="573"/>
      <c r="D3" s="573"/>
      <c r="E3" s="573"/>
      <c r="F3" s="573"/>
      <c r="G3" s="573"/>
      <c r="H3" s="571"/>
      <c r="I3" s="570" t="s">
        <v>405</v>
      </c>
      <c r="J3" s="573"/>
      <c r="K3" s="573"/>
      <c r="L3" s="573"/>
      <c r="M3" s="571"/>
      <c r="N3" s="570" t="s">
        <v>406</v>
      </c>
      <c r="O3" s="571"/>
      <c r="P3" s="570" t="s">
        <v>0</v>
      </c>
      <c r="Q3" s="571"/>
    </row>
    <row r="4" spans="1:22" s="188" customFormat="1" ht="80.25" customHeight="1" thickBot="1" x14ac:dyDescent="0.25">
      <c r="A4" s="575"/>
      <c r="B4" s="217" t="s">
        <v>287</v>
      </c>
      <c r="C4" s="218" t="s">
        <v>288</v>
      </c>
      <c r="D4" s="217" t="s">
        <v>289</v>
      </c>
      <c r="E4" s="217" t="s">
        <v>290</v>
      </c>
      <c r="F4" s="217" t="s">
        <v>291</v>
      </c>
      <c r="G4" s="216" t="s">
        <v>292</v>
      </c>
      <c r="H4" s="216" t="s">
        <v>293</v>
      </c>
      <c r="I4" s="217" t="s">
        <v>294</v>
      </c>
      <c r="J4" s="216" t="s">
        <v>292</v>
      </c>
      <c r="K4" s="216" t="s">
        <v>295</v>
      </c>
      <c r="L4" s="216" t="s">
        <v>296</v>
      </c>
      <c r="M4" s="216" t="s">
        <v>297</v>
      </c>
      <c r="N4" s="216" t="s">
        <v>298</v>
      </c>
      <c r="O4" s="218" t="s">
        <v>299</v>
      </c>
      <c r="P4" s="217" t="s">
        <v>19</v>
      </c>
      <c r="Q4" s="216" t="s">
        <v>21</v>
      </c>
    </row>
    <row r="5" spans="1:22" x14ac:dyDescent="0.2">
      <c r="A5" s="189"/>
      <c r="B5" s="180"/>
      <c r="C5" s="181"/>
      <c r="D5" s="180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1"/>
      <c r="Q5" s="189"/>
    </row>
    <row r="6" spans="1:22" x14ac:dyDescent="0.2">
      <c r="A6" s="189" t="s">
        <v>33</v>
      </c>
      <c r="B6" s="180">
        <v>0</v>
      </c>
      <c r="C6" s="181">
        <v>689220481</v>
      </c>
      <c r="D6" s="180">
        <v>97214615</v>
      </c>
      <c r="E6" s="182">
        <v>106403766</v>
      </c>
      <c r="F6" s="182">
        <v>0</v>
      </c>
      <c r="G6" s="182">
        <v>545520</v>
      </c>
      <c r="H6" s="182">
        <f>SUM(C6:G6)</f>
        <v>893384382</v>
      </c>
      <c r="I6" s="182">
        <v>0</v>
      </c>
      <c r="J6" s="182">
        <v>0</v>
      </c>
      <c r="K6" s="182">
        <v>9070705</v>
      </c>
      <c r="L6" s="182">
        <v>0</v>
      </c>
      <c r="M6" s="182">
        <f>SUM(I6:L6)</f>
        <v>9070705</v>
      </c>
      <c r="N6" s="182">
        <v>0</v>
      </c>
      <c r="O6" s="182">
        <v>0</v>
      </c>
      <c r="P6" s="181">
        <f>+O6+H6+M6</f>
        <v>902455087</v>
      </c>
      <c r="Q6" s="511">
        <f>P6/$P$24</f>
        <v>0.68947258205702566</v>
      </c>
    </row>
    <row r="7" spans="1:22" x14ac:dyDescent="0.2">
      <c r="A7" s="189"/>
      <c r="B7" s="180"/>
      <c r="C7" s="181"/>
      <c r="D7" s="180"/>
      <c r="E7" s="182"/>
      <c r="F7" s="182"/>
      <c r="G7" s="182" t="s">
        <v>98</v>
      </c>
      <c r="H7" s="182"/>
      <c r="I7" s="182"/>
      <c r="J7" s="182"/>
      <c r="K7" s="182"/>
      <c r="L7" s="182"/>
      <c r="M7" s="182"/>
      <c r="N7" s="182"/>
      <c r="O7" s="182"/>
      <c r="P7" s="181"/>
      <c r="Q7" s="512"/>
    </row>
    <row r="8" spans="1:22" x14ac:dyDescent="0.2">
      <c r="A8" s="189" t="s">
        <v>34</v>
      </c>
      <c r="B8" s="180">
        <v>0</v>
      </c>
      <c r="C8" s="181">
        <v>0</v>
      </c>
      <c r="D8" s="180">
        <v>0</v>
      </c>
      <c r="E8" s="182">
        <v>16328518</v>
      </c>
      <c r="F8" s="182">
        <v>0</v>
      </c>
      <c r="G8" s="182">
        <v>0</v>
      </c>
      <c r="H8" s="182">
        <f>SUM(B8:G8)</f>
        <v>16328518</v>
      </c>
      <c r="I8" s="182">
        <v>0</v>
      </c>
      <c r="J8" s="182">
        <v>0</v>
      </c>
      <c r="K8" s="182">
        <v>0</v>
      </c>
      <c r="L8" s="182">
        <v>0</v>
      </c>
      <c r="M8" s="182">
        <f>SUM(I8:L8)</f>
        <v>0</v>
      </c>
      <c r="N8" s="182">
        <v>0</v>
      </c>
      <c r="O8" s="182">
        <f>SUM(N8)</f>
        <v>0</v>
      </c>
      <c r="P8" s="181">
        <f t="shared" ref="P8:P15" si="0">+O8+H8+M8</f>
        <v>16328518</v>
      </c>
      <c r="Q8" s="511">
        <f>P8/$P$24</f>
        <v>1.2474931582522756E-2</v>
      </c>
    </row>
    <row r="9" spans="1:22" x14ac:dyDescent="0.2">
      <c r="A9" s="189"/>
      <c r="B9" s="180"/>
      <c r="C9" s="181"/>
      <c r="D9" s="180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1"/>
      <c r="Q9" s="512"/>
    </row>
    <row r="10" spans="1:22" x14ac:dyDescent="0.2">
      <c r="A10" s="189" t="s">
        <v>35</v>
      </c>
      <c r="B10" s="180">
        <v>0</v>
      </c>
      <c r="C10" s="181">
        <v>0</v>
      </c>
      <c r="D10" s="180">
        <v>0</v>
      </c>
      <c r="E10" s="182">
        <v>11146209</v>
      </c>
      <c r="F10" s="182">
        <v>0</v>
      </c>
      <c r="G10" s="182">
        <v>0</v>
      </c>
      <c r="H10" s="182">
        <f>SUM(B10:G10)</f>
        <v>11146209</v>
      </c>
      <c r="I10" s="182">
        <v>0</v>
      </c>
      <c r="J10" s="182">
        <v>0</v>
      </c>
      <c r="K10" s="182">
        <v>148294545</v>
      </c>
      <c r="L10" s="182">
        <v>0</v>
      </c>
      <c r="M10" s="182">
        <f>SUM(I10:L10)</f>
        <v>148294545</v>
      </c>
      <c r="N10" s="182">
        <v>0</v>
      </c>
      <c r="O10" s="182">
        <f>SUM(N10)</f>
        <v>0</v>
      </c>
      <c r="P10" s="181">
        <f t="shared" si="0"/>
        <v>159440754</v>
      </c>
      <c r="Q10" s="511">
        <f>P10/$P$24</f>
        <v>0.12181218758590592</v>
      </c>
    </row>
    <row r="11" spans="1:22" x14ac:dyDescent="0.2">
      <c r="A11" s="189" t="s">
        <v>95</v>
      </c>
      <c r="B11" s="180"/>
      <c r="C11" s="181"/>
      <c r="D11" s="180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1"/>
      <c r="Q11" s="512"/>
    </row>
    <row r="12" spans="1:22" x14ac:dyDescent="0.2">
      <c r="A12" s="187"/>
      <c r="B12" s="180"/>
      <c r="C12" s="183"/>
      <c r="D12" s="184"/>
      <c r="E12" s="190"/>
      <c r="F12" s="190"/>
      <c r="G12" s="182"/>
      <c r="H12" s="182"/>
      <c r="I12" s="182"/>
      <c r="J12" s="182"/>
      <c r="K12" s="182"/>
      <c r="L12" s="182"/>
      <c r="M12" s="182"/>
      <c r="N12" s="182"/>
      <c r="O12" s="182"/>
      <c r="P12" s="181"/>
      <c r="Q12" s="512"/>
    </row>
    <row r="13" spans="1:22" x14ac:dyDescent="0.2">
      <c r="A13" s="189" t="s">
        <v>36</v>
      </c>
      <c r="B13" s="180">
        <v>0</v>
      </c>
      <c r="C13" s="181">
        <v>0</v>
      </c>
      <c r="D13" s="180">
        <v>0</v>
      </c>
      <c r="E13" s="182">
        <v>968495</v>
      </c>
      <c r="F13" s="182">
        <v>0</v>
      </c>
      <c r="G13" s="182">
        <v>0</v>
      </c>
      <c r="H13" s="182">
        <f>SUM(B13:G13)</f>
        <v>968495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1">
        <f t="shared" si="0"/>
        <v>968495</v>
      </c>
      <c r="Q13" s="511">
        <f>P13/$P$24</f>
        <v>7.3992684841425141E-4</v>
      </c>
    </row>
    <row r="14" spans="1:22" x14ac:dyDescent="0.2">
      <c r="A14" s="189"/>
      <c r="B14" s="180"/>
      <c r="C14" s="181"/>
      <c r="D14" s="180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1"/>
      <c r="Q14" s="189"/>
    </row>
    <row r="15" spans="1:22" x14ac:dyDescent="0.2">
      <c r="A15" s="189" t="s">
        <v>37</v>
      </c>
      <c r="B15" s="180">
        <v>0</v>
      </c>
      <c r="C15" s="181">
        <v>0</v>
      </c>
      <c r="D15" s="180">
        <v>0</v>
      </c>
      <c r="E15" s="182">
        <v>13581926</v>
      </c>
      <c r="F15" s="182">
        <v>0</v>
      </c>
      <c r="G15" s="182">
        <v>0</v>
      </c>
      <c r="H15" s="182">
        <f>SUM(B15:G15)</f>
        <v>13581926</v>
      </c>
      <c r="I15" s="182">
        <v>0</v>
      </c>
      <c r="J15" s="182">
        <v>0</v>
      </c>
      <c r="K15" s="182">
        <v>209400643</v>
      </c>
      <c r="L15" s="182">
        <v>0</v>
      </c>
      <c r="M15" s="182">
        <f>SUM(I15:L15)</f>
        <v>209400643</v>
      </c>
      <c r="N15" s="182">
        <v>6730994</v>
      </c>
      <c r="O15" s="182">
        <f>SUM(N15)</f>
        <v>6730994</v>
      </c>
      <c r="P15" s="181">
        <f t="shared" si="0"/>
        <v>229713563</v>
      </c>
      <c r="Q15" s="511">
        <f>P15/$P$24</f>
        <v>0.17550037192613138</v>
      </c>
    </row>
    <row r="16" spans="1:22" x14ac:dyDescent="0.2">
      <c r="A16" s="189"/>
      <c r="B16" s="180"/>
      <c r="C16" s="181"/>
      <c r="D16" s="180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1"/>
      <c r="Q16" s="189"/>
    </row>
    <row r="17" spans="1:17" x14ac:dyDescent="0.2">
      <c r="A17" s="189" t="s">
        <v>41</v>
      </c>
      <c r="B17" s="180"/>
      <c r="C17" s="181"/>
      <c r="D17" s="180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1"/>
      <c r="Q17" s="189"/>
    </row>
    <row r="18" spans="1:17" x14ac:dyDescent="0.2">
      <c r="A18" s="189" t="s">
        <v>42</v>
      </c>
      <c r="B18" s="180"/>
      <c r="C18" s="181"/>
      <c r="D18" s="180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1"/>
      <c r="Q18" s="189"/>
    </row>
    <row r="19" spans="1:17" x14ac:dyDescent="0.2">
      <c r="A19" s="189" t="s">
        <v>38</v>
      </c>
      <c r="B19" s="180"/>
      <c r="C19" s="181"/>
      <c r="D19" s="180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1"/>
      <c r="Q19" s="189"/>
    </row>
    <row r="20" spans="1:17" x14ac:dyDescent="0.2">
      <c r="A20" s="189" t="s">
        <v>39</v>
      </c>
      <c r="B20" s="180"/>
      <c r="C20" s="181"/>
      <c r="D20" s="180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1"/>
      <c r="Q20" s="189"/>
    </row>
    <row r="21" spans="1:17" x14ac:dyDescent="0.2">
      <c r="A21" s="189" t="s">
        <v>40</v>
      </c>
      <c r="B21" s="180"/>
      <c r="C21" s="181"/>
      <c r="D21" s="180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1"/>
      <c r="Q21" s="189"/>
    </row>
    <row r="22" spans="1:17" x14ac:dyDescent="0.2">
      <c r="A22" s="189" t="s">
        <v>86</v>
      </c>
      <c r="B22" s="180"/>
      <c r="C22" s="181"/>
      <c r="D22" s="180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1"/>
      <c r="Q22" s="189"/>
    </row>
    <row r="23" spans="1:17" ht="12" thickBot="1" x14ac:dyDescent="0.25">
      <c r="A23" s="185"/>
      <c r="B23" s="185"/>
      <c r="C23" s="191"/>
      <c r="D23" s="189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1"/>
      <c r="Q23" s="189"/>
    </row>
    <row r="24" spans="1:17" ht="12" thickBot="1" x14ac:dyDescent="0.25">
      <c r="A24" s="193" t="s">
        <v>0</v>
      </c>
      <c r="B24" s="461">
        <f>SUM(B6:B23)</f>
        <v>0</v>
      </c>
      <c r="C24" s="461">
        <f t="shared" ref="C24:P24" si="1">SUM(C6:C23)</f>
        <v>689220481</v>
      </c>
      <c r="D24" s="461">
        <f t="shared" si="1"/>
        <v>97214615</v>
      </c>
      <c r="E24" s="461">
        <f t="shared" si="1"/>
        <v>148428914</v>
      </c>
      <c r="F24" s="461">
        <f t="shared" si="1"/>
        <v>0</v>
      </c>
      <c r="G24" s="461">
        <f t="shared" si="1"/>
        <v>545520</v>
      </c>
      <c r="H24" s="461">
        <f t="shared" si="1"/>
        <v>935409530</v>
      </c>
      <c r="I24" s="461">
        <f t="shared" si="1"/>
        <v>0</v>
      </c>
      <c r="J24" s="461">
        <f t="shared" si="1"/>
        <v>0</v>
      </c>
      <c r="K24" s="461">
        <f t="shared" si="1"/>
        <v>366765893</v>
      </c>
      <c r="L24" s="461">
        <f t="shared" si="1"/>
        <v>0</v>
      </c>
      <c r="M24" s="461">
        <f t="shared" si="1"/>
        <v>366765893</v>
      </c>
      <c r="N24" s="461">
        <f t="shared" si="1"/>
        <v>6730994</v>
      </c>
      <c r="O24" s="461">
        <f t="shared" si="1"/>
        <v>6730994</v>
      </c>
      <c r="P24" s="461">
        <f t="shared" si="1"/>
        <v>1308906417</v>
      </c>
      <c r="Q24" s="510">
        <v>100</v>
      </c>
    </row>
    <row r="25" spans="1:17" x14ac:dyDescent="0.2">
      <c r="A25" s="176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</row>
  </sheetData>
  <mergeCells count="5">
    <mergeCell ref="P3:Q3"/>
    <mergeCell ref="B3:H3"/>
    <mergeCell ref="I3:M3"/>
    <mergeCell ref="A3:A4"/>
    <mergeCell ref="N3:O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85" orientation="landscape" r:id="rId1"/>
  <headerFooter alignWithMargins="0">
    <oddHeader xml:space="preserve">&amp;C&amp;"Arial,Negrita"&amp;18PROYECTO DEL PRESUPUESTO 2022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theme="6" tint="-0.249977111117893"/>
    <pageSetUpPr fitToPage="1"/>
  </sheetPr>
  <dimension ref="A1:V108"/>
  <sheetViews>
    <sheetView topLeftCell="A82" zoomScaleNormal="100" zoomScaleSheetLayoutView="70" zoomScalePageLayoutView="90" workbookViewId="0">
      <selection sqref="A1:R108"/>
    </sheetView>
  </sheetViews>
  <sheetFormatPr baseColWidth="10" defaultColWidth="11.42578125" defaultRowHeight="12" x14ac:dyDescent="0.2"/>
  <cols>
    <col min="1" max="1" width="21.28515625" style="137" customWidth="1"/>
    <col min="2" max="2" width="16.28515625" style="137" bestFit="1" customWidth="1"/>
    <col min="3" max="3" width="5.5703125" style="137" customWidth="1"/>
    <col min="4" max="4" width="10" style="137" customWidth="1"/>
    <col min="5" max="5" width="9.7109375" style="137" customWidth="1"/>
    <col min="6" max="6" width="9.5703125" style="137" customWidth="1"/>
    <col min="7" max="7" width="5.42578125" style="137" customWidth="1"/>
    <col min="8" max="8" width="8.7109375" style="137" customWidth="1"/>
    <col min="9" max="9" width="9.7109375" style="137" customWidth="1"/>
    <col min="10" max="10" width="5.85546875" style="137" customWidth="1"/>
    <col min="11" max="11" width="4.140625" style="137" customWidth="1"/>
    <col min="12" max="12" width="10.28515625" style="137" customWidth="1"/>
    <col min="13" max="13" width="6" style="137" customWidth="1"/>
    <col min="14" max="14" width="11.5703125" style="137" customWidth="1"/>
    <col min="15" max="15" width="8.7109375" style="137" customWidth="1"/>
    <col min="16" max="16" width="10.85546875" style="137" customWidth="1"/>
    <col min="17" max="17" width="10.5703125" style="137" customWidth="1"/>
    <col min="18" max="18" width="7.7109375" style="137" customWidth="1"/>
    <col min="19" max="16384" width="11.42578125" style="137"/>
  </cols>
  <sheetData>
    <row r="1" spans="1:22" s="5" customFormat="1" x14ac:dyDescent="0.2">
      <c r="A1" s="162" t="s">
        <v>407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 x14ac:dyDescent="0.25">
      <c r="A2" s="164" t="s">
        <v>569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27" customHeight="1" x14ac:dyDescent="0.2">
      <c r="A3" s="578" t="s">
        <v>130</v>
      </c>
      <c r="B3" s="585" t="s">
        <v>131</v>
      </c>
      <c r="C3" s="580" t="s">
        <v>22</v>
      </c>
      <c r="D3" s="581"/>
      <c r="E3" s="581"/>
      <c r="F3" s="581"/>
      <c r="G3" s="581"/>
      <c r="H3" s="581"/>
      <c r="I3" s="582"/>
      <c r="J3" s="583" t="s">
        <v>111</v>
      </c>
      <c r="K3" s="576"/>
      <c r="L3" s="576"/>
      <c r="M3" s="576"/>
      <c r="N3" s="577"/>
      <c r="O3" s="584" t="s">
        <v>96</v>
      </c>
      <c r="P3" s="576"/>
      <c r="Q3" s="576" t="s">
        <v>0</v>
      </c>
      <c r="R3" s="577"/>
    </row>
    <row r="4" spans="1:22" ht="112.5" customHeight="1" thickBot="1" x14ac:dyDescent="0.25">
      <c r="A4" s="579"/>
      <c r="B4" s="586"/>
      <c r="C4" s="219" t="s">
        <v>248</v>
      </c>
      <c r="D4" s="220" t="s">
        <v>249</v>
      </c>
      <c r="E4" s="220" t="s">
        <v>250</v>
      </c>
      <c r="F4" s="220" t="s">
        <v>251</v>
      </c>
      <c r="G4" s="220" t="s">
        <v>252</v>
      </c>
      <c r="H4" s="220" t="s">
        <v>253</v>
      </c>
      <c r="I4" s="221" t="s">
        <v>108</v>
      </c>
      <c r="J4" s="219" t="s">
        <v>252</v>
      </c>
      <c r="K4" s="220" t="s">
        <v>253</v>
      </c>
      <c r="L4" s="220" t="s">
        <v>254</v>
      </c>
      <c r="M4" s="220" t="s">
        <v>255</v>
      </c>
      <c r="N4" s="221" t="s">
        <v>109</v>
      </c>
      <c r="O4" s="222" t="s">
        <v>256</v>
      </c>
      <c r="P4" s="220" t="s">
        <v>110</v>
      </c>
      <c r="Q4" s="223" t="s">
        <v>30</v>
      </c>
      <c r="R4" s="224" t="s">
        <v>94</v>
      </c>
    </row>
    <row r="5" spans="1:22" x14ac:dyDescent="0.2">
      <c r="A5" s="23" t="s">
        <v>132</v>
      </c>
      <c r="B5" s="58">
        <v>2020</v>
      </c>
      <c r="C5" s="463"/>
      <c r="D5" s="464"/>
      <c r="E5" s="464"/>
      <c r="F5" s="464"/>
      <c r="G5" s="464"/>
      <c r="H5" s="462"/>
      <c r="I5" s="465"/>
      <c r="J5" s="463"/>
      <c r="K5" s="464"/>
      <c r="L5" s="464"/>
      <c r="M5" s="464"/>
      <c r="N5" s="465"/>
      <c r="O5" s="466"/>
      <c r="P5" s="465"/>
      <c r="Q5" s="464"/>
      <c r="R5" s="105"/>
    </row>
    <row r="6" spans="1:22" x14ac:dyDescent="0.2">
      <c r="A6" s="26"/>
      <c r="B6" s="16">
        <v>2021</v>
      </c>
      <c r="C6" s="467"/>
      <c r="D6" s="462"/>
      <c r="E6" s="462"/>
      <c r="F6" s="468"/>
      <c r="G6" s="468"/>
      <c r="H6" s="468"/>
      <c r="I6" s="469"/>
      <c r="J6" s="467"/>
      <c r="K6" s="468"/>
      <c r="L6" s="468"/>
      <c r="M6" s="468"/>
      <c r="N6" s="469"/>
      <c r="O6" s="470"/>
      <c r="P6" s="469"/>
      <c r="Q6" s="468"/>
      <c r="R6" s="106"/>
    </row>
    <row r="7" spans="1:22" x14ac:dyDescent="0.2">
      <c r="A7" s="26"/>
      <c r="B7" s="16">
        <v>2022</v>
      </c>
      <c r="C7" s="471"/>
      <c r="D7" s="472"/>
      <c r="E7" s="472"/>
      <c r="F7" s="472"/>
      <c r="G7" s="472"/>
      <c r="H7" s="472"/>
      <c r="I7" s="473"/>
      <c r="J7" s="471"/>
      <c r="K7" s="472"/>
      <c r="L7" s="472"/>
      <c r="M7" s="472"/>
      <c r="N7" s="473"/>
      <c r="O7" s="474"/>
      <c r="P7" s="473"/>
      <c r="Q7" s="472"/>
      <c r="R7" s="107"/>
    </row>
    <row r="8" spans="1:22" ht="12.75" thickBot="1" x14ac:dyDescent="0.25">
      <c r="A8" s="88"/>
      <c r="B8" s="104" t="s">
        <v>408</v>
      </c>
      <c r="C8" s="475"/>
      <c r="D8" s="476"/>
      <c r="E8" s="476"/>
      <c r="F8" s="476"/>
      <c r="G8" s="476"/>
      <c r="H8" s="476"/>
      <c r="I8" s="477"/>
      <c r="J8" s="475"/>
      <c r="K8" s="476"/>
      <c r="L8" s="476"/>
      <c r="M8" s="476"/>
      <c r="N8" s="477"/>
      <c r="O8" s="478"/>
      <c r="P8" s="477"/>
      <c r="Q8" s="476"/>
      <c r="R8" s="108"/>
    </row>
    <row r="9" spans="1:22" x14ac:dyDescent="0.2">
      <c r="A9" s="4" t="s">
        <v>133</v>
      </c>
      <c r="B9" s="58">
        <v>2020</v>
      </c>
      <c r="C9" s="479"/>
      <c r="D9" s="480"/>
      <c r="E9" s="480"/>
      <c r="F9" s="480"/>
      <c r="G9" s="480"/>
      <c r="H9" s="480"/>
      <c r="I9" s="481"/>
      <c r="J9" s="479"/>
      <c r="K9" s="480"/>
      <c r="L9" s="480"/>
      <c r="M9" s="480"/>
      <c r="N9" s="481"/>
      <c r="O9" s="482"/>
      <c r="P9" s="481"/>
      <c r="Q9" s="480"/>
      <c r="R9" s="109"/>
    </row>
    <row r="10" spans="1:22" x14ac:dyDescent="0.2">
      <c r="A10" s="26"/>
      <c r="B10" s="16">
        <v>2021</v>
      </c>
      <c r="C10" s="467"/>
      <c r="D10" s="468"/>
      <c r="E10" s="468"/>
      <c r="F10" s="468"/>
      <c r="G10" s="468"/>
      <c r="H10" s="468"/>
      <c r="I10" s="469"/>
      <c r="J10" s="467"/>
      <c r="K10" s="468"/>
      <c r="L10" s="468"/>
      <c r="M10" s="468"/>
      <c r="N10" s="469"/>
      <c r="O10" s="470"/>
      <c r="P10" s="469"/>
      <c r="Q10" s="468"/>
      <c r="R10" s="106"/>
    </row>
    <row r="11" spans="1:22" x14ac:dyDescent="0.2">
      <c r="A11" s="26"/>
      <c r="B11" s="16">
        <v>2022</v>
      </c>
      <c r="C11" s="467"/>
      <c r="D11" s="468"/>
      <c r="E11" s="468"/>
      <c r="F11" s="468"/>
      <c r="G11" s="468"/>
      <c r="H11" s="468"/>
      <c r="I11" s="469"/>
      <c r="J11" s="467"/>
      <c r="K11" s="468"/>
      <c r="L11" s="468"/>
      <c r="M11" s="468"/>
      <c r="N11" s="469"/>
      <c r="O11" s="470"/>
      <c r="P11" s="469"/>
      <c r="Q11" s="468"/>
      <c r="R11" s="106"/>
    </row>
    <row r="12" spans="1:22" ht="12.75" thickBot="1" x14ac:dyDescent="0.25">
      <c r="A12" s="28"/>
      <c r="B12" s="104" t="s">
        <v>408</v>
      </c>
      <c r="C12" s="475"/>
      <c r="D12" s="483"/>
      <c r="E12" s="483"/>
      <c r="F12" s="483" t="s">
        <v>98</v>
      </c>
      <c r="G12" s="483"/>
      <c r="H12" s="476"/>
      <c r="I12" s="477"/>
      <c r="J12" s="475"/>
      <c r="K12" s="476"/>
      <c r="L12" s="476"/>
      <c r="M12" s="476"/>
      <c r="N12" s="477"/>
      <c r="O12" s="478"/>
      <c r="P12" s="477"/>
      <c r="Q12" s="476"/>
      <c r="R12" s="108"/>
    </row>
    <row r="13" spans="1:22" ht="12.75" thickBot="1" x14ac:dyDescent="0.25">
      <c r="A13" s="23" t="s">
        <v>134</v>
      </c>
      <c r="B13" s="58">
        <v>2020</v>
      </c>
      <c r="C13" s="463"/>
      <c r="D13" s="464">
        <v>14686633</v>
      </c>
      <c r="E13" s="464">
        <v>9281894</v>
      </c>
      <c r="F13" s="464">
        <v>17792779</v>
      </c>
      <c r="G13" s="464">
        <v>0</v>
      </c>
      <c r="H13" s="462">
        <v>20000</v>
      </c>
      <c r="I13" s="465">
        <f>SUM(C13:H13)</f>
        <v>41781306</v>
      </c>
      <c r="J13" s="463"/>
      <c r="K13" s="464"/>
      <c r="L13" s="464">
        <v>8548802</v>
      </c>
      <c r="M13" s="464"/>
      <c r="N13" s="465">
        <f>SUM(J13:M13)</f>
        <v>8548802</v>
      </c>
      <c r="O13" s="466"/>
      <c r="P13" s="465">
        <f>SUM(O13:O13)</f>
        <v>0</v>
      </c>
      <c r="Q13" s="464">
        <f>+P13+N13+I13</f>
        <v>50330108</v>
      </c>
      <c r="R13" s="513">
        <f>Q13/$Q$105</f>
        <v>4.9585368100786197E-2</v>
      </c>
    </row>
    <row r="14" spans="1:22" ht="12.75" thickBot="1" x14ac:dyDescent="0.25">
      <c r="A14" s="26"/>
      <c r="B14" s="16">
        <v>2021</v>
      </c>
      <c r="C14" s="467"/>
      <c r="D14" s="462">
        <v>5999473</v>
      </c>
      <c r="E14" s="468"/>
      <c r="F14" s="462">
        <v>14754471</v>
      </c>
      <c r="G14" s="468"/>
      <c r="H14" s="468"/>
      <c r="I14" s="465">
        <f t="shared" ref="I14:I15" si="0">SUM(C14:H14)</f>
        <v>20753944</v>
      </c>
      <c r="J14" s="467"/>
      <c r="K14" s="468"/>
      <c r="L14" s="462">
        <v>7779305</v>
      </c>
      <c r="M14" s="468"/>
      <c r="N14" s="465">
        <f t="shared" ref="N14:N15" si="1">SUM(J14:M14)</f>
        <v>7779305</v>
      </c>
      <c r="O14" s="470"/>
      <c r="P14" s="465">
        <f t="shared" ref="P14:P15" si="2">SUM(O14:O14)</f>
        <v>0</v>
      </c>
      <c r="Q14" s="464">
        <f t="shared" ref="Q14:Q15" si="3">+P14+N14+I14</f>
        <v>28533249</v>
      </c>
      <c r="R14" s="513">
        <f t="shared" ref="R14:R15" si="4">Q14/$Q$105</f>
        <v>2.8111039514884202E-2</v>
      </c>
    </row>
    <row r="15" spans="1:22" x14ac:dyDescent="0.2">
      <c r="A15" s="26"/>
      <c r="B15" s="16">
        <v>2022</v>
      </c>
      <c r="C15" s="467"/>
      <c r="D15" s="468">
        <v>6277177</v>
      </c>
      <c r="E15" s="468"/>
      <c r="F15" s="468">
        <v>24630155</v>
      </c>
      <c r="G15" s="468"/>
      <c r="H15" s="468"/>
      <c r="I15" s="465">
        <f t="shared" si="0"/>
        <v>30907332</v>
      </c>
      <c r="J15" s="467"/>
      <c r="K15" s="468"/>
      <c r="L15" s="468">
        <v>6611108</v>
      </c>
      <c r="M15" s="468"/>
      <c r="N15" s="465">
        <f t="shared" si="1"/>
        <v>6611108</v>
      </c>
      <c r="O15" s="470"/>
      <c r="P15" s="465">
        <f t="shared" si="2"/>
        <v>0</v>
      </c>
      <c r="Q15" s="464">
        <f t="shared" si="3"/>
        <v>37518440</v>
      </c>
      <c r="R15" s="513">
        <f t="shared" si="4"/>
        <v>3.6963275699055935E-2</v>
      </c>
    </row>
    <row r="16" spans="1:22" ht="12.75" thickBot="1" x14ac:dyDescent="0.25">
      <c r="A16" s="28"/>
      <c r="B16" s="104" t="s">
        <v>408</v>
      </c>
      <c r="C16" s="475"/>
      <c r="D16" s="476">
        <f>((D14-D15)/D15)*100</f>
        <v>-4.4240269152837328</v>
      </c>
      <c r="E16" s="476"/>
      <c r="F16" s="476">
        <f t="shared" ref="F16:I16" si="5">((F14-F15)/F15)*100</f>
        <v>-40.095906826408523</v>
      </c>
      <c r="G16" s="476"/>
      <c r="H16" s="476"/>
      <c r="I16" s="484">
        <f t="shared" si="5"/>
        <v>-32.85106588947891</v>
      </c>
      <c r="J16" s="475"/>
      <c r="K16" s="476"/>
      <c r="L16" s="476">
        <f>((L14-L15)/L15)*100</f>
        <v>17.67021503808439</v>
      </c>
      <c r="M16" s="476"/>
      <c r="N16" s="484">
        <f t="shared" ref="N16" si="6">((N14-N15)/N15)*100</f>
        <v>17.67021503808439</v>
      </c>
      <c r="O16" s="476"/>
      <c r="P16" s="484" t="e">
        <f t="shared" ref="P16:Q16" si="7">((P14-P15)/P15)*100</f>
        <v>#DIV/0!</v>
      </c>
      <c r="Q16" s="476">
        <f t="shared" si="7"/>
        <v>-23.948732943054136</v>
      </c>
      <c r="R16" s="514"/>
    </row>
    <row r="17" spans="1:18" x14ac:dyDescent="0.2">
      <c r="A17" s="23" t="s">
        <v>257</v>
      </c>
      <c r="B17" s="58">
        <v>2020</v>
      </c>
      <c r="C17" s="463"/>
      <c r="D17" s="464"/>
      <c r="E17" s="464"/>
      <c r="F17" s="464"/>
      <c r="G17" s="464"/>
      <c r="H17" s="464"/>
      <c r="I17" s="465"/>
      <c r="J17" s="463"/>
      <c r="K17" s="464"/>
      <c r="L17" s="464"/>
      <c r="M17" s="464"/>
      <c r="N17" s="465"/>
      <c r="O17" s="466"/>
      <c r="P17" s="465"/>
      <c r="Q17" s="464"/>
      <c r="R17" s="513"/>
    </row>
    <row r="18" spans="1:18" x14ac:dyDescent="0.2">
      <c r="A18" s="26"/>
      <c r="B18" s="16">
        <v>2021</v>
      </c>
      <c r="C18" s="467"/>
      <c r="D18" s="468"/>
      <c r="E18" s="468"/>
      <c r="F18" s="468"/>
      <c r="G18" s="468"/>
      <c r="H18" s="468"/>
      <c r="I18" s="469"/>
      <c r="J18" s="467"/>
      <c r="K18" s="468"/>
      <c r="L18" s="468"/>
      <c r="M18" s="468"/>
      <c r="N18" s="469"/>
      <c r="O18" s="470"/>
      <c r="P18" s="469"/>
      <c r="Q18" s="468"/>
      <c r="R18" s="515"/>
    </row>
    <row r="19" spans="1:18" x14ac:dyDescent="0.2">
      <c r="A19" s="26"/>
      <c r="B19" s="16">
        <v>2022</v>
      </c>
      <c r="C19" s="467"/>
      <c r="D19" s="468"/>
      <c r="E19" s="468"/>
      <c r="F19" s="468"/>
      <c r="G19" s="468"/>
      <c r="H19" s="468"/>
      <c r="I19" s="469"/>
      <c r="J19" s="467"/>
      <c r="K19" s="468"/>
      <c r="L19" s="468"/>
      <c r="M19" s="468"/>
      <c r="N19" s="469"/>
      <c r="O19" s="470"/>
      <c r="P19" s="469"/>
      <c r="Q19" s="468"/>
      <c r="R19" s="515"/>
    </row>
    <row r="20" spans="1:18" ht="12.75" thickBot="1" x14ac:dyDescent="0.25">
      <c r="A20" s="28"/>
      <c r="B20" s="104" t="s">
        <v>408</v>
      </c>
      <c r="C20" s="475"/>
      <c r="D20" s="476"/>
      <c r="E20" s="476"/>
      <c r="F20" s="476"/>
      <c r="G20" s="476"/>
      <c r="H20" s="476"/>
      <c r="I20" s="477"/>
      <c r="J20" s="475"/>
      <c r="K20" s="476"/>
      <c r="L20" s="476"/>
      <c r="M20" s="476"/>
      <c r="N20" s="477"/>
      <c r="O20" s="478"/>
      <c r="P20" s="477"/>
      <c r="Q20" s="476"/>
      <c r="R20" s="514"/>
    </row>
    <row r="21" spans="1:18" ht="12.75" thickBot="1" x14ac:dyDescent="0.25">
      <c r="A21" s="23" t="s">
        <v>258</v>
      </c>
      <c r="B21" s="58">
        <v>2020</v>
      </c>
      <c r="C21" s="463"/>
      <c r="D21" s="464"/>
      <c r="E21" s="464">
        <v>1400000</v>
      </c>
      <c r="F21" s="462">
        <v>1226876</v>
      </c>
      <c r="G21" s="464"/>
      <c r="H21" s="464"/>
      <c r="I21" s="465">
        <f>SUM(C21:H21)</f>
        <v>2626876</v>
      </c>
      <c r="J21" s="463"/>
      <c r="K21" s="464"/>
      <c r="L21" s="462">
        <v>150400280</v>
      </c>
      <c r="M21" s="464"/>
      <c r="N21" s="465">
        <f t="shared" ref="N21:N23" si="8">SUM(J21:M21)</f>
        <v>150400280</v>
      </c>
      <c r="O21" s="466"/>
      <c r="P21" s="465">
        <f t="shared" ref="P21:P23" si="9">SUM(O21:O21)</f>
        <v>0</v>
      </c>
      <c r="Q21" s="464">
        <f>+N21+P21+I21</f>
        <v>153027156</v>
      </c>
      <c r="R21" s="513">
        <f t="shared" ref="R21:R23" si="10">Q21/$Q$105</f>
        <v>0.15076279708512513</v>
      </c>
    </row>
    <row r="22" spans="1:18" ht="12.75" thickBot="1" x14ac:dyDescent="0.25">
      <c r="A22" s="26"/>
      <c r="B22" s="16">
        <v>2021</v>
      </c>
      <c r="C22" s="467"/>
      <c r="D22" s="468"/>
      <c r="E22" s="462">
        <v>1388054</v>
      </c>
      <c r="F22" s="462">
        <v>1024280</v>
      </c>
      <c r="G22" s="468"/>
      <c r="H22" s="468"/>
      <c r="I22" s="465">
        <f t="shared" ref="I22:I23" si="11">SUM(C22:H22)</f>
        <v>2412334</v>
      </c>
      <c r="J22" s="467"/>
      <c r="K22" s="468"/>
      <c r="L22" s="462">
        <v>135089382</v>
      </c>
      <c r="M22" s="468"/>
      <c r="N22" s="465">
        <f t="shared" si="8"/>
        <v>135089382</v>
      </c>
      <c r="O22" s="470"/>
      <c r="P22" s="465">
        <f t="shared" si="9"/>
        <v>0</v>
      </c>
      <c r="Q22" s="464">
        <f t="shared" ref="Q22:Q23" si="12">+N22+P22+I22</f>
        <v>137501716</v>
      </c>
      <c r="R22" s="513">
        <f t="shared" si="10"/>
        <v>0.13546708865297413</v>
      </c>
    </row>
    <row r="23" spans="1:18" x14ac:dyDescent="0.2">
      <c r="A23" s="26"/>
      <c r="B23" s="16">
        <v>2022</v>
      </c>
      <c r="C23" s="467"/>
      <c r="D23" s="468"/>
      <c r="E23" s="485">
        <v>1388054</v>
      </c>
      <c r="F23" s="485">
        <v>1067666</v>
      </c>
      <c r="G23" s="468"/>
      <c r="H23" s="468"/>
      <c r="I23" s="465">
        <f t="shared" si="11"/>
        <v>2455720</v>
      </c>
      <c r="J23" s="467"/>
      <c r="K23" s="468"/>
      <c r="L23" s="468">
        <v>116421699</v>
      </c>
      <c r="M23" s="468"/>
      <c r="N23" s="465">
        <f t="shared" si="8"/>
        <v>116421699</v>
      </c>
      <c r="O23" s="470"/>
      <c r="P23" s="465">
        <f t="shared" si="9"/>
        <v>0</v>
      </c>
      <c r="Q23" s="464">
        <f t="shared" si="12"/>
        <v>118877419</v>
      </c>
      <c r="R23" s="513">
        <f t="shared" si="10"/>
        <v>0.11711837733363088</v>
      </c>
    </row>
    <row r="24" spans="1:18" ht="12.75" thickBot="1" x14ac:dyDescent="0.25">
      <c r="A24" s="28"/>
      <c r="B24" s="104" t="s">
        <v>408</v>
      </c>
      <c r="C24" s="475"/>
      <c r="D24" s="476"/>
      <c r="E24" s="476">
        <f>((E22-E23)/E23)*100</f>
        <v>0</v>
      </c>
      <c r="F24" s="476">
        <f>((F22-F23)/F23)*100</f>
        <v>-4.0636303862818526</v>
      </c>
      <c r="G24" s="476"/>
      <c r="H24" s="476"/>
      <c r="I24" s="476">
        <f t="shared" ref="I24:Q24" si="13">((I22-I23)/I23)*100</f>
        <v>-1.7667323636245174</v>
      </c>
      <c r="J24" s="476"/>
      <c r="K24" s="476"/>
      <c r="L24" s="476">
        <f t="shared" si="13"/>
        <v>16.034539231385036</v>
      </c>
      <c r="M24" s="476"/>
      <c r="N24" s="476">
        <f t="shared" si="13"/>
        <v>16.034539231385036</v>
      </c>
      <c r="O24" s="476"/>
      <c r="P24" s="476" t="e">
        <f t="shared" si="13"/>
        <v>#DIV/0!</v>
      </c>
      <c r="Q24" s="476">
        <f t="shared" si="13"/>
        <v>15.666808008340086</v>
      </c>
      <c r="R24" s="514"/>
    </row>
    <row r="25" spans="1:18" x14ac:dyDescent="0.2">
      <c r="A25" s="23" t="s">
        <v>259</v>
      </c>
      <c r="B25" s="58">
        <v>2020</v>
      </c>
      <c r="C25" s="463"/>
      <c r="D25" s="464"/>
      <c r="E25" s="464"/>
      <c r="F25" s="464"/>
      <c r="G25" s="464"/>
      <c r="H25" s="464"/>
      <c r="I25" s="465"/>
      <c r="J25" s="463"/>
      <c r="K25" s="464"/>
      <c r="L25" s="464"/>
      <c r="M25" s="464"/>
      <c r="N25" s="465"/>
      <c r="O25" s="466"/>
      <c r="P25" s="465"/>
      <c r="Q25" s="464"/>
      <c r="R25" s="513"/>
    </row>
    <row r="26" spans="1:18" x14ac:dyDescent="0.2">
      <c r="A26" s="26"/>
      <c r="B26" s="16">
        <v>2021</v>
      </c>
      <c r="C26" s="467"/>
      <c r="D26" s="468"/>
      <c r="E26" s="468"/>
      <c r="F26" s="468"/>
      <c r="G26" s="468"/>
      <c r="H26" s="468"/>
      <c r="I26" s="469"/>
      <c r="J26" s="467"/>
      <c r="K26" s="468"/>
      <c r="L26" s="468"/>
      <c r="M26" s="468"/>
      <c r="N26" s="469"/>
      <c r="O26" s="470"/>
      <c r="P26" s="469"/>
      <c r="Q26" s="468"/>
      <c r="R26" s="515"/>
    </row>
    <row r="27" spans="1:18" x14ac:dyDescent="0.2">
      <c r="A27" s="26"/>
      <c r="B27" s="16">
        <v>2022</v>
      </c>
      <c r="C27" s="467"/>
      <c r="D27" s="468"/>
      <c r="E27" s="468"/>
      <c r="F27" s="468"/>
      <c r="G27" s="468"/>
      <c r="H27" s="468"/>
      <c r="I27" s="469"/>
      <c r="J27" s="467"/>
      <c r="K27" s="468"/>
      <c r="L27" s="468"/>
      <c r="M27" s="468"/>
      <c r="N27" s="469"/>
      <c r="O27" s="470"/>
      <c r="P27" s="469"/>
      <c r="Q27" s="468"/>
      <c r="R27" s="515"/>
    </row>
    <row r="28" spans="1:18" ht="12.75" thickBot="1" x14ac:dyDescent="0.25">
      <c r="A28" s="28"/>
      <c r="B28" s="104" t="s">
        <v>408</v>
      </c>
      <c r="C28" s="475"/>
      <c r="D28" s="476"/>
      <c r="E28" s="476"/>
      <c r="F28" s="476"/>
      <c r="G28" s="476"/>
      <c r="H28" s="476"/>
      <c r="I28" s="477"/>
      <c r="J28" s="475"/>
      <c r="K28" s="476"/>
      <c r="L28" s="476"/>
      <c r="M28" s="476"/>
      <c r="N28" s="477"/>
      <c r="O28" s="478"/>
      <c r="P28" s="477"/>
      <c r="Q28" s="476"/>
      <c r="R28" s="514"/>
    </row>
    <row r="29" spans="1:18" ht="12.75" thickBot="1" x14ac:dyDescent="0.25">
      <c r="A29" s="23" t="s">
        <v>260</v>
      </c>
      <c r="B29" s="58">
        <v>2020</v>
      </c>
      <c r="C29" s="463"/>
      <c r="D29" s="464">
        <v>784040</v>
      </c>
      <c r="E29" s="464"/>
      <c r="F29" s="462">
        <v>1673483</v>
      </c>
      <c r="G29" s="464"/>
      <c r="H29" s="464"/>
      <c r="I29" s="465">
        <f>SUM(C29:H29)</f>
        <v>2457523</v>
      </c>
      <c r="J29" s="463"/>
      <c r="K29" s="464"/>
      <c r="L29" s="464"/>
      <c r="M29" s="464"/>
      <c r="N29" s="465">
        <f t="shared" ref="N29:N31" si="14">SUM(J29:M29)</f>
        <v>0</v>
      </c>
      <c r="O29" s="466"/>
      <c r="P29" s="465">
        <f>SUM(J29:O29)</f>
        <v>0</v>
      </c>
      <c r="Q29" s="464">
        <f>+N29+P29+I29</f>
        <v>2457523</v>
      </c>
      <c r="R29" s="513">
        <f>Q29/$Q$105</f>
        <v>2.4211587738128515E-3</v>
      </c>
    </row>
    <row r="30" spans="1:18" ht="12.75" thickBot="1" x14ac:dyDescent="0.25">
      <c r="A30" s="26"/>
      <c r="B30" s="16">
        <v>2021</v>
      </c>
      <c r="C30" s="467"/>
      <c r="D30" s="462">
        <v>784040</v>
      </c>
      <c r="E30" s="468"/>
      <c r="F30" s="462">
        <v>1373066</v>
      </c>
      <c r="G30" s="468"/>
      <c r="H30" s="468"/>
      <c r="I30" s="465">
        <f t="shared" ref="I30:I31" si="15">SUM(C30:H30)</f>
        <v>2157106</v>
      </c>
      <c r="J30" s="467"/>
      <c r="K30" s="468"/>
      <c r="L30" s="468"/>
      <c r="M30" s="468"/>
      <c r="N30" s="465">
        <f t="shared" si="14"/>
        <v>0</v>
      </c>
      <c r="O30" s="470"/>
      <c r="P30" s="465">
        <f t="shared" ref="P30:P31" si="16">SUM(J30:O30)</f>
        <v>0</v>
      </c>
      <c r="Q30" s="464">
        <f t="shared" ref="Q30:Q31" si="17">+N30+P30+I30</f>
        <v>2157106</v>
      </c>
      <c r="R30" s="513">
        <f>Q30/$Q$105</f>
        <v>2.1251870757442943E-3</v>
      </c>
    </row>
    <row r="31" spans="1:18" x14ac:dyDescent="0.2">
      <c r="A31" s="26"/>
      <c r="B31" s="16">
        <v>2022</v>
      </c>
      <c r="C31" s="467"/>
      <c r="D31" s="468">
        <v>829016</v>
      </c>
      <c r="E31" s="468"/>
      <c r="F31" s="468">
        <v>1178877</v>
      </c>
      <c r="G31" s="468"/>
      <c r="H31" s="468"/>
      <c r="I31" s="465">
        <f t="shared" si="15"/>
        <v>2007893</v>
      </c>
      <c r="J31" s="467"/>
      <c r="K31" s="468"/>
      <c r="L31" s="468"/>
      <c r="M31" s="468"/>
      <c r="N31" s="465">
        <f t="shared" si="14"/>
        <v>0</v>
      </c>
      <c r="O31" s="470"/>
      <c r="P31" s="465">
        <f t="shared" si="16"/>
        <v>0</v>
      </c>
      <c r="Q31" s="464">
        <f t="shared" si="17"/>
        <v>2007893</v>
      </c>
      <c r="R31" s="513">
        <f>Q31/$Q$105</f>
        <v>1.9781819961918598E-3</v>
      </c>
    </row>
    <row r="32" spans="1:18" ht="12.75" thickBot="1" x14ac:dyDescent="0.25">
      <c r="A32" s="28"/>
      <c r="B32" s="104" t="s">
        <v>408</v>
      </c>
      <c r="C32" s="475"/>
      <c r="D32" s="476">
        <f>((D30-D31)/D31)*100</f>
        <v>-5.4252270161251417</v>
      </c>
      <c r="E32" s="476"/>
      <c r="F32" s="476">
        <f t="shared" ref="F32:Q32" si="18">((F30-F31)/F31)*100</f>
        <v>16.472371587536276</v>
      </c>
      <c r="G32" s="476"/>
      <c r="H32" s="476"/>
      <c r="I32" s="476">
        <f t="shared" si="18"/>
        <v>7.4313222865959494</v>
      </c>
      <c r="J32" s="476"/>
      <c r="K32" s="476"/>
      <c r="L32" s="476"/>
      <c r="M32" s="476"/>
      <c r="N32" s="476" t="e">
        <f t="shared" si="18"/>
        <v>#DIV/0!</v>
      </c>
      <c r="O32" s="476"/>
      <c r="P32" s="476" t="e">
        <f t="shared" si="18"/>
        <v>#DIV/0!</v>
      </c>
      <c r="Q32" s="476">
        <f t="shared" si="18"/>
        <v>7.4313222865959494</v>
      </c>
      <c r="R32" s="514"/>
    </row>
    <row r="33" spans="1:18" ht="12.75" thickBot="1" x14ac:dyDescent="0.25">
      <c r="A33" s="23" t="s">
        <v>261</v>
      </c>
      <c r="B33" s="58">
        <v>2020</v>
      </c>
      <c r="C33" s="463"/>
      <c r="D33" s="462">
        <v>131452</v>
      </c>
      <c r="E33" s="464"/>
      <c r="F33" s="462">
        <v>319786</v>
      </c>
      <c r="G33" s="464"/>
      <c r="H33" s="464"/>
      <c r="I33" s="465">
        <f>SUM(C33:H33)</f>
        <v>451238</v>
      </c>
      <c r="J33" s="463"/>
      <c r="K33" s="464"/>
      <c r="L33" s="462">
        <v>470631</v>
      </c>
      <c r="M33" s="464"/>
      <c r="N33" s="465">
        <f t="shared" ref="N33:N35" si="19">SUM(J33:M33)</f>
        <v>470631</v>
      </c>
      <c r="O33" s="466"/>
      <c r="P33" s="465">
        <f t="shared" ref="P33" si="20">SUM(O33:O33)</f>
        <v>0</v>
      </c>
      <c r="Q33" s="464">
        <f>+N33+P33+I33</f>
        <v>921869</v>
      </c>
      <c r="R33" s="513">
        <f t="shared" ref="R33:R35" si="21">Q33/$Q$105</f>
        <v>9.0822800749212906E-4</v>
      </c>
    </row>
    <row r="34" spans="1:18" ht="12.75" thickBot="1" x14ac:dyDescent="0.25">
      <c r="A34" s="26"/>
      <c r="B34" s="16">
        <v>2021</v>
      </c>
      <c r="C34" s="467"/>
      <c r="D34" s="462">
        <v>259532</v>
      </c>
      <c r="E34" s="468"/>
      <c r="F34" s="462">
        <v>240974</v>
      </c>
      <c r="G34" s="468"/>
      <c r="H34" s="468"/>
      <c r="I34" s="465">
        <f t="shared" ref="I34:I35" si="22">SUM(C34:H34)</f>
        <v>500506</v>
      </c>
      <c r="J34" s="467"/>
      <c r="K34" s="468"/>
      <c r="L34" s="468"/>
      <c r="M34" s="468"/>
      <c r="N34" s="465">
        <f t="shared" si="19"/>
        <v>0</v>
      </c>
      <c r="O34" s="470"/>
      <c r="P34" s="465">
        <f t="shared" ref="P34:P35" si="23">SUM(J34:O34)</f>
        <v>0</v>
      </c>
      <c r="Q34" s="464">
        <f t="shared" ref="Q34:Q35" si="24">+N34+P34+I34</f>
        <v>500506</v>
      </c>
      <c r="R34" s="513">
        <f t="shared" si="21"/>
        <v>4.9309996010046505E-4</v>
      </c>
    </row>
    <row r="35" spans="1:18" x14ac:dyDescent="0.2">
      <c r="A35" s="26"/>
      <c r="B35" s="16">
        <v>2022</v>
      </c>
      <c r="C35" s="467"/>
      <c r="D35" s="468">
        <v>331133</v>
      </c>
      <c r="E35" s="468"/>
      <c r="F35" s="468">
        <v>350256</v>
      </c>
      <c r="G35" s="468"/>
      <c r="H35" s="468"/>
      <c r="I35" s="465">
        <f t="shared" si="22"/>
        <v>681389</v>
      </c>
      <c r="J35" s="467"/>
      <c r="K35" s="468"/>
      <c r="L35" s="468"/>
      <c r="M35" s="468"/>
      <c r="N35" s="465">
        <f t="shared" si="19"/>
        <v>0</v>
      </c>
      <c r="O35" s="470"/>
      <c r="P35" s="465">
        <f t="shared" si="23"/>
        <v>0</v>
      </c>
      <c r="Q35" s="464">
        <f t="shared" si="24"/>
        <v>681389</v>
      </c>
      <c r="R35" s="513">
        <f t="shared" si="21"/>
        <v>6.7130641533347398E-4</v>
      </c>
    </row>
    <row r="36" spans="1:18" ht="12.75" thickBot="1" x14ac:dyDescent="0.25">
      <c r="A36" s="28"/>
      <c r="B36" s="104" t="s">
        <v>408</v>
      </c>
      <c r="C36" s="475"/>
      <c r="D36" s="476"/>
      <c r="E36" s="476"/>
      <c r="F36" s="476">
        <f t="shared" ref="F36" si="25">((F34-F35)/F35)*100</f>
        <v>-31.200607555616461</v>
      </c>
      <c r="G36" s="476"/>
      <c r="H36" s="476"/>
      <c r="I36" s="476">
        <f t="shared" ref="I36" si="26">((I34-I35)/I35)*100</f>
        <v>-26.546216625158316</v>
      </c>
      <c r="J36" s="475"/>
      <c r="K36" s="476"/>
      <c r="L36" s="476"/>
      <c r="M36" s="476"/>
      <c r="N36" s="476" t="e">
        <f t="shared" ref="N36" si="27">((N34-N35)/N35)*100</f>
        <v>#DIV/0!</v>
      </c>
      <c r="O36" s="478"/>
      <c r="P36" s="476" t="e">
        <f t="shared" ref="P36:Q36" si="28">((P34-P35)/P35)*100</f>
        <v>#DIV/0!</v>
      </c>
      <c r="Q36" s="476">
        <f t="shared" si="28"/>
        <v>-26.546216625158316</v>
      </c>
      <c r="R36" s="514"/>
    </row>
    <row r="37" spans="1:18" ht="12.75" thickBot="1" x14ac:dyDescent="0.25">
      <c r="A37" s="23" t="s">
        <v>262</v>
      </c>
      <c r="B37" s="58">
        <v>2020</v>
      </c>
      <c r="C37" s="463"/>
      <c r="D37" s="462">
        <v>319220</v>
      </c>
      <c r="E37" s="464"/>
      <c r="F37" s="462">
        <v>1316261</v>
      </c>
      <c r="G37" s="464"/>
      <c r="H37" s="464"/>
      <c r="I37" s="465">
        <f>SUM(C37:H37)</f>
        <v>1635481</v>
      </c>
      <c r="J37" s="463"/>
      <c r="K37" s="464"/>
      <c r="L37" s="462">
        <v>3330178</v>
      </c>
      <c r="M37" s="464"/>
      <c r="N37" s="465">
        <f t="shared" ref="N37:N39" si="29">SUM(J37:M37)</f>
        <v>3330178</v>
      </c>
      <c r="O37" s="466"/>
      <c r="P37" s="465">
        <f t="shared" ref="P37:P39" si="30">SUM(O37:O37)</f>
        <v>0</v>
      </c>
      <c r="Q37" s="464">
        <f t="shared" ref="Q37:Q38" si="31">+N37+P37+I37</f>
        <v>4965659</v>
      </c>
      <c r="R37" s="513">
        <f t="shared" ref="R37:R38" si="32">Q37/$Q$105</f>
        <v>4.8921816217438255E-3</v>
      </c>
    </row>
    <row r="38" spans="1:18" ht="12.75" thickBot="1" x14ac:dyDescent="0.25">
      <c r="A38" s="26"/>
      <c r="B38" s="16">
        <v>2021</v>
      </c>
      <c r="C38" s="467"/>
      <c r="D38" s="462">
        <v>186369</v>
      </c>
      <c r="E38" s="468"/>
      <c r="F38" s="462">
        <v>1225762</v>
      </c>
      <c r="G38" s="468"/>
      <c r="H38" s="468"/>
      <c r="I38" s="465">
        <f t="shared" ref="I38:I39" si="33">SUM(C38:H38)</f>
        <v>1412131</v>
      </c>
      <c r="J38" s="467"/>
      <c r="K38" s="468"/>
      <c r="L38" s="462">
        <v>7000</v>
      </c>
      <c r="M38" s="468"/>
      <c r="N38" s="465">
        <f t="shared" si="29"/>
        <v>7000</v>
      </c>
      <c r="O38" s="470"/>
      <c r="P38" s="465">
        <f t="shared" si="30"/>
        <v>0</v>
      </c>
      <c r="Q38" s="464">
        <f t="shared" si="31"/>
        <v>1419131</v>
      </c>
      <c r="R38" s="513">
        <f t="shared" si="32"/>
        <v>1.3981319694016316E-3</v>
      </c>
    </row>
    <row r="39" spans="1:18" x14ac:dyDescent="0.2">
      <c r="A39" s="26"/>
      <c r="B39" s="16">
        <v>2022</v>
      </c>
      <c r="C39" s="467"/>
      <c r="D39" s="468">
        <v>254582</v>
      </c>
      <c r="E39" s="468"/>
      <c r="F39" s="468">
        <v>521192</v>
      </c>
      <c r="G39" s="468"/>
      <c r="H39" s="468"/>
      <c r="I39" s="465">
        <f t="shared" si="33"/>
        <v>775774</v>
      </c>
      <c r="J39" s="467"/>
      <c r="K39" s="468"/>
      <c r="L39" s="468">
        <v>60000</v>
      </c>
      <c r="M39" s="468"/>
      <c r="N39" s="465">
        <f t="shared" si="29"/>
        <v>60000</v>
      </c>
      <c r="O39" s="470"/>
      <c r="P39" s="465">
        <f t="shared" si="30"/>
        <v>0</v>
      </c>
      <c r="Q39" s="464">
        <f>+N39+P39+I39</f>
        <v>835774</v>
      </c>
      <c r="R39" s="513">
        <f>Q39/$Q$105</f>
        <v>8.2340696425818279E-4</v>
      </c>
    </row>
    <row r="40" spans="1:18" ht="12.75" thickBot="1" x14ac:dyDescent="0.25">
      <c r="A40" s="28"/>
      <c r="B40" s="104" t="s">
        <v>408</v>
      </c>
      <c r="C40" s="475"/>
      <c r="D40" s="476"/>
      <c r="E40" s="476"/>
      <c r="F40" s="476">
        <f t="shared" ref="F40" si="34">((F38-F39)/F39)*100</f>
        <v>135.18434665152191</v>
      </c>
      <c r="G40" s="476"/>
      <c r="H40" s="476"/>
      <c r="I40" s="476">
        <f t="shared" ref="I40" si="35">((I38-I39)/I39)*100</f>
        <v>82.028657830759983</v>
      </c>
      <c r="J40" s="475"/>
      <c r="K40" s="476"/>
      <c r="L40" s="476"/>
      <c r="M40" s="476"/>
      <c r="N40" s="476">
        <f t="shared" ref="N40" si="36">((N38-N39)/N39)*100</f>
        <v>-88.333333333333329</v>
      </c>
      <c r="O40" s="478"/>
      <c r="P40" s="476" t="e">
        <f t="shared" ref="P40:Q40" si="37">((P38-P39)/P39)*100</f>
        <v>#DIV/0!</v>
      </c>
      <c r="Q40" s="476">
        <f t="shared" si="37"/>
        <v>69.798414403893872</v>
      </c>
      <c r="R40" s="514"/>
    </row>
    <row r="41" spans="1:18" ht="12.75" thickBot="1" x14ac:dyDescent="0.25">
      <c r="A41" s="23" t="s">
        <v>263</v>
      </c>
      <c r="B41" s="58">
        <v>2020</v>
      </c>
      <c r="C41" s="463"/>
      <c r="D41" s="464">
        <v>2974271</v>
      </c>
      <c r="E41" s="462">
        <v>197376</v>
      </c>
      <c r="F41" s="462">
        <v>1303628</v>
      </c>
      <c r="G41" s="464"/>
      <c r="H41" s="464"/>
      <c r="I41" s="465">
        <f>SUM(C41:H41)</f>
        <v>4475275</v>
      </c>
      <c r="J41" s="463"/>
      <c r="K41" s="464"/>
      <c r="L41" s="462">
        <v>25386722</v>
      </c>
      <c r="M41" s="464"/>
      <c r="N41" s="465">
        <f t="shared" ref="N41:N43" si="38">SUM(J41:M41)</f>
        <v>25386722</v>
      </c>
      <c r="O41" s="466"/>
      <c r="P41" s="465">
        <f t="shared" ref="P41:P43" si="39">SUM(O41:O41)</f>
        <v>0</v>
      </c>
      <c r="Q41" s="464">
        <f t="shared" ref="Q41:Q43" si="40">+N41+P41+I41</f>
        <v>29861997</v>
      </c>
      <c r="R41" s="513">
        <f t="shared" ref="R41:R43" si="41">Q41/$Q$105</f>
        <v>2.9420125891038679E-2</v>
      </c>
    </row>
    <row r="42" spans="1:18" ht="12.75" thickBot="1" x14ac:dyDescent="0.25">
      <c r="A42" s="26"/>
      <c r="B42" s="16">
        <v>2021</v>
      </c>
      <c r="C42" s="467"/>
      <c r="D42" s="462">
        <v>3590759</v>
      </c>
      <c r="E42" s="468"/>
      <c r="F42" s="462">
        <v>1018181</v>
      </c>
      <c r="G42" s="468"/>
      <c r="H42" s="468"/>
      <c r="I42" s="465">
        <f t="shared" ref="I42:I43" si="42">SUM(C42:H42)</f>
        <v>4608940</v>
      </c>
      <c r="J42" s="467"/>
      <c r="K42" s="468"/>
      <c r="L42" s="462">
        <v>67051823</v>
      </c>
      <c r="M42" s="468"/>
      <c r="N42" s="465">
        <f t="shared" si="38"/>
        <v>67051823</v>
      </c>
      <c r="O42" s="470"/>
      <c r="P42" s="465">
        <f t="shared" si="39"/>
        <v>0</v>
      </c>
      <c r="Q42" s="464">
        <f t="shared" si="40"/>
        <v>71660763</v>
      </c>
      <c r="R42" s="513">
        <f t="shared" si="41"/>
        <v>7.0600391156287592E-2</v>
      </c>
    </row>
    <row r="43" spans="1:18" x14ac:dyDescent="0.2">
      <c r="A43" s="26"/>
      <c r="B43" s="16">
        <v>2022</v>
      </c>
      <c r="C43" s="467"/>
      <c r="D43" s="468">
        <v>3489413</v>
      </c>
      <c r="E43" s="468"/>
      <c r="F43" s="468">
        <v>970120</v>
      </c>
      <c r="G43" s="468"/>
      <c r="H43" s="468"/>
      <c r="I43" s="465">
        <f t="shared" si="42"/>
        <v>4459533</v>
      </c>
      <c r="J43" s="467"/>
      <c r="K43" s="468"/>
      <c r="L43" s="468">
        <v>66464275</v>
      </c>
      <c r="M43" s="468"/>
      <c r="N43" s="465">
        <f t="shared" si="38"/>
        <v>66464275</v>
      </c>
      <c r="O43" s="470"/>
      <c r="P43" s="465">
        <f t="shared" si="39"/>
        <v>0</v>
      </c>
      <c r="Q43" s="464">
        <f t="shared" si="40"/>
        <v>70923808</v>
      </c>
      <c r="R43" s="513">
        <f t="shared" si="41"/>
        <v>6.9874340956897707E-2</v>
      </c>
    </row>
    <row r="44" spans="1:18" ht="12.75" thickBot="1" x14ac:dyDescent="0.25">
      <c r="A44" s="28"/>
      <c r="B44" s="104" t="s">
        <v>408</v>
      </c>
      <c r="C44" s="475"/>
      <c r="D44" s="476"/>
      <c r="E44" s="476"/>
      <c r="F44" s="476">
        <f t="shared" ref="F44" si="43">((F42-F43)/F43)*100</f>
        <v>4.9541293860553335</v>
      </c>
      <c r="G44" s="476"/>
      <c r="H44" s="476"/>
      <c r="I44" s="476">
        <f t="shared" ref="I44" si="44">((I42-I43)/I43)*100</f>
        <v>3.3502835386575232</v>
      </c>
      <c r="J44" s="475"/>
      <c r="K44" s="476"/>
      <c r="L44" s="476"/>
      <c r="M44" s="476"/>
      <c r="N44" s="476">
        <f t="shared" ref="N44" si="45">((N42-N43)/N43)*100</f>
        <v>0.88400573089829093</v>
      </c>
      <c r="O44" s="478"/>
      <c r="P44" s="476" t="e">
        <f t="shared" ref="P44" si="46">((P42-P43)/P43)*100</f>
        <v>#DIV/0!</v>
      </c>
      <c r="Q44" s="476"/>
      <c r="R44" s="514"/>
    </row>
    <row r="45" spans="1:18" ht="12.75" thickBot="1" x14ac:dyDescent="0.25">
      <c r="A45" s="23" t="s">
        <v>264</v>
      </c>
      <c r="B45" s="58">
        <v>2020</v>
      </c>
      <c r="C45" s="463"/>
      <c r="D45" s="462">
        <v>774480</v>
      </c>
      <c r="E45" s="464"/>
      <c r="F45" s="462">
        <v>416920</v>
      </c>
      <c r="G45" s="464"/>
      <c r="H45" s="464"/>
      <c r="I45" s="465">
        <f>SUM(C45:H45)</f>
        <v>1191400</v>
      </c>
      <c r="J45" s="463"/>
      <c r="K45" s="464"/>
      <c r="L45" s="464"/>
      <c r="M45" s="464"/>
      <c r="N45" s="465">
        <f t="shared" ref="N45:N47" si="47">SUM(J45:M45)</f>
        <v>0</v>
      </c>
      <c r="O45" s="466"/>
      <c r="P45" s="465">
        <f>SUM(J45:O45)</f>
        <v>0</v>
      </c>
      <c r="Q45" s="464">
        <f>+N45+P45+I45</f>
        <v>1191400</v>
      </c>
      <c r="R45" s="513">
        <f t="shared" ref="R45:R47" si="48">Q45/$Q$105</f>
        <v>1.173770728949691E-3</v>
      </c>
    </row>
    <row r="46" spans="1:18" ht="12.75" thickBot="1" x14ac:dyDescent="0.25">
      <c r="A46" s="26"/>
      <c r="B46" s="16">
        <v>2021</v>
      </c>
      <c r="C46" s="467"/>
      <c r="D46" s="462">
        <v>567009</v>
      </c>
      <c r="E46" s="468"/>
      <c r="F46" s="462">
        <v>486136</v>
      </c>
      <c r="G46" s="462"/>
      <c r="H46" s="468"/>
      <c r="I46" s="465">
        <f t="shared" ref="I46:I47" si="49">SUM(C46:H46)</f>
        <v>1053145</v>
      </c>
      <c r="J46" s="467"/>
      <c r="K46" s="468"/>
      <c r="L46" s="468"/>
      <c r="M46" s="468"/>
      <c r="N46" s="465">
        <f t="shared" si="47"/>
        <v>0</v>
      </c>
      <c r="O46" s="470"/>
      <c r="P46" s="465">
        <f t="shared" ref="P46:P47" si="50">SUM(J46:O46)</f>
        <v>0</v>
      </c>
      <c r="Q46" s="464">
        <f t="shared" ref="Q46:Q49" si="51">+N46+P46+I46</f>
        <v>1053145</v>
      </c>
      <c r="R46" s="513">
        <f t="shared" si="48"/>
        <v>1.0375615027192566E-3</v>
      </c>
    </row>
    <row r="47" spans="1:18" x14ac:dyDescent="0.2">
      <c r="A47" s="26"/>
      <c r="B47" s="16">
        <v>2022</v>
      </c>
      <c r="C47" s="467"/>
      <c r="D47" s="468">
        <v>758883</v>
      </c>
      <c r="E47" s="468"/>
      <c r="F47" s="462">
        <v>480715</v>
      </c>
      <c r="G47" s="468"/>
      <c r="H47" s="468"/>
      <c r="I47" s="465">
        <f t="shared" si="49"/>
        <v>1239598</v>
      </c>
      <c r="J47" s="467"/>
      <c r="K47" s="468"/>
      <c r="L47" s="468"/>
      <c r="M47" s="468"/>
      <c r="N47" s="465">
        <f t="shared" si="47"/>
        <v>0</v>
      </c>
      <c r="O47" s="470"/>
      <c r="P47" s="465">
        <f t="shared" si="50"/>
        <v>0</v>
      </c>
      <c r="Q47" s="464">
        <f t="shared" si="51"/>
        <v>1239598</v>
      </c>
      <c r="R47" s="513">
        <f t="shared" si="48"/>
        <v>1.2212555380766987E-3</v>
      </c>
    </row>
    <row r="48" spans="1:18" ht="12.75" thickBot="1" x14ac:dyDescent="0.25">
      <c r="A48" s="28"/>
      <c r="B48" s="104" t="s">
        <v>408</v>
      </c>
      <c r="C48" s="475"/>
      <c r="D48" s="476">
        <f t="shared" ref="D48" si="52">((D46-D47)/D47)*100</f>
        <v>-25.283739390657058</v>
      </c>
      <c r="E48" s="476"/>
      <c r="F48" s="476">
        <f t="shared" ref="F48" si="53">((F46-F47)/F47)*100</f>
        <v>1.1276952040190134</v>
      </c>
      <c r="G48" s="476"/>
      <c r="H48" s="476"/>
      <c r="I48" s="476">
        <f t="shared" ref="I48" si="54">((I46-I47)/I47)*100</f>
        <v>-15.04140858568665</v>
      </c>
      <c r="J48" s="475"/>
      <c r="K48" s="476"/>
      <c r="L48" s="476"/>
      <c r="M48" s="476"/>
      <c r="N48" s="476" t="e">
        <f t="shared" ref="N48" si="55">((N46-N47)/N47)*100</f>
        <v>#DIV/0!</v>
      </c>
      <c r="O48" s="478"/>
      <c r="P48" s="476" t="e">
        <f t="shared" ref="P48" si="56">((P46-P47)/P47)*100</f>
        <v>#DIV/0!</v>
      </c>
      <c r="Q48" s="476"/>
      <c r="R48" s="516"/>
    </row>
    <row r="49" spans="1:18" x14ac:dyDescent="0.2">
      <c r="A49" s="23" t="s">
        <v>265</v>
      </c>
      <c r="B49" s="58">
        <v>2020</v>
      </c>
      <c r="C49" s="463"/>
      <c r="D49" s="464"/>
      <c r="E49" s="464"/>
      <c r="F49" s="464"/>
      <c r="G49" s="464"/>
      <c r="H49" s="464"/>
      <c r="I49" s="465"/>
      <c r="J49" s="463"/>
      <c r="K49" s="464"/>
      <c r="L49" s="462">
        <v>13634</v>
      </c>
      <c r="M49" s="464"/>
      <c r="N49" s="465"/>
      <c r="O49" s="466"/>
      <c r="P49" s="465"/>
      <c r="Q49" s="464">
        <f t="shared" si="51"/>
        <v>0</v>
      </c>
      <c r="R49" s="513"/>
    </row>
    <row r="50" spans="1:18" x14ac:dyDescent="0.2">
      <c r="A50" s="26"/>
      <c r="B50" s="16">
        <v>2021</v>
      </c>
      <c r="C50" s="467"/>
      <c r="D50" s="468"/>
      <c r="E50" s="468"/>
      <c r="F50" s="468"/>
      <c r="G50" s="468"/>
      <c r="H50" s="468"/>
      <c r="I50" s="469"/>
      <c r="J50" s="467"/>
      <c r="K50" s="468"/>
      <c r="L50" s="468"/>
      <c r="M50" s="468"/>
      <c r="N50" s="469"/>
      <c r="O50" s="470"/>
      <c r="P50" s="469"/>
      <c r="Q50" s="468"/>
      <c r="R50" s="515"/>
    </row>
    <row r="51" spans="1:18" x14ac:dyDescent="0.2">
      <c r="A51" s="26"/>
      <c r="B51" s="16">
        <v>2022</v>
      </c>
      <c r="C51" s="467"/>
      <c r="D51" s="468"/>
      <c r="E51" s="468"/>
      <c r="F51" s="468"/>
      <c r="G51" s="468"/>
      <c r="H51" s="468"/>
      <c r="I51" s="469"/>
      <c r="J51" s="467"/>
      <c r="K51" s="468"/>
      <c r="L51" s="468"/>
      <c r="M51" s="468"/>
      <c r="N51" s="469"/>
      <c r="O51" s="470"/>
      <c r="P51" s="469"/>
      <c r="Q51" s="468"/>
      <c r="R51" s="515"/>
    </row>
    <row r="52" spans="1:18" ht="12.75" thickBot="1" x14ac:dyDescent="0.25">
      <c r="A52" s="28"/>
      <c r="B52" s="104" t="s">
        <v>408</v>
      </c>
      <c r="C52" s="475"/>
      <c r="D52" s="476"/>
      <c r="E52" s="476"/>
      <c r="F52" s="476"/>
      <c r="G52" s="476"/>
      <c r="H52" s="476"/>
      <c r="I52" s="477"/>
      <c r="J52" s="475"/>
      <c r="K52" s="476"/>
      <c r="L52" s="476"/>
      <c r="M52" s="476"/>
      <c r="N52" s="477"/>
      <c r="O52" s="478"/>
      <c r="P52" s="477"/>
      <c r="Q52" s="476"/>
      <c r="R52" s="514"/>
    </row>
    <row r="53" spans="1:18" ht="12.75" thickBot="1" x14ac:dyDescent="0.25">
      <c r="A53" s="23" t="s">
        <v>266</v>
      </c>
      <c r="B53" s="58">
        <v>2020</v>
      </c>
      <c r="C53" s="463"/>
      <c r="D53" s="462">
        <v>192795</v>
      </c>
      <c r="E53" s="464"/>
      <c r="F53" s="462">
        <v>507922</v>
      </c>
      <c r="G53" s="464"/>
      <c r="H53" s="464"/>
      <c r="I53" s="465">
        <f>SUM(C53:H53)</f>
        <v>700717</v>
      </c>
      <c r="J53" s="463"/>
      <c r="K53" s="464"/>
      <c r="L53" s="464"/>
      <c r="M53" s="464"/>
      <c r="N53" s="465">
        <f t="shared" ref="N53:N55" si="57">SUM(J53:M53)</f>
        <v>0</v>
      </c>
      <c r="O53" s="466"/>
      <c r="P53" s="465">
        <f>SUM(J53:O53)</f>
        <v>0</v>
      </c>
      <c r="Q53" s="464">
        <f t="shared" ref="Q53:Q55" si="58">+N53+P53+I53</f>
        <v>700717</v>
      </c>
      <c r="R53" s="513">
        <f>Q53/$Q$105</f>
        <v>6.9034841688554694E-4</v>
      </c>
    </row>
    <row r="54" spans="1:18" ht="12.75" thickBot="1" x14ac:dyDescent="0.25">
      <c r="A54" s="26"/>
      <c r="B54" s="16">
        <v>2021</v>
      </c>
      <c r="C54" s="467"/>
      <c r="D54" s="462">
        <v>192795</v>
      </c>
      <c r="E54" s="468"/>
      <c r="F54" s="462">
        <v>705758</v>
      </c>
      <c r="G54" s="468"/>
      <c r="H54" s="468"/>
      <c r="I54" s="465">
        <f t="shared" ref="I54:I55" si="59">SUM(C54:H54)</f>
        <v>898553</v>
      </c>
      <c r="J54" s="467"/>
      <c r="K54" s="468"/>
      <c r="L54" s="468"/>
      <c r="M54" s="468"/>
      <c r="N54" s="465">
        <f t="shared" si="57"/>
        <v>0</v>
      </c>
      <c r="O54" s="470"/>
      <c r="P54" s="465">
        <f t="shared" ref="P54:P55" si="60">SUM(J54:O54)</f>
        <v>0</v>
      </c>
      <c r="Q54" s="464">
        <f t="shared" si="58"/>
        <v>898553</v>
      </c>
      <c r="R54" s="513">
        <f t="shared" ref="R54:R55" si="61">Q54/$Q$105</f>
        <v>8.8525701679530936E-4</v>
      </c>
    </row>
    <row r="55" spans="1:18" x14ac:dyDescent="0.2">
      <c r="A55" s="26"/>
      <c r="B55" s="16">
        <v>2022</v>
      </c>
      <c r="C55" s="467"/>
      <c r="D55" s="468">
        <v>207377</v>
      </c>
      <c r="E55" s="468"/>
      <c r="F55" s="468">
        <v>472831</v>
      </c>
      <c r="G55" s="468"/>
      <c r="H55" s="468"/>
      <c r="I55" s="465">
        <f t="shared" si="59"/>
        <v>680208</v>
      </c>
      <c r="J55" s="467"/>
      <c r="K55" s="468"/>
      <c r="L55" s="468"/>
      <c r="M55" s="468"/>
      <c r="N55" s="465">
        <f t="shared" si="57"/>
        <v>0</v>
      </c>
      <c r="O55" s="470"/>
      <c r="P55" s="465">
        <f t="shared" si="60"/>
        <v>0</v>
      </c>
      <c r="Q55" s="464">
        <f t="shared" si="58"/>
        <v>680208</v>
      </c>
      <c r="R55" s="513">
        <f t="shared" si="61"/>
        <v>6.7014289071463094E-4</v>
      </c>
    </row>
    <row r="56" spans="1:18" ht="12.75" thickBot="1" x14ac:dyDescent="0.25">
      <c r="A56" s="28"/>
      <c r="B56" s="104" t="s">
        <v>408</v>
      </c>
      <c r="C56" s="475"/>
      <c r="D56" s="476">
        <f t="shared" ref="D56" si="62">((D54-D55)/D55)*100</f>
        <v>-7.0316380312185052</v>
      </c>
      <c r="E56" s="476"/>
      <c r="F56" s="476">
        <f t="shared" ref="F56" si="63">((F54-F55)/F55)*100</f>
        <v>49.262209965082661</v>
      </c>
      <c r="G56" s="476"/>
      <c r="H56" s="476"/>
      <c r="I56" s="476">
        <f t="shared" ref="I56" si="64">((I54-I55)/I55)*100</f>
        <v>32.099740079505089</v>
      </c>
      <c r="J56" s="475"/>
      <c r="K56" s="476"/>
      <c r="L56" s="476"/>
      <c r="M56" s="476"/>
      <c r="N56" s="476" t="e">
        <f t="shared" ref="N56" si="65">((N54-N55)/N55)*100</f>
        <v>#DIV/0!</v>
      </c>
      <c r="O56" s="478"/>
      <c r="P56" s="476" t="e">
        <f t="shared" ref="P56" si="66">((P54-P55)/P55)*100</f>
        <v>#DIV/0!</v>
      </c>
      <c r="Q56" s="476"/>
      <c r="R56" s="514"/>
    </row>
    <row r="57" spans="1:18" ht="12.75" thickBot="1" x14ac:dyDescent="0.25">
      <c r="A57" s="23" t="s">
        <v>267</v>
      </c>
      <c r="B57" s="58">
        <v>2020</v>
      </c>
      <c r="C57" s="463"/>
      <c r="D57" s="462">
        <v>108876</v>
      </c>
      <c r="E57" s="464"/>
      <c r="F57" s="462">
        <v>165866</v>
      </c>
      <c r="G57" s="464"/>
      <c r="H57" s="464"/>
      <c r="I57" s="465">
        <f>SUM(C57:H57)</f>
        <v>274742</v>
      </c>
      <c r="J57" s="463"/>
      <c r="K57" s="464"/>
      <c r="L57" s="464"/>
      <c r="M57" s="464"/>
      <c r="N57" s="465">
        <f t="shared" ref="N57:N59" si="67">SUM(J57:M57)</f>
        <v>0</v>
      </c>
      <c r="O57" s="466"/>
      <c r="P57" s="465">
        <f>SUM(J57:O57)</f>
        <v>0</v>
      </c>
      <c r="Q57" s="464">
        <f t="shared" ref="Q57:Q59" si="68">+N57+P57+I57</f>
        <v>274742</v>
      </c>
      <c r="R57" s="513">
        <f t="shared" ref="R57:R59" si="69">Q57/$Q$105</f>
        <v>2.7067661374273629E-4</v>
      </c>
    </row>
    <row r="58" spans="1:18" ht="12.75" thickBot="1" x14ac:dyDescent="0.25">
      <c r="A58" s="26"/>
      <c r="B58" s="16">
        <v>2021</v>
      </c>
      <c r="C58" s="467"/>
      <c r="D58" s="462">
        <v>108876</v>
      </c>
      <c r="E58" s="468"/>
      <c r="F58" s="462">
        <v>165296</v>
      </c>
      <c r="G58" s="468"/>
      <c r="H58" s="468"/>
      <c r="I58" s="465">
        <f t="shared" ref="I58:I59" si="70">SUM(C58:H58)</f>
        <v>274172</v>
      </c>
      <c r="J58" s="467"/>
      <c r="K58" s="468"/>
      <c r="L58" s="468"/>
      <c r="M58" s="468"/>
      <c r="N58" s="465">
        <f t="shared" si="67"/>
        <v>0</v>
      </c>
      <c r="O58" s="470"/>
      <c r="P58" s="465">
        <f t="shared" ref="P58:P59" si="71">SUM(J58:O58)</f>
        <v>0</v>
      </c>
      <c r="Q58" s="464">
        <f t="shared" si="68"/>
        <v>274172</v>
      </c>
      <c r="R58" s="513">
        <f t="shared" si="69"/>
        <v>2.701150480926596E-4</v>
      </c>
    </row>
    <row r="59" spans="1:18" x14ac:dyDescent="0.2">
      <c r="A59" s="26"/>
      <c r="B59" s="16">
        <v>2022</v>
      </c>
      <c r="C59" s="467"/>
      <c r="D59" s="468">
        <v>97793</v>
      </c>
      <c r="E59" s="468"/>
      <c r="F59" s="468">
        <v>57602</v>
      </c>
      <c r="G59" s="468"/>
      <c r="H59" s="468"/>
      <c r="I59" s="465">
        <f t="shared" si="70"/>
        <v>155395</v>
      </c>
      <c r="J59" s="467"/>
      <c r="K59" s="468"/>
      <c r="L59" s="468"/>
      <c r="M59" s="468"/>
      <c r="N59" s="465">
        <f t="shared" si="67"/>
        <v>0</v>
      </c>
      <c r="O59" s="470"/>
      <c r="P59" s="465">
        <f t="shared" si="71"/>
        <v>0</v>
      </c>
      <c r="Q59" s="464">
        <f t="shared" si="68"/>
        <v>155395</v>
      </c>
      <c r="R59" s="513">
        <f t="shared" si="69"/>
        <v>1.5309560384852881E-4</v>
      </c>
    </row>
    <row r="60" spans="1:18" ht="12.75" thickBot="1" x14ac:dyDescent="0.25">
      <c r="A60" s="28"/>
      <c r="B60" s="104" t="s">
        <v>408</v>
      </c>
      <c r="C60" s="475"/>
      <c r="D60" s="476">
        <f t="shared" ref="D60" si="72">((D58-D59)/D59)*100</f>
        <v>11.333122002597323</v>
      </c>
      <c r="E60" s="476"/>
      <c r="F60" s="476">
        <f t="shared" ref="F60" si="73">((F58-F59)/F59)*100</f>
        <v>186.96225825492169</v>
      </c>
      <c r="G60" s="476"/>
      <c r="H60" s="476"/>
      <c r="I60" s="476">
        <f t="shared" ref="I60" si="74">((I58-I59)/I59)*100</f>
        <v>76.435535248881877</v>
      </c>
      <c r="J60" s="475"/>
      <c r="K60" s="476"/>
      <c r="L60" s="476"/>
      <c r="M60" s="476"/>
      <c r="N60" s="476" t="e">
        <f t="shared" ref="N60" si="75">((N58-N59)/N59)*100</f>
        <v>#DIV/0!</v>
      </c>
      <c r="O60" s="478"/>
      <c r="P60" s="476" t="e">
        <f t="shared" ref="P60" si="76">((P58-P59)/P59)*100</f>
        <v>#DIV/0!</v>
      </c>
      <c r="Q60" s="476"/>
      <c r="R60" s="514"/>
    </row>
    <row r="61" spans="1:18" ht="12.75" thickBot="1" x14ac:dyDescent="0.25">
      <c r="A61" s="23" t="s">
        <v>268</v>
      </c>
      <c r="B61" s="58">
        <v>2020</v>
      </c>
      <c r="C61" s="463"/>
      <c r="D61" s="462">
        <v>2651361</v>
      </c>
      <c r="E61" s="464"/>
      <c r="F61" s="468">
        <v>17023206</v>
      </c>
      <c r="G61" s="464"/>
      <c r="H61" s="464"/>
      <c r="I61" s="465">
        <f>SUM(C61:H61)</f>
        <v>19674567</v>
      </c>
      <c r="J61" s="463"/>
      <c r="K61" s="464"/>
      <c r="L61" s="462">
        <v>12209368</v>
      </c>
      <c r="M61" s="464"/>
      <c r="N61" s="465">
        <f t="shared" ref="N61:N63" si="77">SUM(J61:M61)</f>
        <v>12209368</v>
      </c>
      <c r="O61" s="466"/>
      <c r="P61" s="465">
        <f t="shared" ref="P61:P63" si="78">SUM(O61:O61)</f>
        <v>0</v>
      </c>
      <c r="Q61" s="464">
        <f t="shared" ref="Q61:Q63" si="79">+N61+P61+I61</f>
        <v>31883935</v>
      </c>
      <c r="R61" s="513">
        <f t="shared" ref="R61:R63" si="80">Q61/$Q$105</f>
        <v>3.141214506188901E-2</v>
      </c>
    </row>
    <row r="62" spans="1:18" ht="12.75" thickBot="1" x14ac:dyDescent="0.25">
      <c r="A62" s="26"/>
      <c r="B62" s="16">
        <v>2021</v>
      </c>
      <c r="C62" s="467"/>
      <c r="D62" s="462">
        <v>2627777</v>
      </c>
      <c r="E62" s="468"/>
      <c r="F62" s="462">
        <v>1493980</v>
      </c>
      <c r="G62" s="468"/>
      <c r="H62" s="468"/>
      <c r="I62" s="465">
        <f t="shared" ref="I62:I63" si="81">SUM(C62:H62)</f>
        <v>4121757</v>
      </c>
      <c r="J62" s="467"/>
      <c r="K62" s="468"/>
      <c r="L62" s="462">
        <v>1075206</v>
      </c>
      <c r="M62" s="468"/>
      <c r="N62" s="465">
        <f t="shared" si="77"/>
        <v>1075206</v>
      </c>
      <c r="O62" s="470"/>
      <c r="P62" s="465">
        <f t="shared" si="78"/>
        <v>0</v>
      </c>
      <c r="Q62" s="464">
        <f t="shared" si="79"/>
        <v>5196963</v>
      </c>
      <c r="R62" s="513">
        <f t="shared" si="80"/>
        <v>5.1200629921391407E-3</v>
      </c>
    </row>
    <row r="63" spans="1:18" x14ac:dyDescent="0.2">
      <c r="A63" s="26"/>
      <c r="B63" s="16">
        <v>2022</v>
      </c>
      <c r="C63" s="467"/>
      <c r="D63" s="468">
        <v>2989928</v>
      </c>
      <c r="E63" s="468"/>
      <c r="F63" s="468">
        <v>14321819</v>
      </c>
      <c r="G63" s="468"/>
      <c r="H63" s="468"/>
      <c r="I63" s="465">
        <f t="shared" si="81"/>
        <v>17311747</v>
      </c>
      <c r="J63" s="467"/>
      <c r="K63" s="468"/>
      <c r="L63" s="468">
        <v>56615617</v>
      </c>
      <c r="M63" s="468"/>
      <c r="N63" s="465">
        <f t="shared" si="77"/>
        <v>56615617</v>
      </c>
      <c r="O63" s="470"/>
      <c r="P63" s="465">
        <f t="shared" si="78"/>
        <v>0</v>
      </c>
      <c r="Q63" s="464">
        <f t="shared" si="79"/>
        <v>73927364</v>
      </c>
      <c r="R63" s="513">
        <f t="shared" si="80"/>
        <v>7.2833453023005826E-2</v>
      </c>
    </row>
    <row r="64" spans="1:18" ht="12.75" thickBot="1" x14ac:dyDescent="0.25">
      <c r="A64" s="28"/>
      <c r="B64" s="104" t="s">
        <v>408</v>
      </c>
      <c r="C64" s="475"/>
      <c r="D64" s="476">
        <f t="shared" ref="D64" si="82">((D62-D63)/D63)*100</f>
        <v>-12.112365247591246</v>
      </c>
      <c r="E64" s="476"/>
      <c r="F64" s="476">
        <f t="shared" ref="F64" si="83">((F62-F63)/F63)*100</f>
        <v>-89.568503833207231</v>
      </c>
      <c r="G64" s="476"/>
      <c r="H64" s="476"/>
      <c r="I64" s="476">
        <f t="shared" ref="I64" si="84">((I62-I63)/I63)*100</f>
        <v>-76.190981765156337</v>
      </c>
      <c r="J64" s="475"/>
      <c r="K64" s="476"/>
      <c r="L64" s="476"/>
      <c r="M64" s="476"/>
      <c r="N64" s="476">
        <f t="shared" ref="N64" si="85">((N62-N63)/N63)*100</f>
        <v>-98.10086676261075</v>
      </c>
      <c r="O64" s="478"/>
      <c r="P64" s="476" t="e">
        <f t="shared" ref="P64" si="86">((P62-P63)/P63)*100</f>
        <v>#DIV/0!</v>
      </c>
      <c r="Q64" s="476"/>
      <c r="R64" s="514"/>
    </row>
    <row r="65" spans="1:18" ht="12.75" thickBot="1" x14ac:dyDescent="0.25">
      <c r="A65" s="23" t="s">
        <v>269</v>
      </c>
      <c r="B65" s="58">
        <v>2020</v>
      </c>
      <c r="C65" s="463"/>
      <c r="D65" s="462">
        <v>116513</v>
      </c>
      <c r="E65" s="464"/>
      <c r="F65" s="462">
        <v>188645</v>
      </c>
      <c r="G65" s="464"/>
      <c r="H65" s="464"/>
      <c r="I65" s="465">
        <f>SUM(C65:H65)</f>
        <v>305158</v>
      </c>
      <c r="J65" s="463"/>
      <c r="K65" s="464"/>
      <c r="L65" s="462">
        <v>28500</v>
      </c>
      <c r="M65" s="464"/>
      <c r="N65" s="465">
        <f t="shared" ref="N65:N67" si="87">SUM(J65:M65)</f>
        <v>28500</v>
      </c>
      <c r="O65" s="466"/>
      <c r="P65" s="465">
        <f t="shared" ref="P65" si="88">SUM(O65:O65)</f>
        <v>0</v>
      </c>
      <c r="Q65" s="464">
        <f t="shared" ref="Q65:Q67" si="89">+N65+P65+I65</f>
        <v>333658</v>
      </c>
      <c r="R65" s="513">
        <f t="shared" ref="R65:R67" si="90">Q65/$Q$105</f>
        <v>3.2872082749697498E-4</v>
      </c>
    </row>
    <row r="66" spans="1:18" ht="12.75" thickBot="1" x14ac:dyDescent="0.25">
      <c r="A66" s="26"/>
      <c r="B66" s="16">
        <v>2021</v>
      </c>
      <c r="C66" s="467"/>
      <c r="D66" s="462">
        <v>114223</v>
      </c>
      <c r="E66" s="468"/>
      <c r="F66" s="462">
        <v>62900</v>
      </c>
      <c r="G66" s="468"/>
      <c r="H66" s="468"/>
      <c r="I66" s="465">
        <f t="shared" ref="I66:I67" si="91">SUM(C66:H66)</f>
        <v>177123</v>
      </c>
      <c r="J66" s="467"/>
      <c r="K66" s="468"/>
      <c r="L66" s="468"/>
      <c r="M66" s="468"/>
      <c r="N66" s="465">
        <f t="shared" si="87"/>
        <v>0</v>
      </c>
      <c r="O66" s="470"/>
      <c r="P66" s="465">
        <f t="shared" ref="P66:P67" si="92">SUM(J66:O66)</f>
        <v>0</v>
      </c>
      <c r="Q66" s="464">
        <f t="shared" si="89"/>
        <v>177123</v>
      </c>
      <c r="R66" s="513">
        <f t="shared" si="90"/>
        <v>1.7450209234829285E-4</v>
      </c>
    </row>
    <row r="67" spans="1:18" x14ac:dyDescent="0.2">
      <c r="A67" s="26"/>
      <c r="B67" s="16">
        <v>2022</v>
      </c>
      <c r="C67" s="467"/>
      <c r="D67" s="468">
        <v>115001</v>
      </c>
      <c r="E67" s="468"/>
      <c r="F67" s="468">
        <v>51590</v>
      </c>
      <c r="G67" s="468"/>
      <c r="H67" s="468"/>
      <c r="I67" s="465">
        <f t="shared" si="91"/>
        <v>166591</v>
      </c>
      <c r="J67" s="467"/>
      <c r="K67" s="468"/>
      <c r="L67" s="468"/>
      <c r="M67" s="468"/>
      <c r="N67" s="465">
        <f t="shared" si="87"/>
        <v>0</v>
      </c>
      <c r="O67" s="470"/>
      <c r="P67" s="465">
        <f t="shared" si="92"/>
        <v>0</v>
      </c>
      <c r="Q67" s="464">
        <f t="shared" si="89"/>
        <v>166591</v>
      </c>
      <c r="R67" s="513">
        <f t="shared" si="90"/>
        <v>1.6412593545950811E-4</v>
      </c>
    </row>
    <row r="68" spans="1:18" ht="12.75" thickBot="1" x14ac:dyDescent="0.25">
      <c r="A68" s="28"/>
      <c r="B68" s="104" t="s">
        <v>408</v>
      </c>
      <c r="C68" s="475"/>
      <c r="D68" s="476">
        <f t="shared" ref="D68" si="93">((D66-D67)/D67)*100</f>
        <v>-0.67651585638385747</v>
      </c>
      <c r="E68" s="476"/>
      <c r="F68" s="476">
        <f t="shared" ref="F68" si="94">((F66-F67)/F67)*100</f>
        <v>21.922853266136848</v>
      </c>
      <c r="G68" s="476"/>
      <c r="H68" s="476"/>
      <c r="I68" s="476">
        <f t="shared" ref="I68" si="95">((I66-I67)/I67)*100</f>
        <v>6.3220702198798255</v>
      </c>
      <c r="J68" s="475"/>
      <c r="K68" s="476"/>
      <c r="L68" s="476"/>
      <c r="M68" s="476"/>
      <c r="N68" s="476" t="e">
        <f t="shared" ref="N68" si="96">((N66-N67)/N67)*100</f>
        <v>#DIV/0!</v>
      </c>
      <c r="O68" s="478"/>
      <c r="P68" s="476" t="e">
        <f t="shared" ref="P68" si="97">((P66-P67)/P67)*100</f>
        <v>#DIV/0!</v>
      </c>
      <c r="Q68" s="476"/>
      <c r="R68" s="514"/>
    </row>
    <row r="69" spans="1:18" x14ac:dyDescent="0.2">
      <c r="A69" s="23" t="s">
        <v>270</v>
      </c>
      <c r="B69" s="58">
        <v>2020</v>
      </c>
      <c r="C69" s="463"/>
      <c r="D69" s="464"/>
      <c r="E69" s="464"/>
      <c r="F69" s="464"/>
      <c r="G69" s="464"/>
      <c r="H69" s="464"/>
      <c r="I69" s="465"/>
      <c r="J69" s="463"/>
      <c r="K69" s="464"/>
      <c r="L69" s="464"/>
      <c r="M69" s="464"/>
      <c r="N69" s="465"/>
      <c r="O69" s="466"/>
      <c r="P69" s="465"/>
      <c r="Q69" s="464"/>
      <c r="R69" s="513"/>
    </row>
    <row r="70" spans="1:18" x14ac:dyDescent="0.2">
      <c r="A70" s="26"/>
      <c r="B70" s="16">
        <v>2021</v>
      </c>
      <c r="C70" s="467"/>
      <c r="D70" s="468"/>
      <c r="E70" s="468"/>
      <c r="F70" s="468"/>
      <c r="G70" s="468"/>
      <c r="H70" s="468"/>
      <c r="I70" s="469"/>
      <c r="J70" s="467"/>
      <c r="K70" s="468"/>
      <c r="L70" s="468"/>
      <c r="M70" s="468"/>
      <c r="N70" s="469"/>
      <c r="O70" s="470"/>
      <c r="P70" s="469"/>
      <c r="Q70" s="468"/>
      <c r="R70" s="515"/>
    </row>
    <row r="71" spans="1:18" x14ac:dyDescent="0.2">
      <c r="A71" s="26"/>
      <c r="B71" s="16">
        <v>2022</v>
      </c>
      <c r="C71" s="467"/>
      <c r="D71" s="468"/>
      <c r="E71" s="468"/>
      <c r="F71" s="468"/>
      <c r="G71" s="468"/>
      <c r="H71" s="468"/>
      <c r="I71" s="469"/>
      <c r="J71" s="467"/>
      <c r="K71" s="468"/>
      <c r="L71" s="468"/>
      <c r="M71" s="468"/>
      <c r="N71" s="469"/>
      <c r="O71" s="470"/>
      <c r="P71" s="469"/>
      <c r="Q71" s="468"/>
      <c r="R71" s="515"/>
    </row>
    <row r="72" spans="1:18" ht="12.75" thickBot="1" x14ac:dyDescent="0.25">
      <c r="A72" s="28"/>
      <c r="B72" s="104" t="s">
        <v>408</v>
      </c>
      <c r="C72" s="475"/>
      <c r="D72" s="476"/>
      <c r="E72" s="476"/>
      <c r="F72" s="476"/>
      <c r="G72" s="476"/>
      <c r="H72" s="476"/>
      <c r="I72" s="477"/>
      <c r="J72" s="475"/>
      <c r="K72" s="476"/>
      <c r="L72" s="476"/>
      <c r="M72" s="476"/>
      <c r="N72" s="477"/>
      <c r="O72" s="478"/>
      <c r="P72" s="477"/>
      <c r="Q72" s="476"/>
      <c r="R72" s="514"/>
    </row>
    <row r="73" spans="1:18" ht="12.75" thickBot="1" x14ac:dyDescent="0.25">
      <c r="A73" s="23" t="s">
        <v>271</v>
      </c>
      <c r="B73" s="58">
        <v>2020</v>
      </c>
      <c r="C73" s="463"/>
      <c r="D73" s="464"/>
      <c r="E73" s="464"/>
      <c r="F73" s="462">
        <v>431705</v>
      </c>
      <c r="G73" s="464"/>
      <c r="H73" s="464"/>
      <c r="I73" s="465">
        <f>SUM(C73:H73)</f>
        <v>431705</v>
      </c>
      <c r="J73" s="463"/>
      <c r="K73" s="464"/>
      <c r="L73" s="462">
        <v>2524269</v>
      </c>
      <c r="M73" s="464"/>
      <c r="N73" s="465">
        <f t="shared" ref="N73:N75" si="98">SUM(J73:M73)</f>
        <v>2524269</v>
      </c>
      <c r="O73" s="466"/>
      <c r="P73" s="465">
        <f t="shared" ref="P73:P75" si="99">SUM(O73:O73)</f>
        <v>0</v>
      </c>
      <c r="Q73" s="464">
        <f t="shared" ref="Q73:Q75" si="100">+N73+P73+I73</f>
        <v>2955974</v>
      </c>
      <c r="R73" s="513">
        <f t="shared" ref="R73:R75" si="101">Q73/$Q$105</f>
        <v>2.9122341419643557E-3</v>
      </c>
    </row>
    <row r="74" spans="1:18" ht="12.75" thickBot="1" x14ac:dyDescent="0.25">
      <c r="A74" s="26"/>
      <c r="B74" s="16">
        <v>2021</v>
      </c>
      <c r="C74" s="467"/>
      <c r="D74" s="468"/>
      <c r="E74" s="468"/>
      <c r="F74" s="462">
        <v>227224</v>
      </c>
      <c r="G74" s="468"/>
      <c r="H74" s="468"/>
      <c r="I74" s="465">
        <f t="shared" ref="I74:I75" si="102">SUM(C74:H74)</f>
        <v>227224</v>
      </c>
      <c r="J74" s="467"/>
      <c r="K74" s="468"/>
      <c r="L74" s="462">
        <v>1491251</v>
      </c>
      <c r="M74" s="468"/>
      <c r="N74" s="465">
        <f t="shared" si="98"/>
        <v>1491251</v>
      </c>
      <c r="O74" s="470"/>
      <c r="P74" s="465">
        <f t="shared" si="99"/>
        <v>0</v>
      </c>
      <c r="Q74" s="464">
        <f t="shared" si="100"/>
        <v>1718475</v>
      </c>
      <c r="R74" s="513">
        <f t="shared" si="101"/>
        <v>1.6930465447639921E-3</v>
      </c>
    </row>
    <row r="75" spans="1:18" x14ac:dyDescent="0.2">
      <c r="A75" s="26"/>
      <c r="B75" s="16">
        <v>2022</v>
      </c>
      <c r="C75" s="467"/>
      <c r="D75" s="468"/>
      <c r="E75" s="468"/>
      <c r="F75" s="468">
        <v>207306</v>
      </c>
      <c r="G75" s="468"/>
      <c r="H75" s="468"/>
      <c r="I75" s="465">
        <f t="shared" si="102"/>
        <v>207306</v>
      </c>
      <c r="J75" s="467"/>
      <c r="K75" s="468"/>
      <c r="L75" s="468">
        <v>7867609</v>
      </c>
      <c r="M75" s="468"/>
      <c r="N75" s="465">
        <f t="shared" si="98"/>
        <v>7867609</v>
      </c>
      <c r="O75" s="470"/>
      <c r="P75" s="465">
        <f t="shared" si="99"/>
        <v>0</v>
      </c>
      <c r="Q75" s="464">
        <f t="shared" si="100"/>
        <v>8074915</v>
      </c>
      <c r="R75" s="513">
        <f t="shared" si="101"/>
        <v>7.9554296338398469E-3</v>
      </c>
    </row>
    <row r="76" spans="1:18" ht="12.75" thickBot="1" x14ac:dyDescent="0.25">
      <c r="A76" s="28"/>
      <c r="B76" s="104" t="s">
        <v>408</v>
      </c>
      <c r="C76" s="475"/>
      <c r="D76" s="476"/>
      <c r="E76" s="476"/>
      <c r="F76" s="476">
        <f t="shared" ref="F76" si="103">((F74-F75)/F75)*100</f>
        <v>9.6080190636064557</v>
      </c>
      <c r="G76" s="476"/>
      <c r="H76" s="476"/>
      <c r="I76" s="476">
        <f t="shared" ref="I76" si="104">((I74-I75)/I75)*100</f>
        <v>9.6080190636064557</v>
      </c>
      <c r="J76" s="475"/>
      <c r="K76" s="476"/>
      <c r="L76" s="476"/>
      <c r="M76" s="476"/>
      <c r="N76" s="476">
        <f t="shared" ref="N76" si="105">((N74-N75)/N75)*100</f>
        <v>-81.045689992982616</v>
      </c>
      <c r="O76" s="478"/>
      <c r="P76" s="476" t="e">
        <f t="shared" ref="P76" si="106">((P74-P75)/P75)*100</f>
        <v>#DIV/0!</v>
      </c>
      <c r="Q76" s="476"/>
      <c r="R76" s="514"/>
    </row>
    <row r="77" spans="1:18" ht="12.75" thickBot="1" x14ac:dyDescent="0.25">
      <c r="A77" s="23" t="s">
        <v>272</v>
      </c>
      <c r="B77" s="58">
        <v>2020</v>
      </c>
      <c r="C77" s="463"/>
      <c r="D77" s="462">
        <v>310564</v>
      </c>
      <c r="E77" s="464"/>
      <c r="F77" s="462">
        <v>141322</v>
      </c>
      <c r="G77" s="464"/>
      <c r="H77" s="464"/>
      <c r="I77" s="465">
        <f>SUM(C77:H77)</f>
        <v>451886</v>
      </c>
      <c r="J77" s="463"/>
      <c r="K77" s="464"/>
      <c r="L77" s="464"/>
      <c r="M77" s="464"/>
      <c r="N77" s="465">
        <f t="shared" ref="N77:N79" si="107">SUM(J77:M77)</f>
        <v>0</v>
      </c>
      <c r="O77" s="466"/>
      <c r="P77" s="465">
        <f>SUM(J77:O77)</f>
        <v>0</v>
      </c>
      <c r="Q77" s="464">
        <f t="shared" ref="Q77:Q79" si="108">+N77+P77+I77</f>
        <v>451886</v>
      </c>
      <c r="R77" s="513">
        <f t="shared" ref="R77:R79" si="109">Q77/$Q$105</f>
        <v>4.4519939535182139E-4</v>
      </c>
    </row>
    <row r="78" spans="1:18" ht="12.75" thickBot="1" x14ac:dyDescent="0.25">
      <c r="A78" s="26"/>
      <c r="B78" s="16">
        <v>2021</v>
      </c>
      <c r="C78" s="467"/>
      <c r="D78" s="462">
        <v>310564</v>
      </c>
      <c r="E78" s="468"/>
      <c r="F78" s="462">
        <v>146051</v>
      </c>
      <c r="G78" s="468"/>
      <c r="H78" s="468"/>
      <c r="I78" s="465">
        <f t="shared" ref="I78:I79" si="110">SUM(C78:H78)</f>
        <v>456615</v>
      </c>
      <c r="J78" s="467"/>
      <c r="K78" s="468"/>
      <c r="L78" s="468"/>
      <c r="M78" s="468"/>
      <c r="N78" s="465">
        <f t="shared" si="107"/>
        <v>0</v>
      </c>
      <c r="O78" s="470"/>
      <c r="P78" s="465">
        <f t="shared" ref="P78:P79" si="111">SUM(J78:O78)</f>
        <v>0</v>
      </c>
      <c r="Q78" s="464">
        <f t="shared" si="108"/>
        <v>456615</v>
      </c>
      <c r="R78" s="513">
        <f t="shared" si="109"/>
        <v>4.4985841984166786E-4</v>
      </c>
    </row>
    <row r="79" spans="1:18" x14ac:dyDescent="0.2">
      <c r="A79" s="26"/>
      <c r="B79" s="16">
        <v>2022</v>
      </c>
      <c r="C79" s="467"/>
      <c r="D79" s="468">
        <v>329871</v>
      </c>
      <c r="E79" s="468"/>
      <c r="F79" s="468">
        <v>131434</v>
      </c>
      <c r="G79" s="468"/>
      <c r="H79" s="468"/>
      <c r="I79" s="465">
        <f t="shared" si="110"/>
        <v>461305</v>
      </c>
      <c r="J79" s="467"/>
      <c r="K79" s="468"/>
      <c r="L79" s="468"/>
      <c r="M79" s="468"/>
      <c r="N79" s="465">
        <f t="shared" si="107"/>
        <v>0</v>
      </c>
      <c r="O79" s="470"/>
      <c r="P79" s="465">
        <f t="shared" si="111"/>
        <v>0</v>
      </c>
      <c r="Q79" s="464">
        <f t="shared" si="108"/>
        <v>461305</v>
      </c>
      <c r="R79" s="513">
        <f t="shared" si="109"/>
        <v>4.5447902141861437E-4</v>
      </c>
    </row>
    <row r="80" spans="1:18" ht="12.75" thickBot="1" x14ac:dyDescent="0.25">
      <c r="A80" s="28"/>
      <c r="B80" s="104" t="s">
        <v>408</v>
      </c>
      <c r="C80" s="475"/>
      <c r="D80" s="476">
        <f t="shared" ref="D80" si="112">((D78-D79)/D79)*100</f>
        <v>-5.8528940100827294</v>
      </c>
      <c r="E80" s="476"/>
      <c r="F80" s="476">
        <f t="shared" ref="F80" si="113">((F78-F79)/F79)*100</f>
        <v>11.121171082064002</v>
      </c>
      <c r="G80" s="476"/>
      <c r="H80" s="476"/>
      <c r="I80" s="476">
        <f t="shared" ref="I80" si="114">((I78-I79)/I79)*100</f>
        <v>-1.0166809377743575</v>
      </c>
      <c r="J80" s="475"/>
      <c r="K80" s="476"/>
      <c r="L80" s="476"/>
      <c r="M80" s="476"/>
      <c r="N80" s="476" t="e">
        <f t="shared" ref="N80" si="115">((N78-N79)/N79)*100</f>
        <v>#DIV/0!</v>
      </c>
      <c r="O80" s="478"/>
      <c r="P80" s="476" t="e">
        <f t="shared" ref="P80" si="116">((P78-P79)/P79)*100</f>
        <v>#DIV/0!</v>
      </c>
      <c r="Q80" s="476"/>
      <c r="R80" s="514"/>
    </row>
    <row r="81" spans="1:18" ht="12.75" thickBot="1" x14ac:dyDescent="0.25">
      <c r="A81" s="23" t="s">
        <v>273</v>
      </c>
      <c r="B81" s="58">
        <v>2020</v>
      </c>
      <c r="C81" s="463"/>
      <c r="D81" s="462">
        <v>201380222</v>
      </c>
      <c r="E81" s="464"/>
      <c r="F81" s="462">
        <v>77954716</v>
      </c>
      <c r="G81" s="462"/>
      <c r="H81" s="462">
        <v>741482</v>
      </c>
      <c r="I81" s="465">
        <f>SUM(C81:H81)</f>
        <v>280076420</v>
      </c>
      <c r="J81" s="463"/>
      <c r="K81" s="464"/>
      <c r="L81" s="462">
        <v>8271918</v>
      </c>
      <c r="M81" s="464"/>
      <c r="N81" s="465">
        <f t="shared" ref="N81:N83" si="117">SUM(J81:M81)</f>
        <v>8271918</v>
      </c>
      <c r="O81" s="466"/>
      <c r="P81" s="465">
        <f t="shared" ref="P81:P83" si="118">SUM(O81:O81)</f>
        <v>0</v>
      </c>
      <c r="Q81" s="464">
        <f t="shared" ref="Q81:Q83" si="119">+N81+P81+I81</f>
        <v>288348338</v>
      </c>
      <c r="R81" s="513">
        <f t="shared" ref="R81:R83" si="120">Q81/$Q$105</f>
        <v>0.28408161732893389</v>
      </c>
    </row>
    <row r="82" spans="1:18" ht="12.75" thickBot="1" x14ac:dyDescent="0.25">
      <c r="A82" s="26"/>
      <c r="B82" s="16">
        <v>2021</v>
      </c>
      <c r="C82" s="467"/>
      <c r="D82" s="462">
        <v>216850676</v>
      </c>
      <c r="E82" s="468"/>
      <c r="F82" s="462">
        <v>78630719</v>
      </c>
      <c r="G82" s="468"/>
      <c r="H82" s="462">
        <v>761482</v>
      </c>
      <c r="I82" s="465">
        <f t="shared" ref="I82:I83" si="121">SUM(C82:H82)</f>
        <v>296242877</v>
      </c>
      <c r="J82" s="467"/>
      <c r="K82" s="468"/>
      <c r="L82" s="462">
        <v>13623243</v>
      </c>
      <c r="M82" s="468"/>
      <c r="N82" s="465">
        <f t="shared" si="117"/>
        <v>13623243</v>
      </c>
      <c r="O82" s="470"/>
      <c r="P82" s="465">
        <f t="shared" si="118"/>
        <v>0</v>
      </c>
      <c r="Q82" s="464">
        <f t="shared" si="119"/>
        <v>309866120</v>
      </c>
      <c r="R82" s="513">
        <f t="shared" si="120"/>
        <v>0.30528099844654388</v>
      </c>
    </row>
    <row r="83" spans="1:18" x14ac:dyDescent="0.2">
      <c r="A83" s="26"/>
      <c r="B83" s="16">
        <v>2022</v>
      </c>
      <c r="C83" s="467"/>
      <c r="D83" s="468">
        <v>220289412</v>
      </c>
      <c r="E83" s="468"/>
      <c r="F83" s="468">
        <v>85295118</v>
      </c>
      <c r="G83" s="468"/>
      <c r="H83" s="468">
        <v>545520</v>
      </c>
      <c r="I83" s="465">
        <f t="shared" si="121"/>
        <v>306130050</v>
      </c>
      <c r="J83" s="467"/>
      <c r="K83" s="468"/>
      <c r="L83" s="468">
        <v>3580889</v>
      </c>
      <c r="M83" s="468"/>
      <c r="N83" s="465">
        <f t="shared" si="117"/>
        <v>3580889</v>
      </c>
      <c r="O83" s="470"/>
      <c r="P83" s="465">
        <f t="shared" si="118"/>
        <v>0</v>
      </c>
      <c r="Q83" s="464">
        <f t="shared" si="119"/>
        <v>309710939</v>
      </c>
      <c r="R83" s="513">
        <f t="shared" si="120"/>
        <v>0.30512811367611486</v>
      </c>
    </row>
    <row r="84" spans="1:18" ht="12.75" thickBot="1" x14ac:dyDescent="0.25">
      <c r="A84" s="28"/>
      <c r="B84" s="104" t="s">
        <v>408</v>
      </c>
      <c r="C84" s="475"/>
      <c r="D84" s="476">
        <f t="shared" ref="D84" si="122">((D82-D83)/D83)*100</f>
        <v>-1.5610082975753732</v>
      </c>
      <c r="E84" s="476"/>
      <c r="F84" s="476">
        <f t="shared" ref="F84" si="123">((F82-F83)/F83)*100</f>
        <v>-7.8133416733182788</v>
      </c>
      <c r="G84" s="476"/>
      <c r="H84" s="476"/>
      <c r="I84" s="476">
        <f t="shared" ref="I84" si="124">((I82-I83)/I83)*100</f>
        <v>-3.2297296524793953</v>
      </c>
      <c r="J84" s="475"/>
      <c r="K84" s="476"/>
      <c r="L84" s="476">
        <f t="shared" ref="L84" si="125">((L82-L83)/L83)*100</f>
        <v>280.44304082031027</v>
      </c>
      <c r="M84" s="476"/>
      <c r="N84" s="476">
        <f t="shared" ref="N84" si="126">((N82-N83)/N83)*100</f>
        <v>280.44304082031027</v>
      </c>
      <c r="O84" s="478"/>
      <c r="P84" s="476" t="e">
        <f t="shared" ref="P84" si="127">((P82-P83)/P83)*100</f>
        <v>#DIV/0!</v>
      </c>
      <c r="Q84" s="476"/>
      <c r="R84" s="514"/>
    </row>
    <row r="85" spans="1:18" ht="12.75" thickBot="1" x14ac:dyDescent="0.25">
      <c r="A85" s="23" t="s">
        <v>274</v>
      </c>
      <c r="B85" s="58">
        <v>2020</v>
      </c>
      <c r="C85" s="463"/>
      <c r="D85" s="464"/>
      <c r="E85" s="464"/>
      <c r="F85" s="462">
        <v>12882</v>
      </c>
      <c r="G85" s="464"/>
      <c r="H85" s="464"/>
      <c r="I85" s="465">
        <f>SUM(C85:H85)</f>
        <v>12882</v>
      </c>
      <c r="J85" s="463"/>
      <c r="K85" s="464"/>
      <c r="L85" s="464"/>
      <c r="M85" s="464"/>
      <c r="N85" s="465">
        <f t="shared" ref="N85:N87" si="128">SUM(J85:M85)</f>
        <v>0</v>
      </c>
      <c r="O85" s="466"/>
      <c r="P85" s="465">
        <f>SUM(J85:O85)</f>
        <v>0</v>
      </c>
      <c r="Q85" s="464">
        <f t="shared" ref="Q85:Q87" si="129">+N85+P85+I85</f>
        <v>12882</v>
      </c>
      <c r="R85" s="513">
        <f t="shared" ref="R85:R87" si="130">Q85/$Q$105</f>
        <v>1.2691383691732347E-5</v>
      </c>
    </row>
    <row r="86" spans="1:18" ht="12.75" thickBot="1" x14ac:dyDescent="0.25">
      <c r="A86" s="26"/>
      <c r="B86" s="16">
        <v>2021</v>
      </c>
      <c r="C86" s="467"/>
      <c r="D86" s="468"/>
      <c r="E86" s="468"/>
      <c r="F86" s="462">
        <v>12800</v>
      </c>
      <c r="G86" s="468"/>
      <c r="H86" s="468"/>
      <c r="I86" s="465">
        <f t="shared" ref="I86:I87" si="131">SUM(C86:H86)</f>
        <v>12800</v>
      </c>
      <c r="J86" s="467"/>
      <c r="K86" s="468"/>
      <c r="L86" s="468"/>
      <c r="M86" s="468"/>
      <c r="N86" s="465">
        <f t="shared" si="128"/>
        <v>0</v>
      </c>
      <c r="O86" s="470"/>
      <c r="P86" s="465">
        <f t="shared" ref="P86" si="132">SUM(J86:O86)</f>
        <v>0</v>
      </c>
      <c r="Q86" s="464">
        <f t="shared" si="129"/>
        <v>12800</v>
      </c>
      <c r="R86" s="513">
        <f t="shared" si="130"/>
        <v>1.2610597054352899E-5</v>
      </c>
    </row>
    <row r="87" spans="1:18" x14ac:dyDescent="0.2">
      <c r="A87" s="26"/>
      <c r="B87" s="16">
        <v>2022</v>
      </c>
      <c r="C87" s="467"/>
      <c r="D87" s="468"/>
      <c r="E87" s="468"/>
      <c r="F87" s="468"/>
      <c r="G87" s="468"/>
      <c r="H87" s="468"/>
      <c r="I87" s="465">
        <f t="shared" si="131"/>
        <v>0</v>
      </c>
      <c r="J87" s="467"/>
      <c r="K87" s="468"/>
      <c r="L87" s="485">
        <v>30000000</v>
      </c>
      <c r="M87" s="468"/>
      <c r="N87" s="465">
        <f t="shared" si="128"/>
        <v>30000000</v>
      </c>
      <c r="O87" s="470"/>
      <c r="P87" s="465">
        <f t="shared" ref="P87" si="133">SUM(O87:O87)</f>
        <v>0</v>
      </c>
      <c r="Q87" s="464">
        <f t="shared" si="129"/>
        <v>30000000</v>
      </c>
      <c r="R87" s="513">
        <f t="shared" si="130"/>
        <v>2.9556086846139605E-2</v>
      </c>
    </row>
    <row r="88" spans="1:18" ht="12.75" thickBot="1" x14ac:dyDescent="0.25">
      <c r="A88" s="28"/>
      <c r="B88" s="104" t="s">
        <v>408</v>
      </c>
      <c r="C88" s="475"/>
      <c r="D88" s="476"/>
      <c r="E88" s="476"/>
      <c r="F88" s="476"/>
      <c r="G88" s="476"/>
      <c r="H88" s="476"/>
      <c r="I88" s="476"/>
      <c r="J88" s="475"/>
      <c r="K88" s="476"/>
      <c r="L88" s="476">
        <f t="shared" ref="L88" si="134">((L86-L87)/L87)*100</f>
        <v>-100</v>
      </c>
      <c r="M88" s="476"/>
      <c r="N88" s="476">
        <f t="shared" ref="N88" si="135">((N86-N87)/N87)*100</f>
        <v>-100</v>
      </c>
      <c r="O88" s="478"/>
      <c r="P88" s="476" t="e">
        <f t="shared" ref="P88" si="136">((P86-P87)/P87)*100</f>
        <v>#DIV/0!</v>
      </c>
      <c r="Q88" s="476"/>
      <c r="R88" s="514"/>
    </row>
    <row r="89" spans="1:18" ht="12.75" thickBot="1" x14ac:dyDescent="0.25">
      <c r="A89" s="23" t="s">
        <v>275</v>
      </c>
      <c r="B89" s="58">
        <v>2020</v>
      </c>
      <c r="C89" s="463"/>
      <c r="D89" s="462">
        <v>396417460</v>
      </c>
      <c r="E89" s="464"/>
      <c r="F89" s="462">
        <v>30744732</v>
      </c>
      <c r="G89" s="464"/>
      <c r="H89" s="464"/>
      <c r="I89" s="465">
        <f>SUM(C89:H89)</f>
        <v>427162192</v>
      </c>
      <c r="J89" s="463"/>
      <c r="K89" s="464"/>
      <c r="L89" s="462">
        <v>8407396</v>
      </c>
      <c r="M89" s="464"/>
      <c r="N89" s="465">
        <f t="shared" ref="N89:N91" si="137">SUM(J89:M89)</f>
        <v>8407396</v>
      </c>
      <c r="O89" s="466"/>
      <c r="P89" s="465">
        <f t="shared" ref="P89:P91" si="138">SUM(O89:O89)</f>
        <v>0</v>
      </c>
      <c r="Q89" s="464">
        <f>+N89+P89+I89</f>
        <v>435569588</v>
      </c>
      <c r="R89" s="513">
        <f t="shared" ref="R89:R91" si="139">Q89/$Q$105</f>
        <v>0.42912441901550824</v>
      </c>
    </row>
    <row r="90" spans="1:18" ht="12.75" thickBot="1" x14ac:dyDescent="0.25">
      <c r="A90" s="26"/>
      <c r="B90" s="16">
        <v>2021</v>
      </c>
      <c r="C90" s="467"/>
      <c r="D90" s="462">
        <v>453002253</v>
      </c>
      <c r="E90" s="462">
        <v>1113000</v>
      </c>
      <c r="F90" s="462">
        <v>22308431</v>
      </c>
      <c r="G90" s="468"/>
      <c r="H90" s="468"/>
      <c r="I90" s="465">
        <f t="shared" ref="I90:I91" si="140">SUM(C90:H90)</f>
        <v>476423684</v>
      </c>
      <c r="J90" s="467"/>
      <c r="K90" s="468"/>
      <c r="L90" s="468">
        <v>47067681</v>
      </c>
      <c r="M90" s="468"/>
      <c r="N90" s="465">
        <f t="shared" si="137"/>
        <v>47067681</v>
      </c>
      <c r="O90" s="470"/>
      <c r="P90" s="465">
        <f t="shared" si="138"/>
        <v>0</v>
      </c>
      <c r="Q90" s="464">
        <f t="shared" ref="Q90:Q91" si="141">+N90+P90+I90</f>
        <v>523491365</v>
      </c>
      <c r="R90" s="513">
        <f t="shared" si="139"/>
        <v>0.51574520823813896</v>
      </c>
    </row>
    <row r="91" spans="1:18" x14ac:dyDescent="0.2">
      <c r="A91" s="26"/>
      <c r="B91" s="16">
        <v>2022</v>
      </c>
      <c r="C91" s="467"/>
      <c r="D91" s="468">
        <v>452844602</v>
      </c>
      <c r="E91" s="462">
        <v>1113000</v>
      </c>
      <c r="F91" s="468">
        <v>18447031</v>
      </c>
      <c r="G91" s="468"/>
      <c r="H91" s="468"/>
      <c r="I91" s="465">
        <f t="shared" si="140"/>
        <v>472404633</v>
      </c>
      <c r="J91" s="467"/>
      <c r="K91" s="468"/>
      <c r="L91" s="468">
        <v>75575680</v>
      </c>
      <c r="M91" s="468"/>
      <c r="N91" s="465">
        <f t="shared" si="137"/>
        <v>75575680</v>
      </c>
      <c r="O91" s="470"/>
      <c r="P91" s="465">
        <f t="shared" si="138"/>
        <v>0</v>
      </c>
      <c r="Q91" s="464">
        <f t="shared" si="141"/>
        <v>547980313</v>
      </c>
      <c r="R91" s="513">
        <f t="shared" si="139"/>
        <v>0.53987179070009217</v>
      </c>
    </row>
    <row r="92" spans="1:18" ht="12.75" thickBot="1" x14ac:dyDescent="0.25">
      <c r="A92" s="28"/>
      <c r="B92" s="104" t="s">
        <v>408</v>
      </c>
      <c r="C92" s="475"/>
      <c r="D92" s="476">
        <f t="shared" ref="D92:F92" si="142">((D90-D91)/D91)*100</f>
        <v>3.4813487740326422E-2</v>
      </c>
      <c r="E92" s="476">
        <f t="shared" si="142"/>
        <v>0</v>
      </c>
      <c r="F92" s="476">
        <f t="shared" si="142"/>
        <v>20.932365755768505</v>
      </c>
      <c r="G92" s="476"/>
      <c r="H92" s="476"/>
      <c r="I92" s="476">
        <f t="shared" ref="I92" si="143">((I90-I91)/I91)*100</f>
        <v>0.85076451822181864</v>
      </c>
      <c r="J92" s="475"/>
      <c r="K92" s="476"/>
      <c r="L92" s="476">
        <f t="shared" ref="L92" si="144">((L90-L91)/L91)*100</f>
        <v>-37.721128013667887</v>
      </c>
      <c r="M92" s="476"/>
      <c r="N92" s="476">
        <f t="shared" ref="N92" si="145">((N90-N91)/N91)*100</f>
        <v>-37.721128013667887</v>
      </c>
      <c r="O92" s="478"/>
      <c r="P92" s="476" t="e">
        <f t="shared" ref="P92" si="146">((P90-P91)/P91)*100</f>
        <v>#DIV/0!</v>
      </c>
      <c r="Q92" s="476"/>
      <c r="R92" s="514"/>
    </row>
    <row r="93" spans="1:18" ht="12.75" thickBot="1" x14ac:dyDescent="0.25">
      <c r="A93" s="23" t="s">
        <v>276</v>
      </c>
      <c r="B93" s="58">
        <v>2020</v>
      </c>
      <c r="C93" s="463"/>
      <c r="D93" s="462">
        <v>373085</v>
      </c>
      <c r="E93" s="464"/>
      <c r="F93" s="462">
        <v>192779</v>
      </c>
      <c r="G93" s="464"/>
      <c r="H93" s="464"/>
      <c r="I93" s="465">
        <f>SUM(C93:H93)</f>
        <v>565864</v>
      </c>
      <c r="J93" s="463"/>
      <c r="K93" s="464"/>
      <c r="L93" s="464"/>
      <c r="M93" s="464"/>
      <c r="N93" s="465">
        <f t="shared" ref="N93:N95" si="147">SUM(J93:M93)</f>
        <v>0</v>
      </c>
      <c r="O93" s="466"/>
      <c r="P93" s="465">
        <f>SUM(J93:O93)</f>
        <v>0</v>
      </c>
      <c r="Q93" s="464">
        <f>+N93+P93+I93</f>
        <v>565864</v>
      </c>
      <c r="R93" s="513">
        <f t="shared" ref="R93:R95" si="148">Q93/$Q$105</f>
        <v>5.5749085090346477E-4</v>
      </c>
    </row>
    <row r="94" spans="1:18" ht="12.75" thickBot="1" x14ac:dyDescent="0.25">
      <c r="A94" s="26"/>
      <c r="B94" s="16">
        <v>2021</v>
      </c>
      <c r="C94" s="467"/>
      <c r="D94" s="462">
        <v>414023</v>
      </c>
      <c r="E94" s="468"/>
      <c r="F94" s="462">
        <v>260030</v>
      </c>
      <c r="G94" s="468"/>
      <c r="H94" s="468"/>
      <c r="I94" s="465">
        <f t="shared" ref="I94:I95" si="149">SUM(C94:H94)</f>
        <v>674053</v>
      </c>
      <c r="J94" s="467"/>
      <c r="K94" s="468"/>
      <c r="L94" s="462">
        <v>4010652</v>
      </c>
      <c r="M94" s="468"/>
      <c r="N94" s="465">
        <f t="shared" si="147"/>
        <v>4010652</v>
      </c>
      <c r="O94" s="470"/>
      <c r="P94" s="465">
        <f t="shared" ref="P94:P95" si="150">SUM(O94:O94)</f>
        <v>0</v>
      </c>
      <c r="Q94" s="464">
        <f t="shared" ref="Q94:Q95" si="151">+N94+P94+I94</f>
        <v>4684705</v>
      </c>
      <c r="R94" s="513">
        <f t="shared" si="148"/>
        <v>4.6153849276181482E-3</v>
      </c>
    </row>
    <row r="95" spans="1:18" x14ac:dyDescent="0.2">
      <c r="A95" s="26"/>
      <c r="B95" s="16">
        <v>2022</v>
      </c>
      <c r="C95" s="467"/>
      <c r="D95" s="468">
        <v>406293</v>
      </c>
      <c r="E95" s="468"/>
      <c r="F95" s="468">
        <v>245202</v>
      </c>
      <c r="G95" s="468"/>
      <c r="H95" s="468"/>
      <c r="I95" s="465">
        <f t="shared" si="149"/>
        <v>651495</v>
      </c>
      <c r="J95" s="467"/>
      <c r="K95" s="468"/>
      <c r="L95" s="485">
        <v>3569016</v>
      </c>
      <c r="M95" s="468"/>
      <c r="N95" s="465">
        <f t="shared" si="147"/>
        <v>3569016</v>
      </c>
      <c r="O95" s="470"/>
      <c r="P95" s="465">
        <f t="shared" si="150"/>
        <v>0</v>
      </c>
      <c r="Q95" s="464">
        <f t="shared" si="151"/>
        <v>4220511</v>
      </c>
      <c r="R95" s="513">
        <f t="shared" si="148"/>
        <v>4.1580596550362505E-3</v>
      </c>
    </row>
    <row r="96" spans="1:18" ht="12.75" thickBot="1" x14ac:dyDescent="0.25">
      <c r="A96" s="28"/>
      <c r="B96" s="104" t="s">
        <v>408</v>
      </c>
      <c r="C96" s="475"/>
      <c r="D96" s="476">
        <f t="shared" ref="D96" si="152">((D94-D95)/D95)*100</f>
        <v>1.9025678512797417</v>
      </c>
      <c r="E96" s="476"/>
      <c r="F96" s="476">
        <f t="shared" ref="F96" si="153">((F94-F95)/F95)*100</f>
        <v>6.0472589946248396</v>
      </c>
      <c r="G96" s="476"/>
      <c r="H96" s="476"/>
      <c r="I96" s="476">
        <f t="shared" ref="I96" si="154">((I94-I95)/I95)*100</f>
        <v>3.4624977935364045</v>
      </c>
      <c r="J96" s="475"/>
      <c r="K96" s="476"/>
      <c r="L96" s="476">
        <f t="shared" ref="L96" si="155">((L94-L95)/L95)*100</f>
        <v>12.374166997290009</v>
      </c>
      <c r="M96" s="476"/>
      <c r="N96" s="476">
        <f t="shared" ref="N96" si="156">((N94-N95)/N95)*100</f>
        <v>12.374166997290009</v>
      </c>
      <c r="O96" s="478"/>
      <c r="P96" s="476" t="e">
        <f t="shared" ref="P96" si="157">((P94-P95)/P95)*100</f>
        <v>#DIV/0!</v>
      </c>
      <c r="Q96" s="476"/>
      <c r="R96" s="476"/>
    </row>
    <row r="97" spans="1:18" ht="12.75" thickBot="1" x14ac:dyDescent="0.25">
      <c r="A97" s="23" t="s">
        <v>277</v>
      </c>
      <c r="B97" s="58">
        <v>2020</v>
      </c>
      <c r="C97" s="463"/>
      <c r="D97" s="464"/>
      <c r="E97" s="462">
        <v>100062898</v>
      </c>
      <c r="F97" s="464"/>
      <c r="G97" s="464"/>
      <c r="H97" s="464"/>
      <c r="I97" s="465">
        <f>SUM(C97:H97)</f>
        <v>100062898</v>
      </c>
      <c r="J97" s="463"/>
      <c r="K97" s="464"/>
      <c r="L97" s="464"/>
      <c r="M97" s="464"/>
      <c r="N97" s="465">
        <f t="shared" ref="N97:N99" si="158">SUM(J97:M97)</f>
        <v>0</v>
      </c>
      <c r="O97" s="466"/>
      <c r="P97" s="465">
        <f>SUM(J97:O97)</f>
        <v>0</v>
      </c>
      <c r="Q97" s="464"/>
      <c r="R97" s="513"/>
    </row>
    <row r="98" spans="1:18" ht="12.75" thickBot="1" x14ac:dyDescent="0.25">
      <c r="A98" s="26"/>
      <c r="B98" s="16">
        <v>2021</v>
      </c>
      <c r="C98" s="467"/>
      <c r="D98" s="468"/>
      <c r="E98" s="462">
        <v>101507920</v>
      </c>
      <c r="F98" s="468"/>
      <c r="G98" s="468"/>
      <c r="H98" s="468"/>
      <c r="I98" s="465">
        <f t="shared" ref="I98:I99" si="159">SUM(C98:H98)</f>
        <v>101507920</v>
      </c>
      <c r="J98" s="467"/>
      <c r="K98" s="468"/>
      <c r="L98" s="468"/>
      <c r="M98" s="468"/>
      <c r="N98" s="465">
        <f t="shared" si="158"/>
        <v>0</v>
      </c>
      <c r="O98" s="470"/>
      <c r="P98" s="465">
        <f t="shared" ref="P98:P99" si="160">SUM(J98:O98)</f>
        <v>0</v>
      </c>
      <c r="Q98" s="468"/>
      <c r="R98" s="515"/>
    </row>
    <row r="99" spans="1:18" x14ac:dyDescent="0.2">
      <c r="A99" s="26"/>
      <c r="B99" s="16">
        <v>2022</v>
      </c>
      <c r="C99" s="467"/>
      <c r="D99" s="468"/>
      <c r="E99" s="468">
        <v>94713561</v>
      </c>
      <c r="F99" s="468"/>
      <c r="G99" s="468"/>
      <c r="H99" s="468"/>
      <c r="I99" s="465">
        <f t="shared" si="159"/>
        <v>94713561</v>
      </c>
      <c r="J99" s="467"/>
      <c r="K99" s="468"/>
      <c r="L99" s="468"/>
      <c r="M99" s="468"/>
      <c r="N99" s="465">
        <f t="shared" si="158"/>
        <v>0</v>
      </c>
      <c r="O99" s="470"/>
      <c r="P99" s="465">
        <f t="shared" si="160"/>
        <v>0</v>
      </c>
      <c r="Q99" s="468"/>
      <c r="R99" s="515"/>
    </row>
    <row r="100" spans="1:18" ht="12.75" thickBot="1" x14ac:dyDescent="0.25">
      <c r="A100" s="28"/>
      <c r="B100" s="104" t="s">
        <v>408</v>
      </c>
      <c r="C100" s="475"/>
      <c r="D100" s="476"/>
      <c r="E100" s="476">
        <f t="shared" ref="E100" si="161">((E98-E99)/E99)*100</f>
        <v>7.1735862618448056</v>
      </c>
      <c r="F100" s="476"/>
      <c r="G100" s="476"/>
      <c r="H100" s="476"/>
      <c r="I100" s="476">
        <f t="shared" ref="I100" si="162">((I98-I99)/I99)*100</f>
        <v>7.1735862618448056</v>
      </c>
      <c r="J100" s="475"/>
      <c r="K100" s="476"/>
      <c r="L100" s="476"/>
      <c r="M100" s="476"/>
      <c r="N100" s="476" t="e">
        <f t="shared" ref="N100" si="163">((N98-N99)/N99)*100</f>
        <v>#DIV/0!</v>
      </c>
      <c r="O100" s="478"/>
      <c r="P100" s="476" t="e">
        <f t="shared" ref="P100" si="164">((P98-P99)/P99)*100</f>
        <v>#DIV/0!</v>
      </c>
      <c r="Q100" s="476"/>
      <c r="R100" s="514"/>
    </row>
    <row r="101" spans="1:18" ht="12.75" thickBot="1" x14ac:dyDescent="0.25">
      <c r="A101" s="23" t="s">
        <v>278</v>
      </c>
      <c r="B101" s="58">
        <v>2020</v>
      </c>
      <c r="C101" s="463"/>
      <c r="D101" s="464"/>
      <c r="E101" s="464"/>
      <c r="F101" s="464"/>
      <c r="G101" s="464"/>
      <c r="H101" s="464"/>
      <c r="I101" s="465"/>
      <c r="J101" s="463"/>
      <c r="K101" s="464"/>
      <c r="L101" s="464"/>
      <c r="M101" s="464"/>
      <c r="N101" s="465"/>
      <c r="O101" s="468">
        <v>11166052</v>
      </c>
      <c r="P101" s="465">
        <f t="shared" ref="P101" si="165">SUM(O101:O101)</f>
        <v>11166052</v>
      </c>
      <c r="Q101" s="464">
        <f t="shared" ref="Q101:Q103" si="166">+N101+P101+I101</f>
        <v>11166052</v>
      </c>
      <c r="R101" s="513">
        <f>Q101/$Q$105</f>
        <v>1.1000826754683696E-2</v>
      </c>
    </row>
    <row r="102" spans="1:18" ht="12.75" thickBot="1" x14ac:dyDescent="0.25">
      <c r="A102" s="26"/>
      <c r="B102" s="16">
        <v>2021</v>
      </c>
      <c r="C102" s="467"/>
      <c r="D102" s="468"/>
      <c r="E102" s="468"/>
      <c r="F102" s="468"/>
      <c r="G102" s="468"/>
      <c r="H102" s="468"/>
      <c r="I102" s="469"/>
      <c r="J102" s="467"/>
      <c r="K102" s="468"/>
      <c r="L102" s="468"/>
      <c r="M102" s="468"/>
      <c r="N102" s="469"/>
      <c r="O102" s="468">
        <v>4604290</v>
      </c>
      <c r="P102" s="465">
        <f>SUM(O102:O102)</f>
        <v>4604290</v>
      </c>
      <c r="Q102" s="464">
        <f t="shared" si="166"/>
        <v>4604290</v>
      </c>
      <c r="R102" s="513">
        <f t="shared" ref="R102:R103" si="167">Q102/$Q$105</f>
        <v>4.5361598368270709E-3</v>
      </c>
    </row>
    <row r="103" spans="1:18" x14ac:dyDescent="0.2">
      <c r="A103" s="26"/>
      <c r="B103" s="16">
        <v>2022</v>
      </c>
      <c r="C103" s="467"/>
      <c r="D103" s="468"/>
      <c r="E103" s="468"/>
      <c r="F103" s="468"/>
      <c r="G103" s="468"/>
      <c r="H103" s="468"/>
      <c r="I103" s="469"/>
      <c r="J103" s="467"/>
      <c r="K103" s="468"/>
      <c r="L103" s="468"/>
      <c r="M103" s="468"/>
      <c r="N103" s="469"/>
      <c r="O103" s="485">
        <v>6730994</v>
      </c>
      <c r="P103" s="465">
        <f>SUM(O103:O103)</f>
        <v>6730994</v>
      </c>
      <c r="Q103" s="464">
        <f t="shared" si="166"/>
        <v>6730994</v>
      </c>
      <c r="R103" s="513">
        <f t="shared" si="167"/>
        <v>6.6313947741614872E-3</v>
      </c>
    </row>
    <row r="104" spans="1:18" ht="12.75" thickBot="1" x14ac:dyDescent="0.25">
      <c r="A104" s="28"/>
      <c r="B104" s="104" t="s">
        <v>408</v>
      </c>
      <c r="C104" s="475"/>
      <c r="D104" s="476"/>
      <c r="E104" s="476"/>
      <c r="F104" s="476"/>
      <c r="G104" s="476"/>
      <c r="H104" s="476"/>
      <c r="I104" s="477"/>
      <c r="J104" s="475"/>
      <c r="K104" s="476"/>
      <c r="L104" s="476"/>
      <c r="M104" s="476"/>
      <c r="N104" s="477"/>
      <c r="O104" s="476">
        <f t="shared" ref="O104" si="168">((O102-O103)/O103)*100</f>
        <v>-31.595690027357033</v>
      </c>
      <c r="P104" s="477"/>
      <c r="Q104" s="476"/>
      <c r="R104" s="514"/>
    </row>
    <row r="105" spans="1:18" ht="12.75" thickBot="1" x14ac:dyDescent="0.25">
      <c r="A105" s="89" t="s">
        <v>0</v>
      </c>
      <c r="B105" s="58">
        <v>2020</v>
      </c>
      <c r="C105" s="479"/>
      <c r="D105" s="480">
        <f>+D101+D97+D93+D89+D85+D81+D77+D73+D69+D65+D61+D57+D53+D49+D45+D41+D37+D33+D29+D25+D21+D17+D13</f>
        <v>621220972</v>
      </c>
      <c r="E105" s="480">
        <f t="shared" ref="E105:Q105" si="169">+E101+E97+E93+E89+E85+E81+E77+E73+E69+E65+E61+E57+E53+E49+E45+E41+E37+E33+E29+E25+E21+E17+E13</f>
        <v>110942168</v>
      </c>
      <c r="F105" s="480">
        <f t="shared" si="169"/>
        <v>151413508</v>
      </c>
      <c r="G105" s="480">
        <f t="shared" si="169"/>
        <v>0</v>
      </c>
      <c r="H105" s="480">
        <f t="shared" si="169"/>
        <v>761482</v>
      </c>
      <c r="I105" s="480">
        <f t="shared" si="169"/>
        <v>884338130</v>
      </c>
      <c r="J105" s="480">
        <f t="shared" si="169"/>
        <v>0</v>
      </c>
      <c r="K105" s="480">
        <f t="shared" si="169"/>
        <v>0</v>
      </c>
      <c r="L105" s="480">
        <f t="shared" si="169"/>
        <v>219591698</v>
      </c>
      <c r="M105" s="480">
        <f t="shared" si="169"/>
        <v>0</v>
      </c>
      <c r="N105" s="480">
        <f>+N101+N97+N93+N89+N85+N81+N77+N73+N69+N65+N61+N57+N53+N49+N45+N41+N37+N33+N29+N25+N21+N17+N13</f>
        <v>219578064</v>
      </c>
      <c r="O105" s="480">
        <f t="shared" si="169"/>
        <v>11166052</v>
      </c>
      <c r="P105" s="480">
        <f t="shared" si="169"/>
        <v>11166052</v>
      </c>
      <c r="Q105" s="480">
        <f t="shared" si="169"/>
        <v>1015019348</v>
      </c>
      <c r="R105" s="513">
        <f t="shared" ref="R105:R107" si="170">Q105/$Q$105</f>
        <v>1</v>
      </c>
    </row>
    <row r="106" spans="1:18" ht="12.75" thickBot="1" x14ac:dyDescent="0.25">
      <c r="A106" s="29"/>
      <c r="B106" s="16">
        <v>2021</v>
      </c>
      <c r="C106" s="467"/>
      <c r="D106" s="468">
        <f>+D102+D94+D90+D86+D82+D78+D74+D70+D66+D62+D58+D54+D50+D46+D42+D38+D34+D30+D26+D22+D14+D18</f>
        <v>685008369</v>
      </c>
      <c r="E106" s="468">
        <f t="shared" ref="E106:Q106" si="171">+E102+E94+E90+E86+E82+E78+E74+E70+E66+E62+E58+E54+E50+E46+E42+E38+E34+E30+E26+E22+E14+E18</f>
        <v>2501054</v>
      </c>
      <c r="F106" s="468">
        <f t="shared" si="171"/>
        <v>124136059</v>
      </c>
      <c r="G106" s="468">
        <f t="shared" si="171"/>
        <v>0</v>
      </c>
      <c r="H106" s="468">
        <f t="shared" si="171"/>
        <v>761482</v>
      </c>
      <c r="I106" s="468">
        <f t="shared" si="171"/>
        <v>812406964</v>
      </c>
      <c r="J106" s="468">
        <f t="shared" si="171"/>
        <v>0</v>
      </c>
      <c r="K106" s="468">
        <f t="shared" si="171"/>
        <v>0</v>
      </c>
      <c r="L106" s="468">
        <f t="shared" si="171"/>
        <v>277195543</v>
      </c>
      <c r="M106" s="468">
        <f t="shared" si="171"/>
        <v>0</v>
      </c>
      <c r="N106" s="468">
        <f t="shared" si="171"/>
        <v>277195543</v>
      </c>
      <c r="O106" s="468">
        <f t="shared" si="171"/>
        <v>4604290</v>
      </c>
      <c r="P106" s="468">
        <f t="shared" si="171"/>
        <v>4604290</v>
      </c>
      <c r="Q106" s="468">
        <f t="shared" si="171"/>
        <v>1094206797</v>
      </c>
      <c r="R106" s="513">
        <f t="shared" si="170"/>
        <v>1.0780157039922751</v>
      </c>
    </row>
    <row r="107" spans="1:18" x14ac:dyDescent="0.2">
      <c r="A107" s="29"/>
      <c r="B107" s="16">
        <v>2022</v>
      </c>
      <c r="C107" s="467"/>
      <c r="D107" s="468">
        <f>+D103+D99+D95+D91+D87+D83+D79+D75+D71+D67+D63+D59+D55+D51+D47+D43+D39+D35+D31+D27+D23+D19+D15</f>
        <v>689220481</v>
      </c>
      <c r="E107" s="468">
        <f t="shared" ref="E107:Q107" si="172">+E103+E99+E95+E91+E87+E83+E79+E75+E71+E67+E63+E59+E55+E51+E47+E43+E39+E35+E31+E27+E23+E19+E15</f>
        <v>97214615</v>
      </c>
      <c r="F107" s="468">
        <f t="shared" si="172"/>
        <v>148428914</v>
      </c>
      <c r="G107" s="468">
        <f t="shared" si="172"/>
        <v>0</v>
      </c>
      <c r="H107" s="468">
        <f t="shared" si="172"/>
        <v>545520</v>
      </c>
      <c r="I107" s="468">
        <f t="shared" si="172"/>
        <v>935409530</v>
      </c>
      <c r="J107" s="468">
        <f t="shared" si="172"/>
        <v>0</v>
      </c>
      <c r="K107" s="468">
        <f t="shared" si="172"/>
        <v>0</v>
      </c>
      <c r="L107" s="468">
        <f t="shared" si="172"/>
        <v>366765893</v>
      </c>
      <c r="M107" s="468">
        <f t="shared" si="172"/>
        <v>0</v>
      </c>
      <c r="N107" s="468">
        <f t="shared" si="172"/>
        <v>366765893</v>
      </c>
      <c r="O107" s="468">
        <f t="shared" si="172"/>
        <v>6730994</v>
      </c>
      <c r="P107" s="468">
        <f t="shared" si="172"/>
        <v>6730994</v>
      </c>
      <c r="Q107" s="468">
        <f t="shared" si="172"/>
        <v>1214192856</v>
      </c>
      <c r="R107" s="513">
        <f t="shared" si="170"/>
        <v>1.1962263166632761</v>
      </c>
    </row>
    <row r="108" spans="1:18" ht="12.75" thickBot="1" x14ac:dyDescent="0.25">
      <c r="A108" s="28"/>
      <c r="B108" s="104" t="s">
        <v>408</v>
      </c>
      <c r="C108" s="475"/>
      <c r="D108" s="486">
        <f>((D106-D107)/D107)*100</f>
        <v>-0.61114144401057058</v>
      </c>
      <c r="E108" s="486">
        <f t="shared" ref="E108:F108" si="173">((E106-E107)/E107)*100</f>
        <v>-97.427286010441946</v>
      </c>
      <c r="F108" s="486">
        <f t="shared" si="173"/>
        <v>-16.36665953103989</v>
      </c>
      <c r="G108" s="486"/>
      <c r="H108" s="486">
        <f t="shared" ref="H108:I108" si="174">((H106-H107)/H107)*100</f>
        <v>39.588282739404605</v>
      </c>
      <c r="I108" s="486">
        <f t="shared" si="174"/>
        <v>-13.149595129739591</v>
      </c>
      <c r="J108" s="486"/>
      <c r="K108" s="486"/>
      <c r="L108" s="486">
        <f>((L106-L107)/L107)*100</f>
        <v>-24.421668347443635</v>
      </c>
      <c r="M108" s="486"/>
      <c r="N108" s="486">
        <f t="shared" ref="N108:Q108" si="175">((N106-N107)/N107)*100</f>
        <v>-24.421668347443635</v>
      </c>
      <c r="O108" s="486">
        <f t="shared" si="175"/>
        <v>-31.595690027357033</v>
      </c>
      <c r="P108" s="486">
        <f t="shared" si="175"/>
        <v>-31.595690027357033</v>
      </c>
      <c r="Q108" s="486">
        <f t="shared" si="175"/>
        <v>-9.8819605474601815</v>
      </c>
      <c r="R108" s="517">
        <v>100</v>
      </c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5" right="0.25" top="0.75" bottom="0.75" header="0.3" footer="0.3"/>
  <pageSetup paperSize="9" scale="51" orientation="portrait" r:id="rId1"/>
  <headerFooter alignWithMargins="0">
    <oddHeader xml:space="preserve">&amp;C&amp;"Arial,Negrita"&amp;18PROYECTO DE PRESUPUESTO 2022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Índice</vt:lpstr>
      <vt:lpstr>F-01</vt:lpstr>
      <vt:lpstr>F-02</vt:lpstr>
      <vt:lpstr>F-03</vt:lpstr>
      <vt:lpstr>F-04</vt:lpstr>
      <vt:lpstr>F-05</vt:lpstr>
      <vt:lpstr>F-06</vt:lpstr>
      <vt:lpstr>F-07</vt:lpstr>
      <vt:lpstr>F-08</vt:lpstr>
      <vt:lpstr>F-09</vt:lpstr>
      <vt:lpstr>F-10</vt:lpstr>
      <vt:lpstr>F-11</vt:lpstr>
      <vt:lpstr>F-12</vt:lpstr>
      <vt:lpstr>F-13</vt:lpstr>
      <vt:lpstr>F-14</vt:lpstr>
      <vt:lpstr>F-15</vt:lpstr>
      <vt:lpstr>F-16</vt:lpstr>
      <vt:lpstr>F-17</vt:lpstr>
      <vt:lpstr>F-18</vt:lpstr>
      <vt:lpstr>Hoja2</vt:lpstr>
      <vt:lpstr>Hoja1</vt:lpstr>
      <vt:lpstr>'F-01'!Área_de_impresión</vt:lpstr>
      <vt:lpstr>'F-06'!Área_de_impresión</vt:lpstr>
      <vt:lpstr>'F-07'!Área_de_impresión</vt:lpstr>
      <vt:lpstr>'F-08'!Área_de_impresión</vt:lpstr>
      <vt:lpstr>'F-09'!Área_de_impresión</vt:lpstr>
      <vt:lpstr>'F-10'!Área_de_impresión</vt:lpstr>
      <vt:lpstr>'F-11'!Área_de_impresión</vt:lpstr>
      <vt:lpstr>'F-12'!Área_de_impresión</vt:lpstr>
      <vt:lpstr>'F-13'!Área_de_impresión</vt:lpstr>
      <vt:lpstr>'F-14'!Área_de_impresión</vt:lpstr>
      <vt:lpstr>'F-15'!Área_de_impresión</vt:lpstr>
      <vt:lpstr>'F-16'!Área_de_impresión</vt:lpstr>
      <vt:lpstr>'F-17'!Área_de_impresión</vt:lpstr>
      <vt:lpstr>'F-18'!Área_de_impresión</vt:lpstr>
      <vt:lpstr>Índice!Área_de_impresión</vt:lpstr>
      <vt:lpstr>'F-01'!Títulos_a_imprimir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2021-10-01T00:50:48Z</cp:lastPrinted>
  <dcterms:created xsi:type="dcterms:W3CDTF">1998-08-20T20:27:58Z</dcterms:created>
  <dcterms:modified xsi:type="dcterms:W3CDTF">2021-10-01T02:28:15Z</dcterms:modified>
</cp:coreProperties>
</file>