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Regiones\Arequipa\"/>
    </mc:Choice>
  </mc:AlternateContent>
  <xr:revisionPtr revIDLastSave="0" documentId="8_{A70C2905-4E79-424E-BEB1-ED5FB77E40F7}" xr6:coauthVersionLast="47" xr6:coauthVersionMax="47" xr10:uidLastSave="{00000000-0000-0000-0000-000000000000}"/>
  <bookViews>
    <workbookView xWindow="-120" yWindow="-120" windowWidth="20730" windowHeight="11160" tabRatio="883" activeTab="12" xr2:uid="{00000000-000D-0000-FFFF-FFFF00000000}"/>
  </bookViews>
  <sheets>
    <sheet name="Índice" sheetId="55" r:id="rId1"/>
    <sheet name="F-01" sheetId="62" r:id="rId2"/>
    <sheet name="F-02" sheetId="73" r:id="rId3"/>
    <sheet name="F-03" sheetId="70" r:id="rId4"/>
    <sheet name="F-04" sheetId="84" r:id="rId5"/>
    <sheet name="F-05" sheetId="85" r:id="rId6"/>
    <sheet name="F-06" sheetId="86"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 sheetId="88" r:id="rId16"/>
    <sheet name="F-16" sheetId="87" r:id="rId17"/>
    <sheet name="F-17" sheetId="53" r:id="rId18"/>
    <sheet name="F-18" sheetId="64" r:id="rId19"/>
    <sheet name="Hoja2" sheetId="80" r:id="rId20"/>
    <sheet name="Hoja1" sheetId="78" state="hidden" r:id="rId21"/>
  </sheets>
  <definedNames>
    <definedName name="_xlnm._FilterDatabase" localSheetId="11" hidden="1">'F-11'!$A$7:$AI$7</definedName>
    <definedName name="_xlnm.Print_Area" localSheetId="1">'F-01'!$A$1:$N$18</definedName>
    <definedName name="_xlnm.Print_Area" localSheetId="6">'F-06'!$A$1:$N$51</definedName>
    <definedName name="_xlnm.Print_Area" localSheetId="7">'F-07'!$A$1:$Q$25</definedName>
    <definedName name="_xlnm.Print_Area" localSheetId="8">'F-08'!$A$1:$Q$109</definedName>
    <definedName name="_xlnm.Print_Area" localSheetId="9">'F-09'!$A$1:$X$4</definedName>
    <definedName name="_xlnm.Print_Area" localSheetId="10">'F-10'!$A$2:$I$3</definedName>
    <definedName name="_xlnm.Print_Area" localSheetId="11">'F-11'!#REF!</definedName>
    <definedName name="_xlnm.Print_Area" localSheetId="12">'F-12'!#REF!</definedName>
    <definedName name="_xlnm.Print_Area" localSheetId="13">'F-13'!$A$1:$N$28</definedName>
    <definedName name="_xlnm.Print_Area" localSheetId="14">'F-14'!$A$1:$J$27</definedName>
    <definedName name="_xlnm.Print_Area" localSheetId="15">'F-15 '!$A$1:$H$21</definedName>
    <definedName name="_xlnm.Print_Area" localSheetId="17">'F-17'!$A$1:$P$19</definedName>
    <definedName name="_xlnm.Print_Area" localSheetId="18">'F-18'!$A$1:$L$15</definedName>
    <definedName name="_xlnm.Print_Area" localSheetId="0">Índice!$A$1:$E$35</definedName>
    <definedName name="dd" localSheetId="2">#REF!</definedName>
    <definedName name="dd" localSheetId="3">#REF!</definedName>
    <definedName name="dd" localSheetId="5">#REF!</definedName>
    <definedName name="dd" localSheetId="15">#REF!</definedName>
    <definedName name="dd" localSheetId="16">#REF!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5">#REF!</definedName>
    <definedName name="DIRECREC" localSheetId="16">#REF!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5">#REF!</definedName>
    <definedName name="DONAC" localSheetId="16">#REF!</definedName>
    <definedName name="DONAC" localSheetId="18">#REF!</definedName>
    <definedName name="DONAC">#REF!</definedName>
    <definedName name="EE" localSheetId="2">#REF!</definedName>
    <definedName name="EE" localSheetId="3">#REF!</definedName>
    <definedName name="EE" localSheetId="5">#REF!</definedName>
    <definedName name="EE" localSheetId="15">#REF!</definedName>
    <definedName name="EE" localSheetId="16">#REF!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5">#REF!</definedName>
    <definedName name="RECORD" localSheetId="16">#REF!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5">#REF!</definedName>
    <definedName name="RECPUB" localSheetId="16">#REF!</definedName>
    <definedName name="RECPUB" localSheetId="18">#REF!</definedName>
    <definedName name="RECPUB">#REF!</definedName>
    <definedName name="_xlnm.Print_Titles" localSheetId="1">'F-01'!$3:$3</definedName>
    <definedName name="_xlnm.Print_Titles" localSheetId="4">'F-04'!$1:$4</definedName>
    <definedName name="_xlnm.Print_Titles" localSheetId="6">'F-06'!$1:$4</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5">#REF!</definedName>
    <definedName name="XPRINT" localSheetId="16">#REF!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5">#REF!</definedName>
    <definedName name="XPRINT2" localSheetId="16">#REF!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5">#REF!</definedName>
    <definedName name="XPRINT3" localSheetId="16">#REF!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5">#REF!</definedName>
    <definedName name="XPRINT4" localSheetId="16">#REF!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2" i="33" l="1"/>
  <c r="E142" i="33"/>
  <c r="D142" i="33"/>
  <c r="C142" i="33"/>
  <c r="B142" i="33"/>
  <c r="J141" i="33"/>
  <c r="I141" i="33"/>
  <c r="H141" i="33"/>
  <c r="G141" i="33"/>
  <c r="J140" i="33"/>
  <c r="I140" i="33"/>
  <c r="G140" i="33"/>
  <c r="H140" i="33" s="1"/>
  <c r="I139" i="33"/>
  <c r="G139" i="33"/>
  <c r="I138" i="33"/>
  <c r="G138" i="33"/>
  <c r="H138" i="33" s="1"/>
  <c r="I137" i="33"/>
  <c r="G137" i="33"/>
  <c r="I136" i="33"/>
  <c r="J136" i="33" s="1"/>
  <c r="G136" i="33"/>
  <c r="H136" i="33" s="1"/>
  <c r="I135" i="33"/>
  <c r="J135" i="33" s="1"/>
  <c r="G135" i="33"/>
  <c r="H135" i="33" s="1"/>
  <c r="I134" i="33"/>
  <c r="G134" i="33"/>
  <c r="H134" i="33" s="1"/>
  <c r="I133" i="33"/>
  <c r="G133" i="33"/>
  <c r="I132" i="33"/>
  <c r="G132" i="33"/>
  <c r="H132" i="33" s="1"/>
  <c r="I131" i="33"/>
  <c r="J131" i="33" s="1"/>
  <c r="G131" i="33"/>
  <c r="H131" i="33" s="1"/>
  <c r="I130" i="33"/>
  <c r="G130" i="33"/>
  <c r="H130" i="33" s="1"/>
  <c r="I129" i="33"/>
  <c r="J129" i="33" s="1"/>
  <c r="G129" i="33"/>
  <c r="H129" i="33" s="1"/>
  <c r="I128" i="33"/>
  <c r="G128" i="33"/>
  <c r="I127" i="33"/>
  <c r="J127" i="33" s="1"/>
  <c r="G127" i="33"/>
  <c r="I126" i="33"/>
  <c r="J126" i="33" s="1"/>
  <c r="G126" i="33"/>
  <c r="H126" i="33" s="1"/>
  <c r="I125" i="33"/>
  <c r="J125" i="33" s="1"/>
  <c r="G125" i="33"/>
  <c r="H125" i="33" s="1"/>
  <c r="I124" i="33"/>
  <c r="J124" i="33" s="1"/>
  <c r="G124" i="33"/>
  <c r="H124" i="33" s="1"/>
  <c r="I123" i="33"/>
  <c r="J123" i="33" s="1"/>
  <c r="G123" i="33"/>
  <c r="H123" i="33" s="1"/>
  <c r="I122" i="33"/>
  <c r="G122" i="33"/>
  <c r="I121" i="33"/>
  <c r="J121" i="33" s="1"/>
  <c r="G121" i="33"/>
  <c r="H121" i="33" s="1"/>
  <c r="I120" i="33"/>
  <c r="J120" i="33" s="1"/>
  <c r="G120" i="33"/>
  <c r="H120" i="33" s="1"/>
  <c r="I119" i="33"/>
  <c r="G119" i="33"/>
  <c r="I118" i="33"/>
  <c r="J118" i="33" s="1"/>
  <c r="G118" i="33"/>
  <c r="H118" i="33" s="1"/>
  <c r="I117" i="33"/>
  <c r="J117" i="33" s="1"/>
  <c r="G117" i="33"/>
  <c r="H117" i="33" s="1"/>
  <c r="I116" i="33"/>
  <c r="J116" i="33" s="1"/>
  <c r="G116" i="33"/>
  <c r="H116" i="33" s="1"/>
  <c r="I115" i="33"/>
  <c r="J115" i="33" s="1"/>
  <c r="G115" i="33"/>
  <c r="H115" i="33" s="1"/>
  <c r="I114" i="33"/>
  <c r="G114" i="33"/>
  <c r="I113" i="33"/>
  <c r="J113" i="33" s="1"/>
  <c r="G113" i="33"/>
  <c r="H113" i="33" s="1"/>
  <c r="I112" i="33"/>
  <c r="J112" i="33" s="1"/>
  <c r="G112" i="33"/>
  <c r="H112" i="33" s="1"/>
  <c r="I111" i="33"/>
  <c r="J111" i="33" s="1"/>
  <c r="G111" i="33"/>
  <c r="H111" i="33" s="1"/>
  <c r="I110" i="33"/>
  <c r="J110" i="33" s="1"/>
  <c r="G110" i="33"/>
  <c r="H110" i="33" s="1"/>
  <c r="I109" i="33"/>
  <c r="G109" i="33"/>
  <c r="H109" i="33" s="1"/>
  <c r="I108" i="33"/>
  <c r="G108" i="33"/>
  <c r="H108" i="33" s="1"/>
  <c r="I107" i="33"/>
  <c r="G107" i="33"/>
  <c r="H107" i="33" s="1"/>
  <c r="I106" i="33"/>
  <c r="G106" i="33"/>
  <c r="H106" i="33" s="1"/>
  <c r="I105" i="33"/>
  <c r="J105" i="33" s="1"/>
  <c r="G105" i="33"/>
  <c r="H105" i="33" s="1"/>
  <c r="I104" i="33"/>
  <c r="J104" i="33" s="1"/>
  <c r="G104" i="33"/>
  <c r="H104" i="33" s="1"/>
  <c r="I103" i="33"/>
  <c r="J103" i="33" s="1"/>
  <c r="G103" i="33"/>
  <c r="H103" i="33" s="1"/>
  <c r="I102" i="33"/>
  <c r="G102" i="33"/>
  <c r="H102" i="33" s="1"/>
  <c r="I101" i="33"/>
  <c r="G101" i="33"/>
  <c r="H101" i="33" s="1"/>
  <c r="I100" i="33"/>
  <c r="J100" i="33" s="1"/>
  <c r="G100" i="33"/>
  <c r="I99" i="33"/>
  <c r="G99" i="33"/>
  <c r="I98" i="33"/>
  <c r="J98" i="33" s="1"/>
  <c r="G98" i="33"/>
  <c r="H98" i="33" s="1"/>
  <c r="I97" i="33"/>
  <c r="G97" i="33"/>
  <c r="H97" i="33" s="1"/>
  <c r="I96" i="33"/>
  <c r="G96" i="33"/>
  <c r="H96" i="33" s="1"/>
  <c r="I95" i="33"/>
  <c r="G95" i="33"/>
  <c r="H95" i="33" s="1"/>
  <c r="I94" i="33"/>
  <c r="G94" i="33"/>
  <c r="H94" i="33" s="1"/>
  <c r="I93" i="33"/>
  <c r="G93" i="33"/>
  <c r="H93" i="33" s="1"/>
  <c r="I92" i="33"/>
  <c r="G92" i="33"/>
  <c r="H92" i="33" s="1"/>
  <c r="I91" i="33"/>
  <c r="G91" i="33"/>
  <c r="I90" i="33"/>
  <c r="G90" i="33"/>
  <c r="I89" i="33"/>
  <c r="J89" i="33" s="1"/>
  <c r="G89" i="33"/>
  <c r="H89" i="33" s="1"/>
  <c r="I88" i="33"/>
  <c r="J88" i="33" s="1"/>
  <c r="G88" i="33"/>
  <c r="H88" i="33" s="1"/>
  <c r="I87" i="33"/>
  <c r="G87" i="33"/>
  <c r="H87" i="33" s="1"/>
  <c r="I86" i="33"/>
  <c r="J86" i="33" s="1"/>
  <c r="G86" i="33"/>
  <c r="H86" i="33" s="1"/>
  <c r="I85" i="33"/>
  <c r="J85" i="33" s="1"/>
  <c r="G85" i="33"/>
  <c r="H85" i="33" s="1"/>
  <c r="I84" i="33"/>
  <c r="H84" i="33"/>
  <c r="G84" i="33"/>
  <c r="I83" i="33"/>
  <c r="G83" i="33"/>
  <c r="I82" i="33"/>
  <c r="G82" i="33"/>
  <c r="H82" i="33" s="1"/>
  <c r="I81" i="33"/>
  <c r="G81" i="33"/>
  <c r="H81" i="33" s="1"/>
  <c r="I80" i="33"/>
  <c r="G80" i="33"/>
  <c r="H80" i="33" s="1"/>
  <c r="I79" i="33"/>
  <c r="G79" i="33"/>
  <c r="H79" i="33" s="1"/>
  <c r="I78" i="33"/>
  <c r="J78" i="33" s="1"/>
  <c r="G78" i="33"/>
  <c r="H78" i="33" s="1"/>
  <c r="I77" i="33"/>
  <c r="J77" i="33" s="1"/>
  <c r="G77" i="33"/>
  <c r="H77" i="33" s="1"/>
  <c r="I76" i="33"/>
  <c r="G76" i="33"/>
  <c r="H76" i="33" s="1"/>
  <c r="I75" i="33"/>
  <c r="G75" i="33"/>
  <c r="H75" i="33" s="1"/>
  <c r="I74" i="33"/>
  <c r="G74" i="33"/>
  <c r="H74" i="33" s="1"/>
  <c r="I73" i="33"/>
  <c r="J73" i="33" s="1"/>
  <c r="G73" i="33"/>
  <c r="H73" i="33" s="1"/>
  <c r="I72" i="33"/>
  <c r="G72" i="33"/>
  <c r="I71" i="33"/>
  <c r="J71" i="33" s="1"/>
  <c r="G71" i="33"/>
  <c r="H71" i="33" s="1"/>
  <c r="I70" i="33"/>
  <c r="G70" i="33"/>
  <c r="H70" i="33" s="1"/>
  <c r="I69" i="33"/>
  <c r="G69" i="33"/>
  <c r="H69" i="33" s="1"/>
  <c r="I68" i="33"/>
  <c r="G68" i="33"/>
  <c r="H68" i="33" s="1"/>
  <c r="I67" i="33"/>
  <c r="G67" i="33"/>
  <c r="H67" i="33" s="1"/>
  <c r="I66" i="33"/>
  <c r="G66" i="33"/>
  <c r="H66" i="33" s="1"/>
  <c r="I65" i="33"/>
  <c r="J65" i="33" s="1"/>
  <c r="G65" i="33"/>
  <c r="H65" i="33" s="1"/>
  <c r="I64" i="33"/>
  <c r="G64" i="33"/>
  <c r="H64" i="33" s="1"/>
  <c r="I63" i="33"/>
  <c r="G63" i="33"/>
  <c r="H63" i="33" s="1"/>
  <c r="I62" i="33"/>
  <c r="G62" i="33"/>
  <c r="I61" i="33"/>
  <c r="G61" i="33"/>
  <c r="H61" i="33" s="1"/>
  <c r="I60" i="33"/>
  <c r="H60" i="33"/>
  <c r="G60" i="33"/>
  <c r="I59" i="33"/>
  <c r="G59" i="33"/>
  <c r="J58" i="33"/>
  <c r="I58" i="33"/>
  <c r="H58" i="33"/>
  <c r="G58" i="33"/>
  <c r="J57" i="33"/>
  <c r="I57" i="33"/>
  <c r="G57" i="33"/>
  <c r="H57" i="33" s="1"/>
  <c r="I56" i="33"/>
  <c r="G56" i="33"/>
  <c r="H56" i="33" s="1"/>
  <c r="I55" i="33"/>
  <c r="G55" i="33"/>
  <c r="H55" i="33" s="1"/>
  <c r="I54" i="33"/>
  <c r="G54" i="33"/>
  <c r="I53" i="33"/>
  <c r="G53" i="33"/>
  <c r="H53" i="33" s="1"/>
  <c r="I52" i="33"/>
  <c r="G52" i="33"/>
  <c r="I51" i="33"/>
  <c r="G51" i="33"/>
  <c r="I50" i="33"/>
  <c r="G50" i="33"/>
  <c r="H50" i="33" s="1"/>
  <c r="I49" i="33"/>
  <c r="J49" i="33" s="1"/>
  <c r="G49" i="33"/>
  <c r="H49" i="33" s="1"/>
  <c r="I48" i="33"/>
  <c r="G48" i="33"/>
  <c r="H48" i="33" s="1"/>
  <c r="I47" i="33"/>
  <c r="J47" i="33" s="1"/>
  <c r="G47" i="33"/>
  <c r="H47" i="33" s="1"/>
  <c r="I46" i="33"/>
  <c r="J46" i="33" s="1"/>
  <c r="G46" i="33"/>
  <c r="I45" i="33"/>
  <c r="G45" i="33"/>
  <c r="H45" i="33" s="1"/>
  <c r="I44" i="33"/>
  <c r="J44" i="33" s="1"/>
  <c r="G44" i="33"/>
  <c r="H44" i="33" s="1"/>
  <c r="I43" i="33"/>
  <c r="G43" i="33"/>
  <c r="H43" i="33" s="1"/>
  <c r="I42" i="33"/>
  <c r="G42" i="33"/>
  <c r="H42" i="33" s="1"/>
  <c r="I41" i="33"/>
  <c r="J41" i="33" s="1"/>
  <c r="G41" i="33"/>
  <c r="H41" i="33" s="1"/>
  <c r="I40" i="33"/>
  <c r="J40" i="33" s="1"/>
  <c r="G40" i="33"/>
  <c r="H40" i="33" s="1"/>
  <c r="I39" i="33"/>
  <c r="G39" i="33"/>
  <c r="H39" i="33" s="1"/>
  <c r="I38" i="33"/>
  <c r="J38" i="33" s="1"/>
  <c r="G38" i="33"/>
  <c r="H38" i="33" s="1"/>
  <c r="I37" i="33"/>
  <c r="J37" i="33" s="1"/>
  <c r="G37" i="33"/>
  <c r="H37" i="33" s="1"/>
  <c r="I36" i="33"/>
  <c r="J36" i="33" s="1"/>
  <c r="G36" i="33"/>
  <c r="H36" i="33" s="1"/>
  <c r="I35" i="33"/>
  <c r="J35" i="33" s="1"/>
  <c r="G35" i="33"/>
  <c r="H35" i="33" s="1"/>
  <c r="I34" i="33"/>
  <c r="J34" i="33" s="1"/>
  <c r="G34" i="33"/>
  <c r="H34" i="33" s="1"/>
  <c r="I33" i="33"/>
  <c r="G33" i="33"/>
  <c r="H33" i="33" s="1"/>
  <c r="I32" i="33"/>
  <c r="J32" i="33" s="1"/>
  <c r="G32" i="33"/>
  <c r="H32" i="33" s="1"/>
  <c r="I31" i="33"/>
  <c r="J31" i="33" s="1"/>
  <c r="G31" i="33"/>
  <c r="H31" i="33" s="1"/>
  <c r="I30" i="33"/>
  <c r="J30" i="33" s="1"/>
  <c r="G30" i="33"/>
  <c r="I29" i="33"/>
  <c r="J29" i="33" s="1"/>
  <c r="G29" i="33"/>
  <c r="H29" i="33" s="1"/>
  <c r="I28" i="33"/>
  <c r="J28" i="33" s="1"/>
  <c r="G28" i="33"/>
  <c r="H28" i="33" s="1"/>
  <c r="I27" i="33"/>
  <c r="J27" i="33" s="1"/>
  <c r="G27" i="33"/>
  <c r="H27" i="33" s="1"/>
  <c r="I26" i="33"/>
  <c r="J26" i="33" s="1"/>
  <c r="G26" i="33"/>
  <c r="H26" i="33" s="1"/>
  <c r="I25" i="33"/>
  <c r="J25" i="33" s="1"/>
  <c r="G25" i="33"/>
  <c r="H25" i="33" s="1"/>
  <c r="I24" i="33"/>
  <c r="G24" i="33"/>
  <c r="H24" i="33" s="1"/>
  <c r="I23" i="33"/>
  <c r="G23" i="33"/>
  <c r="H23" i="33" s="1"/>
  <c r="I22" i="33"/>
  <c r="J22" i="33" s="1"/>
  <c r="G22" i="33"/>
  <c r="H22" i="33" s="1"/>
  <c r="I21" i="33"/>
  <c r="G21" i="33"/>
  <c r="H21" i="33" s="1"/>
  <c r="I20" i="33"/>
  <c r="G20" i="33"/>
  <c r="I19" i="33"/>
  <c r="G19" i="33"/>
  <c r="I18" i="33"/>
  <c r="G18" i="33"/>
  <c r="I17" i="33"/>
  <c r="J17" i="33" s="1"/>
  <c r="G17" i="33"/>
  <c r="H17" i="33" s="1"/>
  <c r="I16" i="33"/>
  <c r="G16" i="33"/>
  <c r="I15" i="33"/>
  <c r="G15" i="33"/>
  <c r="H15" i="33" s="1"/>
  <c r="I14" i="33"/>
  <c r="G14" i="33"/>
  <c r="H14" i="33" s="1"/>
  <c r="I13" i="33"/>
  <c r="G13" i="33"/>
  <c r="H13" i="33" s="1"/>
  <c r="I12" i="33"/>
  <c r="G12" i="33"/>
  <c r="H12" i="33" s="1"/>
  <c r="I11" i="33"/>
  <c r="H11" i="33"/>
  <c r="G11" i="33"/>
  <c r="J10" i="33"/>
  <c r="I10" i="33"/>
  <c r="H10" i="33"/>
  <c r="G10" i="33"/>
  <c r="I9" i="33"/>
  <c r="G9" i="33"/>
  <c r="H9" i="33" s="1"/>
  <c r="I8" i="33"/>
  <c r="G8" i="33"/>
  <c r="I142" i="33" l="1"/>
  <c r="J142" i="33"/>
  <c r="G142" i="33"/>
  <c r="H142" i="33"/>
  <c r="E328" i="51"/>
  <c r="E291" i="51"/>
  <c r="F159" i="50"/>
  <c r="D29" i="88" l="1"/>
  <c r="F17" i="88"/>
  <c r="E17" i="88"/>
  <c r="D17" i="88"/>
  <c r="G88" i="87"/>
  <c r="H88" i="87"/>
  <c r="B183" i="85" l="1"/>
  <c r="C182" i="85"/>
  <c r="C181" i="85"/>
  <c r="C180" i="85"/>
  <c r="C179" i="85"/>
  <c r="C178" i="85"/>
  <c r="C177" i="85"/>
  <c r="D176" i="85"/>
  <c r="C176" i="85"/>
  <c r="C175" i="85"/>
  <c r="D174" i="85"/>
  <c r="C174" i="85"/>
  <c r="C173" i="85"/>
  <c r="C172" i="85"/>
  <c r="D170" i="85"/>
  <c r="C170" i="85"/>
  <c r="C169" i="85"/>
  <c r="C168" i="85"/>
  <c r="C167" i="85"/>
  <c r="C166" i="85"/>
  <c r="C165" i="85"/>
  <c r="C164" i="85"/>
  <c r="C163" i="85"/>
  <c r="C162" i="85"/>
  <c r="D161" i="85"/>
  <c r="C161" i="85"/>
  <c r="C160" i="85"/>
  <c r="C159" i="85"/>
  <c r="C158" i="85"/>
  <c r="C157" i="85"/>
  <c r="C156" i="85"/>
  <c r="C155" i="85"/>
  <c r="D154" i="85"/>
  <c r="C154" i="85"/>
  <c r="C153" i="85"/>
  <c r="C152" i="85"/>
  <c r="C151" i="85"/>
  <c r="C150" i="85"/>
  <c r="C149" i="85"/>
  <c r="C148" i="85"/>
  <c r="C147" i="85"/>
  <c r="C146" i="85"/>
  <c r="C145" i="85"/>
  <c r="C144" i="85"/>
  <c r="C143" i="85"/>
  <c r="C142" i="85"/>
  <c r="C141" i="85"/>
  <c r="C140" i="85"/>
  <c r="C103" i="85"/>
  <c r="B103" i="85"/>
  <c r="D102" i="85"/>
  <c r="D182" i="85" s="1"/>
  <c r="D101" i="85"/>
  <c r="D181" i="85" s="1"/>
  <c r="D100" i="85"/>
  <c r="D180" i="85" s="1"/>
  <c r="D99" i="85"/>
  <c r="D179" i="85" s="1"/>
  <c r="D98" i="85"/>
  <c r="D178" i="85" s="1"/>
  <c r="D97" i="85"/>
  <c r="D177" i="85" s="1"/>
  <c r="D95" i="85"/>
  <c r="D175" i="85" s="1"/>
  <c r="D94" i="85"/>
  <c r="D93" i="85"/>
  <c r="D173" i="85" s="1"/>
  <c r="D90" i="85"/>
  <c r="D172" i="85" s="1"/>
  <c r="D88" i="85"/>
  <c r="D169" i="85" s="1"/>
  <c r="D87" i="85"/>
  <c r="D168" i="85" s="1"/>
  <c r="D86" i="85"/>
  <c r="D167" i="85" s="1"/>
  <c r="D85" i="85"/>
  <c r="D166" i="85" s="1"/>
  <c r="D84" i="85"/>
  <c r="D165" i="85" s="1"/>
  <c r="D83" i="85"/>
  <c r="D164" i="85" s="1"/>
  <c r="D82" i="85"/>
  <c r="D163" i="85" s="1"/>
  <c r="D81" i="85"/>
  <c r="D162" i="85" s="1"/>
  <c r="D80" i="85"/>
  <c r="D79" i="85"/>
  <c r="D160" i="85" s="1"/>
  <c r="D78" i="85"/>
  <c r="D159" i="85" s="1"/>
  <c r="D77" i="85"/>
  <c r="D158" i="85" s="1"/>
  <c r="D76" i="85"/>
  <c r="D157" i="85" s="1"/>
  <c r="D75" i="85"/>
  <c r="D156" i="85" s="1"/>
  <c r="D74" i="85"/>
  <c r="D155" i="85" s="1"/>
  <c r="D72" i="85"/>
  <c r="D153" i="85" s="1"/>
  <c r="D71" i="85"/>
  <c r="D152" i="85" s="1"/>
  <c r="D70" i="85"/>
  <c r="D151" i="85" s="1"/>
  <c r="D69" i="85"/>
  <c r="D150" i="85" s="1"/>
  <c r="D68" i="85"/>
  <c r="D149" i="85" s="1"/>
  <c r="D67" i="85"/>
  <c r="D148" i="85" s="1"/>
  <c r="D66" i="85"/>
  <c r="D147" i="85" s="1"/>
  <c r="D65" i="85"/>
  <c r="D146" i="85" s="1"/>
  <c r="D64" i="85"/>
  <c r="D145" i="85" s="1"/>
  <c r="D63" i="85"/>
  <c r="D144" i="85" s="1"/>
  <c r="D62" i="85"/>
  <c r="D143" i="85" s="1"/>
  <c r="D61" i="85"/>
  <c r="D142" i="85" s="1"/>
  <c r="D60" i="85"/>
  <c r="D141" i="85" s="1"/>
  <c r="D59" i="85"/>
  <c r="D140" i="85" s="1"/>
  <c r="D44" i="85"/>
  <c r="C44" i="85"/>
  <c r="B44" i="85"/>
  <c r="O31" i="84"/>
  <c r="M31" i="84"/>
  <c r="L31" i="84"/>
  <c r="K31" i="84"/>
  <c r="J31" i="84"/>
  <c r="H31" i="84"/>
  <c r="G31" i="84"/>
  <c r="F31" i="84"/>
  <c r="E31" i="84"/>
  <c r="D31" i="84"/>
  <c r="I30" i="84"/>
  <c r="Q30" i="84" s="1"/>
  <c r="I29" i="84"/>
  <c r="Q29" i="84" s="1"/>
  <c r="I28" i="84"/>
  <c r="Q28" i="84" s="1"/>
  <c r="I27" i="84"/>
  <c r="Q27" i="84" s="1"/>
  <c r="I26" i="84"/>
  <c r="Q26" i="84" s="1"/>
  <c r="I25" i="84"/>
  <c r="Q25" i="84" s="1"/>
  <c r="I24" i="84"/>
  <c r="Q24" i="84" s="1"/>
  <c r="N23" i="84"/>
  <c r="I23" i="84"/>
  <c r="N22" i="84"/>
  <c r="I22" i="84"/>
  <c r="Q22" i="84" s="1"/>
  <c r="N21" i="84"/>
  <c r="I21" i="84"/>
  <c r="Q21" i="84" s="1"/>
  <c r="N20" i="84"/>
  <c r="Q20" i="84" s="1"/>
  <c r="I20" i="84"/>
  <c r="N19" i="84"/>
  <c r="I19" i="84"/>
  <c r="Q19" i="84" s="1"/>
  <c r="N18" i="84"/>
  <c r="I18" i="84"/>
  <c r="Q18" i="84" s="1"/>
  <c r="N17" i="84"/>
  <c r="I17" i="84"/>
  <c r="N16" i="84"/>
  <c r="I16" i="84"/>
  <c r="N15" i="84"/>
  <c r="I15" i="84"/>
  <c r="Q15" i="84" s="1"/>
  <c r="N14" i="84"/>
  <c r="I14" i="84"/>
  <c r="N13" i="84"/>
  <c r="I13" i="84"/>
  <c r="Q13" i="84" s="1"/>
  <c r="N12" i="84"/>
  <c r="I12" i="84"/>
  <c r="Q12" i="84" s="1"/>
  <c r="N11" i="84"/>
  <c r="I11" i="84"/>
  <c r="N10" i="84"/>
  <c r="I10" i="84"/>
  <c r="Q10" i="84" s="1"/>
  <c r="N9" i="84"/>
  <c r="I9" i="84"/>
  <c r="Q9" i="84" s="1"/>
  <c r="N8" i="84"/>
  <c r="Q8" i="84" s="1"/>
  <c r="N7" i="84"/>
  <c r="Q7" i="84" s="1"/>
  <c r="I6" i="84"/>
  <c r="Q6" i="84" s="1"/>
  <c r="P5" i="84"/>
  <c r="P31" i="84" s="1"/>
  <c r="N5" i="84"/>
  <c r="N31" i="84" s="1"/>
  <c r="I5" i="84"/>
  <c r="K14" i="64"/>
  <c r="P1327" i="53"/>
  <c r="M1061" i="53"/>
  <c r="M1048" i="53"/>
  <c r="P900" i="53"/>
  <c r="P899" i="53"/>
  <c r="P898" i="53"/>
  <c r="P897" i="53"/>
  <c r="P896" i="53"/>
  <c r="P895" i="53"/>
  <c r="P894" i="53"/>
  <c r="P893" i="53"/>
  <c r="P892" i="53"/>
  <c r="P891" i="53"/>
  <c r="P890" i="53"/>
  <c r="P889" i="53"/>
  <c r="P888" i="53"/>
  <c r="P887" i="53"/>
  <c r="P886" i="53"/>
  <c r="P885" i="53"/>
  <c r="P884" i="53"/>
  <c r="P883" i="53"/>
  <c r="P882" i="53"/>
  <c r="P881" i="53"/>
  <c r="P880" i="53"/>
  <c r="P879" i="53"/>
  <c r="P878" i="53"/>
  <c r="P877" i="53"/>
  <c r="P876" i="53"/>
  <c r="P875" i="53"/>
  <c r="P874" i="53"/>
  <c r="P873" i="53"/>
  <c r="P872" i="53"/>
  <c r="P871" i="53"/>
  <c r="P870" i="53"/>
  <c r="P869" i="53"/>
  <c r="P868" i="53"/>
  <c r="P867" i="53"/>
  <c r="P866" i="53"/>
  <c r="P865" i="53"/>
  <c r="P864" i="53"/>
  <c r="P863" i="53"/>
  <c r="P862" i="53"/>
  <c r="P861" i="53"/>
  <c r="P860" i="53"/>
  <c r="P859" i="53"/>
  <c r="P858" i="53"/>
  <c r="P857" i="53"/>
  <c r="P856" i="53"/>
  <c r="P855" i="53"/>
  <c r="P854" i="53"/>
  <c r="P853" i="53"/>
  <c r="P852" i="53"/>
  <c r="P851" i="53"/>
  <c r="P850" i="53"/>
  <c r="P849" i="53"/>
  <c r="P848" i="53"/>
  <c r="P847" i="53"/>
  <c r="P846" i="53"/>
  <c r="P845" i="53"/>
  <c r="P844" i="53"/>
  <c r="P843" i="53"/>
  <c r="P842" i="53"/>
  <c r="P841" i="53"/>
  <c r="P840" i="53"/>
  <c r="P839" i="53"/>
  <c r="P838" i="53"/>
  <c r="P837" i="53"/>
  <c r="P836" i="53"/>
  <c r="P835" i="53"/>
  <c r="P834" i="53"/>
  <c r="P833" i="53"/>
  <c r="P832" i="53"/>
  <c r="P831" i="53"/>
  <c r="P830" i="53"/>
  <c r="P829" i="53"/>
  <c r="P828" i="53"/>
  <c r="P827" i="53"/>
  <c r="P826" i="53"/>
  <c r="P825" i="53"/>
  <c r="P824" i="53"/>
  <c r="P823" i="53"/>
  <c r="P822" i="53"/>
  <c r="P821" i="53"/>
  <c r="P820" i="53"/>
  <c r="P819" i="53"/>
  <c r="P818" i="53"/>
  <c r="P817" i="53"/>
  <c r="P816" i="53"/>
  <c r="P815" i="53"/>
  <c r="P814" i="53"/>
  <c r="P813" i="53"/>
  <c r="P812" i="53"/>
  <c r="P811" i="53"/>
  <c r="P810" i="53"/>
  <c r="P809" i="53"/>
  <c r="P808" i="53"/>
  <c r="P807" i="53"/>
  <c r="P806" i="53"/>
  <c r="P805" i="53"/>
  <c r="P804" i="53"/>
  <c r="P803" i="53"/>
  <c r="P802" i="53"/>
  <c r="P801" i="53"/>
  <c r="P800" i="53"/>
  <c r="P799" i="53"/>
  <c r="P798" i="53"/>
  <c r="P797" i="53"/>
  <c r="P796" i="53"/>
  <c r="P795" i="53"/>
  <c r="P794" i="53"/>
  <c r="P793" i="53"/>
  <c r="P792" i="53"/>
  <c r="P791" i="53"/>
  <c r="P790" i="53"/>
  <c r="P789" i="53"/>
  <c r="P788" i="53"/>
  <c r="P787" i="53"/>
  <c r="P786" i="53"/>
  <c r="P785" i="53"/>
  <c r="P784" i="53"/>
  <c r="P783" i="53"/>
  <c r="P782" i="53"/>
  <c r="P781" i="53"/>
  <c r="P780" i="53"/>
  <c r="P779" i="53"/>
  <c r="P778" i="53"/>
  <c r="P777" i="53"/>
  <c r="P776" i="53"/>
  <c r="P775" i="53"/>
  <c r="P774" i="53"/>
  <c r="P773" i="53"/>
  <c r="P772" i="53"/>
  <c r="P771" i="53"/>
  <c r="P770" i="53"/>
  <c r="P769" i="53"/>
  <c r="P768" i="53"/>
  <c r="P767" i="53"/>
  <c r="P766" i="53"/>
  <c r="P765" i="53"/>
  <c r="P764" i="53"/>
  <c r="P763" i="53"/>
  <c r="P762" i="53"/>
  <c r="P761" i="53"/>
  <c r="P760" i="53"/>
  <c r="P759" i="53"/>
  <c r="P758" i="53"/>
  <c r="P757" i="53"/>
  <c r="P756" i="53"/>
  <c r="P755" i="53"/>
  <c r="P754" i="53"/>
  <c r="P753" i="53"/>
  <c r="P752" i="53"/>
  <c r="P751" i="53"/>
  <c r="P750" i="53"/>
  <c r="P749" i="53"/>
  <c r="P748" i="53"/>
  <c r="P747" i="53"/>
  <c r="P746" i="53"/>
  <c r="P745" i="53"/>
  <c r="P744" i="53"/>
  <c r="P743" i="53"/>
  <c r="P742" i="53"/>
  <c r="P741" i="53"/>
  <c r="P740" i="53"/>
  <c r="P739" i="53"/>
  <c r="P738" i="53"/>
  <c r="P737" i="53"/>
  <c r="P736" i="53"/>
  <c r="P735" i="53"/>
  <c r="P734" i="53"/>
  <c r="P733" i="53"/>
  <c r="P732" i="53"/>
  <c r="P731" i="53"/>
  <c r="P730" i="53"/>
  <c r="P729" i="53"/>
  <c r="P728" i="53"/>
  <c r="P727" i="53"/>
  <c r="P726" i="53"/>
  <c r="P725" i="53"/>
  <c r="P724" i="53"/>
  <c r="P723" i="53"/>
  <c r="P722" i="53"/>
  <c r="P721" i="53"/>
  <c r="P720" i="53"/>
  <c r="P719" i="53"/>
  <c r="P718" i="53"/>
  <c r="P717" i="53"/>
  <c r="P716" i="53"/>
  <c r="P715" i="53"/>
  <c r="P714" i="53"/>
  <c r="P713" i="53"/>
  <c r="P712" i="53"/>
  <c r="P711" i="53"/>
  <c r="P710" i="53"/>
  <c r="P709" i="53"/>
  <c r="P708" i="53"/>
  <c r="P707" i="53"/>
  <c r="P706" i="53"/>
  <c r="P705" i="53"/>
  <c r="P704" i="53"/>
  <c r="P703" i="53"/>
  <c r="P702" i="53"/>
  <c r="P701" i="53"/>
  <c r="P700" i="53"/>
  <c r="P699" i="53"/>
  <c r="P698" i="53"/>
  <c r="P697" i="53"/>
  <c r="P696" i="53"/>
  <c r="P695" i="53"/>
  <c r="P694" i="53"/>
  <c r="P693" i="53"/>
  <c r="P692" i="53"/>
  <c r="P691" i="53"/>
  <c r="P690" i="53"/>
  <c r="P689" i="53"/>
  <c r="P688" i="53"/>
  <c r="P687" i="53"/>
  <c r="P686" i="53"/>
  <c r="P685" i="53"/>
  <c r="P684" i="53"/>
  <c r="P683" i="53"/>
  <c r="M683" i="53"/>
  <c r="P682" i="53"/>
  <c r="M682" i="53"/>
  <c r="P681" i="53"/>
  <c r="M681" i="53"/>
  <c r="P680" i="53"/>
  <c r="P679" i="53"/>
  <c r="P678" i="53"/>
  <c r="P677" i="53"/>
  <c r="P676" i="53"/>
  <c r="P675" i="53"/>
  <c r="M675" i="53"/>
  <c r="P674" i="53"/>
  <c r="M674" i="53"/>
  <c r="P673" i="53"/>
  <c r="P672" i="53"/>
  <c r="M672" i="53"/>
  <c r="P671" i="53"/>
  <c r="M671" i="53"/>
  <c r="P670" i="53"/>
  <c r="P669" i="53"/>
  <c r="M669" i="53"/>
  <c r="P668" i="53"/>
  <c r="M668" i="53"/>
  <c r="P667" i="53"/>
  <c r="M667" i="53"/>
  <c r="P666" i="53"/>
  <c r="M666" i="53"/>
  <c r="P665" i="53"/>
  <c r="M665" i="53"/>
  <c r="P664" i="53"/>
  <c r="P663" i="53"/>
  <c r="P662" i="53"/>
  <c r="M662" i="53"/>
  <c r="P661" i="53"/>
  <c r="M661" i="53"/>
  <c r="P660" i="53"/>
  <c r="P659" i="53"/>
  <c r="M659" i="53"/>
  <c r="P658" i="53"/>
  <c r="M658" i="53"/>
  <c r="P657" i="53"/>
  <c r="P656" i="53"/>
  <c r="P655" i="53"/>
  <c r="M655" i="53"/>
  <c r="P654" i="53"/>
  <c r="P653" i="53"/>
  <c r="P652" i="53"/>
  <c r="M652" i="53"/>
  <c r="P651" i="53"/>
  <c r="M651" i="53"/>
  <c r="P650" i="53"/>
  <c r="M650" i="53"/>
  <c r="P649" i="53"/>
  <c r="P648" i="53"/>
  <c r="M648" i="53"/>
  <c r="P647" i="53"/>
  <c r="M647" i="53"/>
  <c r="P646" i="53"/>
  <c r="M646" i="53"/>
  <c r="P645" i="53"/>
  <c r="M645" i="53"/>
  <c r="P644" i="53"/>
  <c r="M644" i="53"/>
  <c r="P643" i="53"/>
  <c r="M643" i="53"/>
  <c r="P642" i="53"/>
  <c r="M642" i="53"/>
  <c r="P641" i="53"/>
  <c r="M641" i="53"/>
  <c r="P640" i="53"/>
  <c r="M640" i="53"/>
  <c r="P639" i="53"/>
  <c r="M639" i="53"/>
  <c r="P638" i="53"/>
  <c r="M638" i="53"/>
  <c r="P637" i="53"/>
  <c r="M637" i="53"/>
  <c r="P636" i="53"/>
  <c r="M636" i="53"/>
  <c r="P635" i="53"/>
  <c r="M635" i="53"/>
  <c r="P634" i="53"/>
  <c r="M634" i="53"/>
  <c r="P633" i="53"/>
  <c r="M633" i="53"/>
  <c r="P632" i="53"/>
  <c r="M632" i="53"/>
  <c r="P631" i="53"/>
  <c r="M631" i="53"/>
  <c r="P630" i="53"/>
  <c r="P629" i="53"/>
  <c r="P628" i="53"/>
  <c r="M628" i="53"/>
  <c r="P627" i="53"/>
  <c r="M627" i="53"/>
  <c r="P626" i="53"/>
  <c r="M626" i="53"/>
  <c r="P625" i="53"/>
  <c r="P624" i="53"/>
  <c r="P623" i="53"/>
  <c r="M623" i="53"/>
  <c r="P622" i="53"/>
  <c r="M622" i="53"/>
  <c r="P621" i="53"/>
  <c r="M621" i="53"/>
  <c r="P620" i="53"/>
  <c r="M620" i="53"/>
  <c r="P619" i="53"/>
  <c r="M619" i="53"/>
  <c r="P618" i="53"/>
  <c r="M618" i="53"/>
  <c r="P617" i="53"/>
  <c r="M617" i="53"/>
  <c r="P616" i="53"/>
  <c r="M616" i="53"/>
  <c r="P615" i="53"/>
  <c r="M615" i="53"/>
  <c r="P614" i="53"/>
  <c r="M614" i="53"/>
  <c r="P613" i="53"/>
  <c r="P612" i="53"/>
  <c r="M612" i="53"/>
  <c r="P611" i="53"/>
  <c r="M611" i="53"/>
  <c r="P610" i="53"/>
  <c r="M610" i="53"/>
  <c r="P609" i="53"/>
  <c r="M609" i="53"/>
  <c r="P608" i="53"/>
  <c r="M608" i="53"/>
  <c r="P607" i="53"/>
  <c r="M607" i="53"/>
  <c r="P606" i="53"/>
  <c r="M606" i="53"/>
  <c r="P605" i="53"/>
  <c r="M605" i="53"/>
  <c r="P604" i="53"/>
  <c r="M604" i="53"/>
  <c r="P603" i="53"/>
  <c r="M603" i="53"/>
  <c r="P602" i="53"/>
  <c r="M602" i="53"/>
  <c r="P601" i="53"/>
  <c r="M601" i="53"/>
  <c r="M600" i="53"/>
  <c r="P599" i="53"/>
  <c r="M599" i="53"/>
  <c r="P598" i="53"/>
  <c r="M598" i="53"/>
  <c r="P597" i="53"/>
  <c r="M597" i="53"/>
  <c r="M596" i="53"/>
  <c r="P595" i="53"/>
  <c r="M595" i="53"/>
  <c r="P594" i="53"/>
  <c r="M594" i="53"/>
  <c r="M593" i="53"/>
  <c r="P592" i="53"/>
  <c r="M592" i="53"/>
  <c r="P591" i="53"/>
  <c r="M591" i="53"/>
  <c r="P590" i="53"/>
  <c r="M590" i="53"/>
  <c r="P589" i="53"/>
  <c r="M589" i="53"/>
  <c r="P588" i="53"/>
  <c r="M588" i="53"/>
  <c r="P587" i="53"/>
  <c r="M587" i="53"/>
  <c r="M586" i="53"/>
  <c r="P585" i="53"/>
  <c r="M585" i="53"/>
  <c r="P584" i="53"/>
  <c r="M584" i="53"/>
  <c r="P583" i="53"/>
  <c r="M583" i="53"/>
  <c r="P582" i="53"/>
  <c r="M582" i="53"/>
  <c r="M581" i="53"/>
  <c r="P580" i="53"/>
  <c r="M580" i="53"/>
  <c r="P579" i="53"/>
  <c r="M579" i="53"/>
  <c r="P578" i="53"/>
  <c r="M578" i="53"/>
  <c r="P577" i="53"/>
  <c r="M577" i="53"/>
  <c r="P576" i="53"/>
  <c r="M576" i="53"/>
  <c r="P575" i="53"/>
  <c r="M575" i="53"/>
  <c r="P574" i="53"/>
  <c r="M574" i="53"/>
  <c r="P573" i="53"/>
  <c r="M573" i="53"/>
  <c r="P572" i="53"/>
  <c r="M572" i="53"/>
  <c r="P571" i="53"/>
  <c r="M571" i="53"/>
  <c r="P570" i="53"/>
  <c r="M570" i="53"/>
  <c r="P569" i="53"/>
  <c r="M569" i="53"/>
  <c r="P568" i="53"/>
  <c r="M568" i="53"/>
  <c r="P567" i="53"/>
  <c r="M567" i="53"/>
  <c r="P566" i="53"/>
  <c r="M566" i="53"/>
  <c r="P565" i="53"/>
  <c r="P564" i="53"/>
  <c r="M564" i="53"/>
  <c r="P563" i="53"/>
  <c r="M563" i="53"/>
  <c r="P562" i="53"/>
  <c r="M562" i="53"/>
  <c r="P561" i="53"/>
  <c r="M561" i="53"/>
  <c r="P560" i="53"/>
  <c r="M560" i="53"/>
  <c r="P559" i="53"/>
  <c r="M559" i="53"/>
  <c r="P558" i="53"/>
  <c r="M558" i="53"/>
  <c r="P557" i="53"/>
  <c r="M557" i="53"/>
  <c r="P556" i="53"/>
  <c r="M556" i="53"/>
  <c r="P555" i="53"/>
  <c r="M555" i="53"/>
  <c r="P554" i="53"/>
  <c r="M554" i="53"/>
  <c r="P553" i="53"/>
  <c r="M553" i="53"/>
  <c r="P552" i="53"/>
  <c r="M552" i="53"/>
  <c r="P551" i="53"/>
  <c r="M551" i="53"/>
  <c r="P550" i="53"/>
  <c r="M550" i="53"/>
  <c r="P549" i="53"/>
  <c r="M549" i="53"/>
  <c r="P548" i="53"/>
  <c r="M548" i="53"/>
  <c r="P547" i="53"/>
  <c r="M547" i="53"/>
  <c r="P546" i="53"/>
  <c r="M546" i="53"/>
  <c r="P545" i="53"/>
  <c r="M545" i="53"/>
  <c r="P544" i="53"/>
  <c r="M544" i="53"/>
  <c r="P543" i="53"/>
  <c r="M543" i="53"/>
  <c r="P542" i="53"/>
  <c r="M542" i="53"/>
  <c r="P541" i="53"/>
  <c r="M541" i="53"/>
  <c r="P540" i="53"/>
  <c r="M540" i="53"/>
  <c r="P539" i="53"/>
  <c r="M539" i="53"/>
  <c r="P538" i="53"/>
  <c r="M538" i="53"/>
  <c r="P537" i="53"/>
  <c r="M537" i="53"/>
  <c r="P536" i="53"/>
  <c r="M536" i="53"/>
  <c r="P535" i="53"/>
  <c r="M535" i="53"/>
  <c r="P534" i="53"/>
  <c r="M534" i="53"/>
  <c r="P533" i="53"/>
  <c r="M533" i="53"/>
  <c r="P532" i="53"/>
  <c r="M532" i="53"/>
  <c r="P531" i="53"/>
  <c r="M531" i="53"/>
  <c r="P530" i="53"/>
  <c r="M530" i="53"/>
  <c r="P529" i="53"/>
  <c r="M529" i="53"/>
  <c r="P528" i="53"/>
  <c r="M528" i="53"/>
  <c r="P527" i="53"/>
  <c r="M527" i="53"/>
  <c r="P526" i="53"/>
  <c r="M526" i="53"/>
  <c r="P525" i="53"/>
  <c r="M525" i="53"/>
  <c r="P524" i="53"/>
  <c r="M524" i="53"/>
  <c r="P523" i="53"/>
  <c r="M523" i="53"/>
  <c r="P522" i="53"/>
  <c r="M522" i="53"/>
  <c r="P521" i="53"/>
  <c r="M521" i="53"/>
  <c r="P520" i="53"/>
  <c r="M520" i="53"/>
  <c r="P519" i="53"/>
  <c r="M519" i="53"/>
  <c r="P518" i="53"/>
  <c r="M518" i="53"/>
  <c r="P517" i="53"/>
  <c r="M517" i="53"/>
  <c r="P516" i="53"/>
  <c r="M516" i="53"/>
  <c r="P515" i="53"/>
  <c r="M515" i="53"/>
  <c r="P514" i="53"/>
  <c r="M514" i="53"/>
  <c r="P513" i="53"/>
  <c r="M513" i="53"/>
  <c r="P512" i="53"/>
  <c r="M512" i="53"/>
  <c r="P511" i="53"/>
  <c r="M511" i="53"/>
  <c r="P510" i="53"/>
  <c r="M510" i="53"/>
  <c r="P509" i="53"/>
  <c r="M509" i="53"/>
  <c r="P508" i="53"/>
  <c r="M508" i="53"/>
  <c r="P507" i="53"/>
  <c r="M507" i="53"/>
  <c r="M506" i="53"/>
  <c r="P506" i="53" s="1"/>
  <c r="M505" i="53"/>
  <c r="P505" i="53" s="1"/>
  <c r="M504" i="53"/>
  <c r="P504" i="53" s="1"/>
  <c r="M503" i="53"/>
  <c r="P503" i="53" s="1"/>
  <c r="M502" i="53"/>
  <c r="P502" i="53" s="1"/>
  <c r="M501" i="53"/>
  <c r="P501" i="53" s="1"/>
  <c r="M500" i="53"/>
  <c r="P500" i="53" s="1"/>
  <c r="M499" i="53"/>
  <c r="P499" i="53" s="1"/>
  <c r="M498" i="53"/>
  <c r="P498" i="53" s="1"/>
  <c r="M497" i="53"/>
  <c r="P497" i="53" s="1"/>
  <c r="M496" i="53"/>
  <c r="P496" i="53" s="1"/>
  <c r="M495" i="53"/>
  <c r="P495" i="53" s="1"/>
  <c r="M494" i="53"/>
  <c r="P494" i="53" s="1"/>
  <c r="M493" i="53"/>
  <c r="P493" i="53" s="1"/>
  <c r="M492" i="53"/>
  <c r="P492" i="53" s="1"/>
  <c r="M491" i="53"/>
  <c r="P491" i="53" s="1"/>
  <c r="M490" i="53"/>
  <c r="P490" i="53" s="1"/>
  <c r="M489" i="53"/>
  <c r="P489" i="53" s="1"/>
  <c r="M488" i="53"/>
  <c r="P488" i="53" s="1"/>
  <c r="M487" i="53"/>
  <c r="P487" i="53" s="1"/>
  <c r="M486" i="53"/>
  <c r="P486" i="53" s="1"/>
  <c r="M485" i="53"/>
  <c r="P485" i="53" s="1"/>
  <c r="M484" i="53"/>
  <c r="P484" i="53" s="1"/>
  <c r="M483" i="53"/>
  <c r="P483" i="53" s="1"/>
  <c r="M482" i="53"/>
  <c r="P482" i="53" s="1"/>
  <c r="M481" i="53"/>
  <c r="P481" i="53" s="1"/>
  <c r="M480" i="53"/>
  <c r="P480" i="53" s="1"/>
  <c r="M479" i="53"/>
  <c r="P479" i="53" s="1"/>
  <c r="M478" i="53"/>
  <c r="P478" i="53" s="1"/>
  <c r="M477" i="53"/>
  <c r="P477" i="53" s="1"/>
  <c r="M476" i="53"/>
  <c r="P476" i="53" s="1"/>
  <c r="M475" i="53"/>
  <c r="P475" i="53" s="1"/>
  <c r="M474" i="53"/>
  <c r="P474" i="53" s="1"/>
  <c r="M473" i="53"/>
  <c r="P473" i="53" s="1"/>
  <c r="M472" i="53"/>
  <c r="P472" i="53" s="1"/>
  <c r="M471" i="53"/>
  <c r="P471" i="53" s="1"/>
  <c r="M470" i="53"/>
  <c r="P470" i="53" s="1"/>
  <c r="M469" i="53"/>
  <c r="P469" i="53" s="1"/>
  <c r="M468" i="53"/>
  <c r="P468" i="53" s="1"/>
  <c r="M467" i="53"/>
  <c r="P467" i="53" s="1"/>
  <c r="M466" i="53"/>
  <c r="P466" i="53" s="1"/>
  <c r="M465" i="53"/>
  <c r="P465" i="53" s="1"/>
  <c r="M464" i="53"/>
  <c r="P464" i="53" s="1"/>
  <c r="M463" i="53"/>
  <c r="P463" i="53" s="1"/>
  <c r="M462" i="53"/>
  <c r="P462" i="53" s="1"/>
  <c r="M461" i="53"/>
  <c r="P461" i="53" s="1"/>
  <c r="M460" i="53"/>
  <c r="P460" i="53" s="1"/>
  <c r="M459" i="53"/>
  <c r="P459" i="53" s="1"/>
  <c r="M458" i="53"/>
  <c r="P458" i="53" s="1"/>
  <c r="M457" i="53"/>
  <c r="P457" i="53" s="1"/>
  <c r="M456" i="53"/>
  <c r="P456" i="53" s="1"/>
  <c r="M455" i="53"/>
  <c r="P455" i="53" s="1"/>
  <c r="M454" i="53"/>
  <c r="P454" i="53" s="1"/>
  <c r="M453" i="53"/>
  <c r="P453" i="53" s="1"/>
  <c r="M452" i="53"/>
  <c r="P452" i="53" s="1"/>
  <c r="M451" i="53"/>
  <c r="P451" i="53" s="1"/>
  <c r="M450" i="53"/>
  <c r="P450" i="53" s="1"/>
  <c r="M449" i="53"/>
  <c r="P449" i="53" s="1"/>
  <c r="M448" i="53"/>
  <c r="P448" i="53" s="1"/>
  <c r="M447" i="53"/>
  <c r="P447" i="53" s="1"/>
  <c r="M446" i="53"/>
  <c r="P446" i="53" s="1"/>
  <c r="M445" i="53"/>
  <c r="P445" i="53" s="1"/>
  <c r="M444" i="53"/>
  <c r="P444" i="53" s="1"/>
  <c r="M443" i="53"/>
  <c r="P443" i="53" s="1"/>
  <c r="M442" i="53"/>
  <c r="P442" i="53" s="1"/>
  <c r="M441" i="53"/>
  <c r="P441" i="53" s="1"/>
  <c r="M440" i="53"/>
  <c r="P440" i="53" s="1"/>
  <c r="M439" i="53"/>
  <c r="P439" i="53" s="1"/>
  <c r="M438" i="53"/>
  <c r="P438" i="53" s="1"/>
  <c r="M437" i="53"/>
  <c r="P437" i="53" s="1"/>
  <c r="M436" i="53"/>
  <c r="P436" i="53" s="1"/>
  <c r="M435" i="53"/>
  <c r="P435" i="53" s="1"/>
  <c r="M434" i="53"/>
  <c r="P434" i="53" s="1"/>
  <c r="M433" i="53"/>
  <c r="P433" i="53" s="1"/>
  <c r="M432" i="53"/>
  <c r="P432" i="53" s="1"/>
  <c r="M431" i="53"/>
  <c r="P431" i="53" s="1"/>
  <c r="M430" i="53"/>
  <c r="P430" i="53" s="1"/>
  <c r="M429" i="53"/>
  <c r="P429" i="53" s="1"/>
  <c r="M428" i="53"/>
  <c r="P428" i="53" s="1"/>
  <c r="M427" i="53"/>
  <c r="P427" i="53" s="1"/>
  <c r="M426" i="53"/>
  <c r="P426" i="53" s="1"/>
  <c r="M425" i="53"/>
  <c r="P425" i="53" s="1"/>
  <c r="M424" i="53"/>
  <c r="P424" i="53" s="1"/>
  <c r="M423" i="53"/>
  <c r="P423" i="53" s="1"/>
  <c r="M422" i="53"/>
  <c r="P422" i="53" s="1"/>
  <c r="M421" i="53"/>
  <c r="P421" i="53" s="1"/>
  <c r="M420" i="53"/>
  <c r="P420" i="53" s="1"/>
  <c r="M419" i="53"/>
  <c r="P419" i="53" s="1"/>
  <c r="M418" i="53"/>
  <c r="P418" i="53" s="1"/>
  <c r="M417" i="53"/>
  <c r="P417" i="53" s="1"/>
  <c r="M416" i="53"/>
  <c r="P416" i="53" s="1"/>
  <c r="P415" i="53"/>
  <c r="M415" i="53"/>
  <c r="M414" i="53"/>
  <c r="P414" i="53" s="1"/>
  <c r="M413" i="53"/>
  <c r="P413" i="53" s="1"/>
  <c r="M412" i="53"/>
  <c r="P412" i="53" s="1"/>
  <c r="M411" i="53"/>
  <c r="P411" i="53" s="1"/>
  <c r="M410" i="53"/>
  <c r="P410" i="53" s="1"/>
  <c r="M409" i="53"/>
  <c r="P409" i="53" s="1"/>
  <c r="M408" i="53"/>
  <c r="P408" i="53" s="1"/>
  <c r="M407" i="53"/>
  <c r="P407" i="53" s="1"/>
  <c r="M406" i="53"/>
  <c r="P406" i="53" s="1"/>
  <c r="M405" i="53"/>
  <c r="P405" i="53" s="1"/>
  <c r="M404" i="53"/>
  <c r="P404" i="53" s="1"/>
  <c r="M403" i="53"/>
  <c r="P403" i="53" s="1"/>
  <c r="M402" i="53"/>
  <c r="P402" i="53" s="1"/>
  <c r="M401" i="53"/>
  <c r="P401" i="53" s="1"/>
  <c r="M400" i="53"/>
  <c r="P400" i="53" s="1"/>
  <c r="M399" i="53"/>
  <c r="P399" i="53" s="1"/>
  <c r="M398" i="53"/>
  <c r="P398" i="53" s="1"/>
  <c r="M397" i="53"/>
  <c r="P397" i="53" s="1"/>
  <c r="M396" i="53"/>
  <c r="P396" i="53" s="1"/>
  <c r="M395" i="53"/>
  <c r="P395" i="53" s="1"/>
  <c r="M394" i="53"/>
  <c r="P394" i="53" s="1"/>
  <c r="M393" i="53"/>
  <c r="P393" i="53" s="1"/>
  <c r="M392" i="53"/>
  <c r="P392" i="53" s="1"/>
  <c r="M391" i="53"/>
  <c r="P391" i="53" s="1"/>
  <c r="M390" i="53"/>
  <c r="P390" i="53" s="1"/>
  <c r="M389" i="53"/>
  <c r="P389" i="53" s="1"/>
  <c r="M388" i="53"/>
  <c r="P388" i="53" s="1"/>
  <c r="M387" i="53"/>
  <c r="P387" i="53" s="1"/>
  <c r="M386" i="53"/>
  <c r="P386" i="53" s="1"/>
  <c r="M385" i="53"/>
  <c r="P385" i="53" s="1"/>
  <c r="M384" i="53"/>
  <c r="P384" i="53" s="1"/>
  <c r="P383" i="53"/>
  <c r="M383" i="53"/>
  <c r="M382" i="53"/>
  <c r="P382" i="53" s="1"/>
  <c r="M381" i="53"/>
  <c r="P381" i="53" s="1"/>
  <c r="M380" i="53"/>
  <c r="P380" i="53" s="1"/>
  <c r="M379" i="53"/>
  <c r="P379" i="53" s="1"/>
  <c r="M378" i="53"/>
  <c r="P378" i="53" s="1"/>
  <c r="M377" i="53"/>
  <c r="P377" i="53" s="1"/>
  <c r="M376" i="53"/>
  <c r="P376" i="53" s="1"/>
  <c r="M375" i="53"/>
  <c r="P375" i="53" s="1"/>
  <c r="M374" i="53"/>
  <c r="P374" i="53" s="1"/>
  <c r="M373" i="53"/>
  <c r="P373" i="53" s="1"/>
  <c r="M372" i="53"/>
  <c r="P372" i="53" s="1"/>
  <c r="M371" i="53"/>
  <c r="P371" i="53" s="1"/>
  <c r="M370" i="53"/>
  <c r="P370" i="53" s="1"/>
  <c r="M369" i="53"/>
  <c r="P369" i="53" s="1"/>
  <c r="M368" i="53"/>
  <c r="P368" i="53" s="1"/>
  <c r="M367" i="53"/>
  <c r="P367" i="53" s="1"/>
  <c r="M366" i="53"/>
  <c r="P366" i="53" s="1"/>
  <c r="M365" i="53"/>
  <c r="P365" i="53" s="1"/>
  <c r="M364" i="53"/>
  <c r="P364" i="53" s="1"/>
  <c r="M363" i="53"/>
  <c r="P363" i="53" s="1"/>
  <c r="M362" i="53"/>
  <c r="P362" i="53" s="1"/>
  <c r="M361" i="53"/>
  <c r="P361" i="53" s="1"/>
  <c r="M360" i="53"/>
  <c r="P360" i="53" s="1"/>
  <c r="M359" i="53"/>
  <c r="P359" i="53" s="1"/>
  <c r="M358" i="53"/>
  <c r="P358" i="53" s="1"/>
  <c r="M357" i="53"/>
  <c r="P357" i="53" s="1"/>
  <c r="M356" i="53"/>
  <c r="P356" i="53" s="1"/>
  <c r="M355" i="53"/>
  <c r="P355" i="53" s="1"/>
  <c r="M354" i="53"/>
  <c r="P354" i="53" s="1"/>
  <c r="M353" i="53"/>
  <c r="P353" i="53" s="1"/>
  <c r="M352" i="53"/>
  <c r="P352" i="53" s="1"/>
  <c r="P351" i="53"/>
  <c r="M351" i="53"/>
  <c r="M350" i="53"/>
  <c r="P350" i="53" s="1"/>
  <c r="M349" i="53"/>
  <c r="P349" i="53" s="1"/>
  <c r="M348" i="53"/>
  <c r="P348" i="53" s="1"/>
  <c r="M347" i="53"/>
  <c r="P347" i="53" s="1"/>
  <c r="M346" i="53"/>
  <c r="P346" i="53" s="1"/>
  <c r="M345" i="53"/>
  <c r="P345" i="53" s="1"/>
  <c r="M344" i="53"/>
  <c r="P344" i="53" s="1"/>
  <c r="M343" i="53"/>
  <c r="P343" i="53" s="1"/>
  <c r="M342" i="53"/>
  <c r="P342" i="53" s="1"/>
  <c r="M341" i="53"/>
  <c r="P341" i="53" s="1"/>
  <c r="M340" i="53"/>
  <c r="P340" i="53" s="1"/>
  <c r="M339" i="53"/>
  <c r="P339" i="53" s="1"/>
  <c r="M338" i="53"/>
  <c r="P338" i="53" s="1"/>
  <c r="M337" i="53"/>
  <c r="P337" i="53" s="1"/>
  <c r="M336" i="53"/>
  <c r="P336" i="53" s="1"/>
  <c r="M335" i="53"/>
  <c r="P335" i="53" s="1"/>
  <c r="M334" i="53"/>
  <c r="P334" i="53" s="1"/>
  <c r="M333" i="53"/>
  <c r="P333" i="53" s="1"/>
  <c r="M332" i="53"/>
  <c r="P332" i="53" s="1"/>
  <c r="M331" i="53"/>
  <c r="P331" i="53" s="1"/>
  <c r="M330" i="53"/>
  <c r="P330" i="53" s="1"/>
  <c r="M329" i="53"/>
  <c r="P329" i="53" s="1"/>
  <c r="M328" i="53"/>
  <c r="P328" i="53" s="1"/>
  <c r="M327" i="53"/>
  <c r="P327" i="53" s="1"/>
  <c r="M326" i="53"/>
  <c r="P326" i="53" s="1"/>
  <c r="M325" i="53"/>
  <c r="P325" i="53" s="1"/>
  <c r="M324" i="53"/>
  <c r="P324" i="53" s="1"/>
  <c r="M323" i="53"/>
  <c r="P323" i="53" s="1"/>
  <c r="M322" i="53"/>
  <c r="P322" i="53" s="1"/>
  <c r="M321" i="53"/>
  <c r="P321" i="53" s="1"/>
  <c r="M320" i="53"/>
  <c r="P320" i="53" s="1"/>
  <c r="M319" i="53"/>
  <c r="P319" i="53" s="1"/>
  <c r="M318" i="53"/>
  <c r="P318" i="53" s="1"/>
  <c r="M317" i="53"/>
  <c r="P317" i="53" s="1"/>
  <c r="M316" i="53"/>
  <c r="P316" i="53" s="1"/>
  <c r="P315" i="53"/>
  <c r="M315" i="53"/>
  <c r="M314" i="53"/>
  <c r="P314" i="53" s="1"/>
  <c r="M313" i="53"/>
  <c r="P313" i="53" s="1"/>
  <c r="M312" i="53"/>
  <c r="P312" i="53" s="1"/>
  <c r="M311" i="53"/>
  <c r="P311" i="53" s="1"/>
  <c r="M310" i="53"/>
  <c r="P310" i="53" s="1"/>
  <c r="M309" i="53"/>
  <c r="P309" i="53" s="1"/>
  <c r="M308" i="53"/>
  <c r="P308" i="53" s="1"/>
  <c r="M307" i="53"/>
  <c r="P307" i="53" s="1"/>
  <c r="P306" i="53"/>
  <c r="M306" i="53"/>
  <c r="M305" i="53"/>
  <c r="P305" i="53" s="1"/>
  <c r="M304" i="53"/>
  <c r="P304" i="53" s="1"/>
  <c r="M303" i="53"/>
  <c r="P303" i="53" s="1"/>
  <c r="P302" i="53"/>
  <c r="M302" i="53"/>
  <c r="M301" i="53"/>
  <c r="P301" i="53" s="1"/>
  <c r="M300" i="53"/>
  <c r="P300" i="53" s="1"/>
  <c r="M299" i="53"/>
  <c r="P299" i="53" s="1"/>
  <c r="M298" i="53"/>
  <c r="P298" i="53" s="1"/>
  <c r="M297" i="53"/>
  <c r="P297" i="53" s="1"/>
  <c r="M296" i="53"/>
  <c r="P296" i="53" s="1"/>
  <c r="M295" i="53"/>
  <c r="P295" i="53" s="1"/>
  <c r="M294" i="53"/>
  <c r="P294" i="53" s="1"/>
  <c r="M293" i="53"/>
  <c r="P293" i="53" s="1"/>
  <c r="M292" i="53"/>
  <c r="P292" i="53" s="1"/>
  <c r="M291" i="53"/>
  <c r="P291" i="53" s="1"/>
  <c r="M290" i="53"/>
  <c r="P290" i="53" s="1"/>
  <c r="M289" i="53"/>
  <c r="P289" i="53" s="1"/>
  <c r="M288" i="53"/>
  <c r="P288" i="53" s="1"/>
  <c r="M287" i="53"/>
  <c r="P287" i="53" s="1"/>
  <c r="M286" i="53"/>
  <c r="P286" i="53" s="1"/>
  <c r="M285" i="53"/>
  <c r="P285" i="53" s="1"/>
  <c r="M284" i="53"/>
  <c r="P284" i="53" s="1"/>
  <c r="M283" i="53"/>
  <c r="P283" i="53" s="1"/>
  <c r="M282" i="53"/>
  <c r="P282" i="53" s="1"/>
  <c r="M281" i="53"/>
  <c r="P281" i="53" s="1"/>
  <c r="M280" i="53"/>
  <c r="P280" i="53" s="1"/>
  <c r="M279" i="53"/>
  <c r="P279" i="53" s="1"/>
  <c r="M278" i="53"/>
  <c r="P278" i="53" s="1"/>
  <c r="M277" i="53"/>
  <c r="P277" i="53" s="1"/>
  <c r="M276" i="53"/>
  <c r="P276" i="53" s="1"/>
  <c r="M275" i="53"/>
  <c r="P275" i="53" s="1"/>
  <c r="M274" i="53"/>
  <c r="P274" i="53" s="1"/>
  <c r="M273" i="53"/>
  <c r="P273" i="53" s="1"/>
  <c r="M272" i="53"/>
  <c r="P272" i="53" s="1"/>
  <c r="M271" i="53"/>
  <c r="P271" i="53" s="1"/>
  <c r="M270" i="53"/>
  <c r="P270" i="53" s="1"/>
  <c r="M269" i="53"/>
  <c r="P269" i="53" s="1"/>
  <c r="M268" i="53"/>
  <c r="P268" i="53" s="1"/>
  <c r="M267" i="53"/>
  <c r="P267" i="53" s="1"/>
  <c r="M266" i="53"/>
  <c r="P266" i="53" s="1"/>
  <c r="P265" i="53"/>
  <c r="M265" i="53"/>
  <c r="M264" i="53"/>
  <c r="P264" i="53" s="1"/>
  <c r="P263" i="53"/>
  <c r="M263" i="53"/>
  <c r="M262" i="53"/>
  <c r="P262" i="53" s="1"/>
  <c r="M261" i="53"/>
  <c r="P261" i="53" s="1"/>
  <c r="M260" i="53"/>
  <c r="P260" i="53" s="1"/>
  <c r="M259" i="53"/>
  <c r="P259" i="53" s="1"/>
  <c r="M258" i="53"/>
  <c r="P258" i="53" s="1"/>
  <c r="M257" i="53"/>
  <c r="P257" i="53" s="1"/>
  <c r="M256" i="53"/>
  <c r="P256" i="53" s="1"/>
  <c r="M255" i="53"/>
  <c r="P255" i="53" s="1"/>
  <c r="M254" i="53"/>
  <c r="P254" i="53" s="1"/>
  <c r="M253" i="53"/>
  <c r="P253" i="53" s="1"/>
  <c r="M252" i="53"/>
  <c r="P252" i="53" s="1"/>
  <c r="M251" i="53"/>
  <c r="P251" i="53" s="1"/>
  <c r="M250" i="53"/>
  <c r="P250" i="53" s="1"/>
  <c r="P249" i="53"/>
  <c r="M249" i="53"/>
  <c r="M248" i="53"/>
  <c r="P248" i="53" s="1"/>
  <c r="M247" i="53"/>
  <c r="P247" i="53" s="1"/>
  <c r="M246" i="53"/>
  <c r="P246" i="53" s="1"/>
  <c r="M245" i="53"/>
  <c r="P245" i="53" s="1"/>
  <c r="M244" i="53"/>
  <c r="P244" i="53" s="1"/>
  <c r="M243" i="53"/>
  <c r="P243" i="53" s="1"/>
  <c r="M242" i="53"/>
  <c r="P242" i="53" s="1"/>
  <c r="M241" i="53"/>
  <c r="P241" i="53" s="1"/>
  <c r="M240" i="53"/>
  <c r="P240" i="53" s="1"/>
  <c r="M239" i="53"/>
  <c r="P239" i="53" s="1"/>
  <c r="M238" i="53"/>
  <c r="P238" i="53" s="1"/>
  <c r="M237" i="53"/>
  <c r="P237" i="53" s="1"/>
  <c r="M236" i="53"/>
  <c r="P236" i="53" s="1"/>
  <c r="M235" i="53"/>
  <c r="P235" i="53" s="1"/>
  <c r="P214" i="53"/>
  <c r="M214" i="53"/>
  <c r="P213" i="53"/>
  <c r="M213" i="53"/>
  <c r="P212" i="53"/>
  <c r="M212" i="53"/>
  <c r="P211" i="53"/>
  <c r="M211" i="53"/>
  <c r="P210" i="53"/>
  <c r="M210" i="53"/>
  <c r="P209" i="53"/>
  <c r="M209" i="53"/>
  <c r="P208" i="53"/>
  <c r="M208" i="53"/>
  <c r="P207" i="53"/>
  <c r="M207" i="53"/>
  <c r="P206" i="53"/>
  <c r="P205" i="53"/>
  <c r="M205" i="53"/>
  <c r="P204" i="53"/>
  <c r="P203" i="53"/>
  <c r="M203" i="53"/>
  <c r="P202" i="53"/>
  <c r="M202" i="53"/>
  <c r="P201" i="53"/>
  <c r="M201" i="53"/>
  <c r="P200" i="53"/>
  <c r="P199" i="53"/>
  <c r="M199" i="53"/>
  <c r="P198" i="53"/>
  <c r="M198" i="53"/>
  <c r="P197" i="53"/>
  <c r="M197" i="53"/>
  <c r="P196" i="53"/>
  <c r="M196" i="53"/>
  <c r="P195" i="53"/>
  <c r="M195" i="53"/>
  <c r="P194" i="53"/>
  <c r="M194" i="53"/>
  <c r="P193" i="53"/>
  <c r="P192" i="53"/>
  <c r="M192" i="53"/>
  <c r="P191" i="53"/>
  <c r="P190" i="53"/>
  <c r="M190" i="53"/>
  <c r="P189" i="53"/>
  <c r="M189" i="53"/>
  <c r="P188" i="53"/>
  <c r="M188" i="53"/>
  <c r="P187" i="53"/>
  <c r="M187" i="53"/>
  <c r="P186" i="53"/>
  <c r="M186" i="53"/>
  <c r="P185" i="53"/>
  <c r="M185" i="53"/>
  <c r="P184" i="53"/>
  <c r="M184" i="53"/>
  <c r="P183" i="53"/>
  <c r="M183" i="53"/>
  <c r="P182" i="53"/>
  <c r="M182" i="53"/>
  <c r="P181" i="53"/>
  <c r="M181" i="53"/>
  <c r="P180" i="53"/>
  <c r="M180" i="53"/>
  <c r="P179" i="53"/>
  <c r="M179" i="53"/>
  <c r="P178" i="53"/>
  <c r="M178" i="53"/>
  <c r="P177" i="53"/>
  <c r="M177" i="53"/>
  <c r="P176" i="53"/>
  <c r="M176" i="53"/>
  <c r="P175" i="53"/>
  <c r="P174" i="53"/>
  <c r="M174" i="53"/>
  <c r="P173" i="53"/>
  <c r="P172" i="53"/>
  <c r="M172" i="53"/>
  <c r="P171" i="53"/>
  <c r="M171" i="53"/>
  <c r="P170" i="53"/>
  <c r="M170" i="53"/>
  <c r="P169" i="53"/>
  <c r="M169" i="53"/>
  <c r="P168" i="53"/>
  <c r="P167" i="53"/>
  <c r="M167" i="53"/>
  <c r="P166" i="53"/>
  <c r="M166" i="53"/>
  <c r="P165" i="53"/>
  <c r="M165" i="53"/>
  <c r="P164" i="53"/>
  <c r="M164" i="53"/>
  <c r="P163" i="53"/>
  <c r="M163" i="53"/>
  <c r="P162" i="53"/>
  <c r="M162" i="53"/>
  <c r="P161" i="53"/>
  <c r="M161" i="53"/>
  <c r="P160" i="53"/>
  <c r="M160" i="53"/>
  <c r="P159" i="53"/>
  <c r="P158" i="53"/>
  <c r="M158" i="53"/>
  <c r="P157" i="53"/>
  <c r="M157" i="53"/>
  <c r="P156" i="53"/>
  <c r="M156" i="53"/>
  <c r="P155" i="53"/>
  <c r="P154" i="53"/>
  <c r="M154" i="53"/>
  <c r="P153" i="53"/>
  <c r="M153" i="53"/>
  <c r="P152" i="53"/>
  <c r="M152" i="53"/>
  <c r="P151" i="53"/>
  <c r="M151" i="53"/>
  <c r="P150" i="53"/>
  <c r="M150" i="53"/>
  <c r="P149" i="53"/>
  <c r="M149" i="53"/>
  <c r="P148" i="53"/>
  <c r="M148" i="53"/>
  <c r="P147" i="53"/>
  <c r="M147" i="53"/>
  <c r="P146" i="53"/>
  <c r="M146" i="53"/>
  <c r="P145" i="53"/>
  <c r="M145" i="53"/>
  <c r="P144" i="53"/>
  <c r="M144" i="53"/>
  <c r="P143" i="53"/>
  <c r="M143" i="53"/>
  <c r="P142" i="53"/>
  <c r="M142" i="53"/>
  <c r="P141" i="53"/>
  <c r="M141" i="53"/>
  <c r="P140" i="53"/>
  <c r="M140" i="53"/>
  <c r="P139" i="53"/>
  <c r="M139" i="53"/>
  <c r="P138" i="53"/>
  <c r="M138" i="53"/>
  <c r="P137" i="53"/>
  <c r="M137" i="53"/>
  <c r="P136" i="53"/>
  <c r="M136" i="53"/>
  <c r="P135" i="53"/>
  <c r="M135" i="53"/>
  <c r="P134" i="53"/>
  <c r="M134" i="53"/>
  <c r="P133" i="53"/>
  <c r="M133" i="53"/>
  <c r="P132" i="53"/>
  <c r="M132" i="53"/>
  <c r="P131" i="53"/>
  <c r="M131" i="53"/>
  <c r="P130" i="53"/>
  <c r="M130" i="53"/>
  <c r="P129" i="53"/>
  <c r="P128" i="53"/>
  <c r="M128" i="53"/>
  <c r="P127" i="53"/>
  <c r="M127" i="53"/>
  <c r="P126" i="53"/>
  <c r="M126" i="53"/>
  <c r="P125" i="53"/>
  <c r="M125" i="53"/>
  <c r="P124" i="53"/>
  <c r="M124" i="53"/>
  <c r="P123" i="53"/>
  <c r="M123" i="53"/>
  <c r="P122" i="53"/>
  <c r="M122" i="53"/>
  <c r="P121" i="53"/>
  <c r="M121" i="53"/>
  <c r="P120" i="53"/>
  <c r="M120" i="53"/>
  <c r="P119" i="53"/>
  <c r="M119" i="53"/>
  <c r="P118" i="53"/>
  <c r="P117" i="53"/>
  <c r="P116" i="53"/>
  <c r="M116" i="53"/>
  <c r="P115" i="53"/>
  <c r="M115" i="53"/>
  <c r="P114" i="53"/>
  <c r="M114" i="53"/>
  <c r="P113" i="53"/>
  <c r="M113" i="53"/>
  <c r="P112" i="53"/>
  <c r="M112" i="53"/>
  <c r="P111" i="53"/>
  <c r="P110" i="53"/>
  <c r="M110" i="53"/>
  <c r="P109" i="53"/>
  <c r="P108" i="53"/>
  <c r="M108" i="53"/>
  <c r="P107" i="53"/>
  <c r="P106" i="53"/>
  <c r="M106" i="53"/>
  <c r="P105" i="53"/>
  <c r="M105" i="53"/>
  <c r="P104" i="53"/>
  <c r="M104" i="53"/>
  <c r="P103" i="53"/>
  <c r="M103" i="53"/>
  <c r="P102" i="53"/>
  <c r="P101" i="53"/>
  <c r="M101" i="53"/>
  <c r="P100" i="53"/>
  <c r="M100" i="53"/>
  <c r="P99" i="53"/>
  <c r="P98" i="53"/>
  <c r="M98" i="53"/>
  <c r="P97" i="53"/>
  <c r="M97" i="53"/>
  <c r="P96" i="53"/>
  <c r="P95" i="53"/>
  <c r="M95" i="53"/>
  <c r="P94" i="53"/>
  <c r="M94" i="53"/>
  <c r="P93" i="53"/>
  <c r="M93" i="53"/>
  <c r="P92" i="53"/>
  <c r="P91" i="53"/>
  <c r="M91" i="53"/>
  <c r="P90" i="53"/>
  <c r="M90" i="53"/>
  <c r="P89" i="53"/>
  <c r="P88" i="53"/>
  <c r="M88" i="53"/>
  <c r="P87" i="53"/>
  <c r="M87" i="53"/>
  <c r="P86" i="53"/>
  <c r="M86" i="53"/>
  <c r="P85" i="53"/>
  <c r="M85" i="53"/>
  <c r="P84" i="53"/>
  <c r="P83" i="53"/>
  <c r="M83" i="53"/>
  <c r="P82" i="53"/>
  <c r="M82" i="53"/>
  <c r="P81" i="53"/>
  <c r="M81" i="53"/>
  <c r="P80" i="53"/>
  <c r="M80" i="53"/>
  <c r="P79" i="53"/>
  <c r="M79" i="53"/>
  <c r="P78" i="53"/>
  <c r="M78" i="53"/>
  <c r="P77" i="53"/>
  <c r="P76" i="53"/>
  <c r="M76" i="53"/>
  <c r="P75" i="53"/>
  <c r="M75" i="53"/>
  <c r="P74" i="53"/>
  <c r="M74" i="53"/>
  <c r="P73" i="53"/>
  <c r="M73" i="53"/>
  <c r="P72" i="53"/>
  <c r="P71" i="53"/>
  <c r="M71" i="53"/>
  <c r="P70" i="53"/>
  <c r="P69" i="53"/>
  <c r="M69" i="53"/>
  <c r="P68" i="53"/>
  <c r="M68" i="53"/>
  <c r="P67" i="53"/>
  <c r="M67" i="53"/>
  <c r="P66" i="53"/>
  <c r="M66" i="53"/>
  <c r="P65" i="53"/>
  <c r="M65" i="53"/>
  <c r="P64" i="53"/>
  <c r="P63" i="53"/>
  <c r="M63" i="53"/>
  <c r="P62" i="53"/>
  <c r="M62" i="53"/>
  <c r="P61" i="53"/>
  <c r="M61" i="53"/>
  <c r="P60" i="53"/>
  <c r="M60" i="53"/>
  <c r="P59" i="53"/>
  <c r="M59" i="53"/>
  <c r="P58" i="53"/>
  <c r="M58" i="53"/>
  <c r="P57" i="53"/>
  <c r="M57" i="53"/>
  <c r="P56" i="53"/>
  <c r="M56" i="53"/>
  <c r="P55" i="53"/>
  <c r="M55" i="53"/>
  <c r="P54" i="53"/>
  <c r="M54" i="53"/>
  <c r="P53" i="53"/>
  <c r="M53" i="53"/>
  <c r="P52" i="53"/>
  <c r="M52" i="53"/>
  <c r="P51" i="53"/>
  <c r="P50" i="53"/>
  <c r="M50" i="53"/>
  <c r="P49" i="53"/>
  <c r="M49" i="53"/>
  <c r="P48" i="53"/>
  <c r="M48" i="53"/>
  <c r="P47" i="53"/>
  <c r="M47" i="53"/>
  <c r="P46" i="53"/>
  <c r="M46" i="53"/>
  <c r="P45" i="53"/>
  <c r="M45" i="53"/>
  <c r="P44" i="53"/>
  <c r="M44" i="53"/>
  <c r="P43" i="53"/>
  <c r="M43" i="53"/>
  <c r="P42" i="53"/>
  <c r="M42" i="53"/>
  <c r="P41" i="53"/>
  <c r="M41" i="53"/>
  <c r="P40" i="53"/>
  <c r="M40" i="53"/>
  <c r="P39" i="53"/>
  <c r="M39" i="53"/>
  <c r="P38" i="53"/>
  <c r="M38" i="53"/>
  <c r="P37" i="53"/>
  <c r="P36" i="53"/>
  <c r="M36" i="53"/>
  <c r="P35" i="53"/>
  <c r="P34" i="53"/>
  <c r="M34" i="53"/>
  <c r="P33" i="53"/>
  <c r="P32" i="53"/>
  <c r="M32" i="53"/>
  <c r="P31" i="53"/>
  <c r="M31" i="53"/>
  <c r="P30" i="53"/>
  <c r="M30" i="53"/>
  <c r="P29" i="53"/>
  <c r="P28" i="53"/>
  <c r="P27" i="53"/>
  <c r="M27" i="53"/>
  <c r="P26" i="53"/>
  <c r="M26" i="53"/>
  <c r="P25" i="53"/>
  <c r="M25" i="53"/>
  <c r="P24" i="53"/>
  <c r="P23" i="53"/>
  <c r="M23" i="53"/>
  <c r="D183" i="85" l="1"/>
  <c r="C183" i="85"/>
  <c r="Q11" i="84"/>
  <c r="Q23" i="84"/>
  <c r="Q14" i="84"/>
  <c r="Q16" i="84"/>
  <c r="I31" i="84"/>
  <c r="Q17" i="84"/>
  <c r="D103" i="85"/>
  <c r="Q5" i="84"/>
  <c r="U793" i="60"/>
  <c r="T793" i="60"/>
  <c r="S793" i="60"/>
  <c r="R793" i="60"/>
  <c r="Q793" i="60"/>
  <c r="P793" i="60"/>
  <c r="O793" i="60"/>
  <c r="N793" i="60"/>
  <c r="J793" i="60"/>
  <c r="I793" i="60"/>
  <c r="H793" i="60"/>
  <c r="G793" i="60"/>
  <c r="F793" i="60"/>
  <c r="E793" i="60"/>
  <c r="D793" i="60"/>
  <c r="C793" i="60"/>
  <c r="V792" i="60"/>
  <c r="K792" i="60"/>
  <c r="V791" i="60"/>
  <c r="K791" i="60"/>
  <c r="V790" i="60"/>
  <c r="K790" i="60"/>
  <c r="W789" i="60"/>
  <c r="M789" i="60"/>
  <c r="V789" i="60" s="1"/>
  <c r="L789" i="60"/>
  <c r="B789" i="60"/>
  <c r="V787" i="60"/>
  <c r="K787" i="60"/>
  <c r="V786" i="60"/>
  <c r="K786" i="60"/>
  <c r="V785" i="60"/>
  <c r="K785" i="60"/>
  <c r="W784" i="60"/>
  <c r="M784" i="60"/>
  <c r="L784" i="60"/>
  <c r="B784" i="60"/>
  <c r="K784" i="60" s="1"/>
  <c r="V782" i="60"/>
  <c r="K782" i="60"/>
  <c r="V781" i="60"/>
  <c r="K781" i="60"/>
  <c r="V780" i="60"/>
  <c r="K780" i="60"/>
  <c r="V779" i="60"/>
  <c r="K779" i="60"/>
  <c r="V778" i="60"/>
  <c r="K778" i="60"/>
  <c r="W777" i="60"/>
  <c r="W770" i="60" s="1"/>
  <c r="M777" i="60"/>
  <c r="V777" i="60" s="1"/>
  <c r="L777" i="60"/>
  <c r="L770" i="60" s="1"/>
  <c r="B777" i="60"/>
  <c r="K777" i="60" s="1"/>
  <c r="V775" i="60"/>
  <c r="K775" i="60"/>
  <c r="V774" i="60"/>
  <c r="K774" i="60"/>
  <c r="V773" i="60"/>
  <c r="K773" i="60"/>
  <c r="V772" i="60"/>
  <c r="K772" i="60"/>
  <c r="V771" i="60"/>
  <c r="K771" i="60"/>
  <c r="M770" i="60"/>
  <c r="V770" i="60" s="1"/>
  <c r="B770" i="60"/>
  <c r="K770" i="60" s="1"/>
  <c r="V757" i="60"/>
  <c r="U757" i="60"/>
  <c r="T757" i="60"/>
  <c r="S757" i="60"/>
  <c r="R757" i="60"/>
  <c r="Q757" i="60"/>
  <c r="P757" i="60"/>
  <c r="O757" i="60"/>
  <c r="N757" i="60"/>
  <c r="L757" i="60"/>
  <c r="K757" i="60"/>
  <c r="J757" i="60"/>
  <c r="I757" i="60"/>
  <c r="H757" i="60"/>
  <c r="G757" i="60"/>
  <c r="F757" i="60"/>
  <c r="E757" i="60"/>
  <c r="D757" i="60"/>
  <c r="C757" i="60"/>
  <c r="B757" i="60"/>
  <c r="W752" i="60"/>
  <c r="M752" i="60"/>
  <c r="W746" i="60"/>
  <c r="M746" i="60"/>
  <c r="W738" i="60"/>
  <c r="M738" i="60"/>
  <c r="W737" i="60"/>
  <c r="M737" i="60"/>
  <c r="W735" i="60"/>
  <c r="M735" i="60"/>
  <c r="W578" i="60"/>
  <c r="M578" i="60"/>
  <c r="L578" i="60"/>
  <c r="B578" i="60"/>
  <c r="W538" i="60"/>
  <c r="M538" i="60"/>
  <c r="L538" i="60"/>
  <c r="B538" i="60"/>
  <c r="W530" i="60"/>
  <c r="M530" i="60"/>
  <c r="L530" i="60"/>
  <c r="B530" i="60"/>
  <c r="W522" i="60"/>
  <c r="L522" i="60"/>
  <c r="B522" i="60"/>
  <c r="W513" i="60"/>
  <c r="L513" i="60"/>
  <c r="B513" i="60"/>
  <c r="W505" i="60"/>
  <c r="M505" i="60"/>
  <c r="L505" i="60"/>
  <c r="B505" i="60"/>
  <c r="W497" i="60"/>
  <c r="M497" i="60"/>
  <c r="L497" i="60"/>
  <c r="B497" i="60"/>
  <c r="W489" i="60"/>
  <c r="M489" i="60"/>
  <c r="M514" i="60" s="1"/>
  <c r="L489" i="60"/>
  <c r="B489" i="60"/>
  <c r="L462" i="60"/>
  <c r="W459" i="60"/>
  <c r="W444" i="60" s="1"/>
  <c r="W465" i="60" s="1"/>
  <c r="V459" i="60"/>
  <c r="M459" i="60"/>
  <c r="K459" i="60"/>
  <c r="B459" i="60"/>
  <c r="V451" i="60"/>
  <c r="M451" i="60"/>
  <c r="K451" i="60"/>
  <c r="B451" i="60"/>
  <c r="V445" i="60"/>
  <c r="M445" i="60"/>
  <c r="K445" i="60"/>
  <c r="B445" i="60"/>
  <c r="L444" i="60"/>
  <c r="L465" i="60" s="1"/>
  <c r="V439" i="60"/>
  <c r="M439" i="60"/>
  <c r="K439" i="60"/>
  <c r="B439" i="60"/>
  <c r="V432" i="60"/>
  <c r="M432" i="60"/>
  <c r="K432" i="60"/>
  <c r="B432" i="60"/>
  <c r="V427" i="60"/>
  <c r="M427" i="60"/>
  <c r="K427" i="60"/>
  <c r="B427" i="60"/>
  <c r="V418" i="60"/>
  <c r="M418" i="60"/>
  <c r="K418" i="60"/>
  <c r="B418" i="60"/>
  <c r="V413" i="60"/>
  <c r="M413" i="60"/>
  <c r="K413" i="60"/>
  <c r="B413" i="60"/>
  <c r="V408" i="60"/>
  <c r="M408" i="60"/>
  <c r="K408" i="60"/>
  <c r="B408" i="60"/>
  <c r="B407" i="60" s="1"/>
  <c r="D398" i="60"/>
  <c r="U391" i="60"/>
  <c r="V391" i="60" s="1"/>
  <c r="K391" i="60"/>
  <c r="L391" i="60" s="1"/>
  <c r="V389" i="60"/>
  <c r="W389" i="60" s="1"/>
  <c r="K389" i="60"/>
  <c r="L389" i="60" s="1"/>
  <c r="V388" i="60"/>
  <c r="W388" i="60" s="1"/>
  <c r="K388" i="60"/>
  <c r="L388" i="60" s="1"/>
  <c r="V387" i="60"/>
  <c r="W387" i="60" s="1"/>
  <c r="K387" i="60"/>
  <c r="L387" i="60" s="1"/>
  <c r="V386" i="60"/>
  <c r="W386" i="60" s="1"/>
  <c r="K386" i="60"/>
  <c r="U385" i="60"/>
  <c r="T385" i="60"/>
  <c r="S385" i="60"/>
  <c r="R385" i="60"/>
  <c r="Q385" i="60"/>
  <c r="P385" i="60"/>
  <c r="O385" i="60"/>
  <c r="N385" i="60"/>
  <c r="M385" i="60"/>
  <c r="J385" i="60"/>
  <c r="I385" i="60"/>
  <c r="H385" i="60"/>
  <c r="G385" i="60"/>
  <c r="F385" i="60"/>
  <c r="E385" i="60"/>
  <c r="D385" i="60"/>
  <c r="C385" i="60"/>
  <c r="B385" i="60"/>
  <c r="U384" i="60"/>
  <c r="V384" i="60" s="1"/>
  <c r="W384" i="60" s="1"/>
  <c r="K384" i="60"/>
  <c r="L384" i="60" s="1"/>
  <c r="V383" i="60"/>
  <c r="W383" i="60" s="1"/>
  <c r="K383" i="60"/>
  <c r="L383" i="60" s="1"/>
  <c r="V382" i="60"/>
  <c r="W382" i="60" s="1"/>
  <c r="K382" i="60"/>
  <c r="L382" i="60" s="1"/>
  <c r="V381" i="60"/>
  <c r="W381" i="60" s="1"/>
  <c r="K381" i="60"/>
  <c r="L381" i="60" s="1"/>
  <c r="V380" i="60"/>
  <c r="W380" i="60" s="1"/>
  <c r="K380" i="60"/>
  <c r="L380" i="60" s="1"/>
  <c r="V379" i="60"/>
  <c r="K379" i="60"/>
  <c r="U378" i="60"/>
  <c r="T378" i="60"/>
  <c r="S378" i="60"/>
  <c r="R378" i="60"/>
  <c r="Q378" i="60"/>
  <c r="P378" i="60"/>
  <c r="O378" i="60"/>
  <c r="N378" i="60"/>
  <c r="M378" i="60"/>
  <c r="J378" i="60"/>
  <c r="I378" i="60"/>
  <c r="H378" i="60"/>
  <c r="G378" i="60"/>
  <c r="F378" i="60"/>
  <c r="E378" i="60"/>
  <c r="D378" i="60"/>
  <c r="C378" i="60"/>
  <c r="B378" i="60"/>
  <c r="V377" i="60"/>
  <c r="W377" i="60" s="1"/>
  <c r="K377" i="60"/>
  <c r="L377" i="60" s="1"/>
  <c r="V374" i="60"/>
  <c r="W374" i="60" s="1"/>
  <c r="K374" i="60"/>
  <c r="U373" i="60"/>
  <c r="T373" i="60"/>
  <c r="S373" i="60"/>
  <c r="R373" i="60"/>
  <c r="Q373" i="60"/>
  <c r="P373" i="60"/>
  <c r="O373" i="60"/>
  <c r="N373" i="60"/>
  <c r="N392" i="60" s="1"/>
  <c r="M373" i="60"/>
  <c r="J373" i="60"/>
  <c r="I373" i="60"/>
  <c r="H373" i="60"/>
  <c r="G373" i="60"/>
  <c r="F373" i="60"/>
  <c r="F392" i="60" s="1"/>
  <c r="E373" i="60"/>
  <c r="E392" i="60" s="1"/>
  <c r="D373" i="60"/>
  <c r="C373" i="60"/>
  <c r="B373" i="60"/>
  <c r="V371" i="60"/>
  <c r="K371" i="60"/>
  <c r="V370" i="60"/>
  <c r="K370" i="60"/>
  <c r="V369" i="60"/>
  <c r="W369" i="60" s="1"/>
  <c r="K369" i="60"/>
  <c r="L369" i="60" s="1"/>
  <c r="V368" i="60"/>
  <c r="K368" i="60"/>
  <c r="V367" i="60"/>
  <c r="K367" i="60"/>
  <c r="U366" i="60"/>
  <c r="T366" i="60"/>
  <c r="S366" i="60"/>
  <c r="R366" i="60"/>
  <c r="Q366" i="60"/>
  <c r="P366" i="60"/>
  <c r="O366" i="60"/>
  <c r="N366" i="60"/>
  <c r="M366" i="60"/>
  <c r="J366" i="60"/>
  <c r="I366" i="60"/>
  <c r="H366" i="60"/>
  <c r="G366" i="60"/>
  <c r="F366" i="60"/>
  <c r="E366" i="60"/>
  <c r="D366" i="60"/>
  <c r="C366" i="60"/>
  <c r="B366" i="60"/>
  <c r="V365" i="60"/>
  <c r="W365" i="60" s="1"/>
  <c r="K365" i="60"/>
  <c r="L365" i="60" s="1"/>
  <c r="V364" i="60"/>
  <c r="W364" i="60" s="1"/>
  <c r="K364" i="60"/>
  <c r="L364" i="60" s="1"/>
  <c r="V363" i="60"/>
  <c r="W363" i="60" s="1"/>
  <c r="K363" i="60"/>
  <c r="L363" i="60" s="1"/>
  <c r="V361" i="60"/>
  <c r="W361" i="60" s="1"/>
  <c r="K361" i="60"/>
  <c r="U360" i="60"/>
  <c r="T360" i="60"/>
  <c r="S360" i="60"/>
  <c r="R360" i="60"/>
  <c r="Q360" i="60"/>
  <c r="P360" i="60"/>
  <c r="O360" i="60"/>
  <c r="N360" i="60"/>
  <c r="M360" i="60"/>
  <c r="J360" i="60"/>
  <c r="I360" i="60"/>
  <c r="H360" i="60"/>
  <c r="G360" i="60"/>
  <c r="F360" i="60"/>
  <c r="E360" i="60"/>
  <c r="D360" i="60"/>
  <c r="C360" i="60"/>
  <c r="B360" i="60"/>
  <c r="V359" i="60"/>
  <c r="W359" i="60" s="1"/>
  <c r="K359" i="60"/>
  <c r="L359" i="60" s="1"/>
  <c r="V358" i="60"/>
  <c r="W358" i="60" s="1"/>
  <c r="K358" i="60"/>
  <c r="L358" i="60" s="1"/>
  <c r="V357" i="60"/>
  <c r="K357" i="60"/>
  <c r="V356" i="60"/>
  <c r="K356" i="60"/>
  <c r="V355" i="60"/>
  <c r="K355" i="60"/>
  <c r="U354" i="60"/>
  <c r="T354" i="60"/>
  <c r="S354" i="60"/>
  <c r="R354" i="60"/>
  <c r="Q354" i="60"/>
  <c r="P354" i="60"/>
  <c r="O354" i="60"/>
  <c r="N354" i="60"/>
  <c r="M354" i="60"/>
  <c r="J354" i="60"/>
  <c r="I354" i="60"/>
  <c r="H354" i="60"/>
  <c r="G354" i="60"/>
  <c r="F354" i="60"/>
  <c r="E354" i="60"/>
  <c r="D354" i="60"/>
  <c r="C354" i="60"/>
  <c r="B354" i="60"/>
  <c r="V353" i="60"/>
  <c r="W353" i="60" s="1"/>
  <c r="K353" i="60"/>
  <c r="L353" i="60" s="1"/>
  <c r="V351" i="60"/>
  <c r="W351" i="60" s="1"/>
  <c r="K351" i="60"/>
  <c r="L351" i="60" s="1"/>
  <c r="V350" i="60"/>
  <c r="W350" i="60" s="1"/>
  <c r="K350" i="60"/>
  <c r="L350" i="60" s="1"/>
  <c r="V349" i="60"/>
  <c r="K349" i="60"/>
  <c r="U348" i="60"/>
  <c r="T348" i="60"/>
  <c r="S348" i="60"/>
  <c r="R348" i="60"/>
  <c r="Q348" i="60"/>
  <c r="P348" i="60"/>
  <c r="O348" i="60"/>
  <c r="N348" i="60"/>
  <c r="M348" i="60"/>
  <c r="J348" i="60"/>
  <c r="I348" i="60"/>
  <c r="H348" i="60"/>
  <c r="G348" i="60"/>
  <c r="F348" i="60"/>
  <c r="E348" i="60"/>
  <c r="D348" i="60"/>
  <c r="C348" i="60"/>
  <c r="B348" i="60"/>
  <c r="V347" i="60"/>
  <c r="W347" i="60" s="1"/>
  <c r="K347" i="60"/>
  <c r="L347" i="60" s="1"/>
  <c r="V346" i="60"/>
  <c r="W346" i="60" s="1"/>
  <c r="K346" i="60"/>
  <c r="L346" i="60" s="1"/>
  <c r="V345" i="60"/>
  <c r="W345" i="60" s="1"/>
  <c r="K345" i="60"/>
  <c r="L345" i="60" s="1"/>
  <c r="V344" i="60"/>
  <c r="K344" i="60"/>
  <c r="V343" i="60"/>
  <c r="K343" i="60"/>
  <c r="U342" i="60"/>
  <c r="T342" i="60"/>
  <c r="S342" i="60"/>
  <c r="R342" i="60"/>
  <c r="Q342" i="60"/>
  <c r="P342" i="60"/>
  <c r="O342" i="60"/>
  <c r="N342" i="60"/>
  <c r="M342" i="60"/>
  <c r="J342" i="60"/>
  <c r="I342" i="60"/>
  <c r="H342" i="60"/>
  <c r="G342" i="60"/>
  <c r="F342" i="60"/>
  <c r="E342" i="60"/>
  <c r="D342" i="60"/>
  <c r="C342" i="60"/>
  <c r="B342" i="60"/>
  <c r="V341" i="60"/>
  <c r="W341" i="60" s="1"/>
  <c r="K341" i="60"/>
  <c r="L341" i="60" s="1"/>
  <c r="V340" i="60"/>
  <c r="W340" i="60" s="1"/>
  <c r="K340" i="60"/>
  <c r="L340" i="60" s="1"/>
  <c r="V339" i="60"/>
  <c r="W339" i="60" s="1"/>
  <c r="K339" i="60"/>
  <c r="L339" i="60" s="1"/>
  <c r="V338" i="60"/>
  <c r="W338" i="60" s="1"/>
  <c r="K338" i="60"/>
  <c r="L338" i="60" s="1"/>
  <c r="V337" i="60"/>
  <c r="K337" i="60"/>
  <c r="L337" i="60" s="1"/>
  <c r="U336" i="60"/>
  <c r="T336" i="60"/>
  <c r="S336" i="60"/>
  <c r="R336" i="60"/>
  <c r="Q336" i="60"/>
  <c r="P336" i="60"/>
  <c r="O336" i="60"/>
  <c r="N336" i="60"/>
  <c r="M336" i="60"/>
  <c r="J336" i="60"/>
  <c r="I336" i="60"/>
  <c r="H336" i="60"/>
  <c r="G336" i="60"/>
  <c r="F336" i="60"/>
  <c r="E336" i="60"/>
  <c r="D336" i="60"/>
  <c r="C336" i="60"/>
  <c r="B336" i="60"/>
  <c r="U335" i="60"/>
  <c r="V335" i="60" s="1"/>
  <c r="W335" i="60" s="1"/>
  <c r="K335" i="60"/>
  <c r="L335" i="60" s="1"/>
  <c r="V334" i="60"/>
  <c r="W334" i="60" s="1"/>
  <c r="K334" i="60"/>
  <c r="L334" i="60" s="1"/>
  <c r="V333" i="60"/>
  <c r="W333" i="60" s="1"/>
  <c r="K333" i="60"/>
  <c r="L333" i="60" s="1"/>
  <c r="V332" i="60"/>
  <c r="W332" i="60" s="1"/>
  <c r="K332" i="60"/>
  <c r="V331" i="60"/>
  <c r="W331" i="60" s="1"/>
  <c r="K331" i="60"/>
  <c r="L331" i="60" s="1"/>
  <c r="T330" i="60"/>
  <c r="S330" i="60"/>
  <c r="R330" i="60"/>
  <c r="Q330" i="60"/>
  <c r="P330" i="60"/>
  <c r="O330" i="60"/>
  <c r="N330" i="60"/>
  <c r="M330" i="60"/>
  <c r="J330" i="60"/>
  <c r="I330" i="60"/>
  <c r="H330" i="60"/>
  <c r="G330" i="60"/>
  <c r="F330" i="60"/>
  <c r="E330" i="60"/>
  <c r="D330" i="60"/>
  <c r="C330" i="60"/>
  <c r="B330" i="60"/>
  <c r="V328" i="60"/>
  <c r="W328" i="60" s="1"/>
  <c r="K328" i="60"/>
  <c r="L328" i="60" s="1"/>
  <c r="V327" i="60"/>
  <c r="K327" i="60"/>
  <c r="V326" i="60"/>
  <c r="W326" i="60" s="1"/>
  <c r="K326" i="60"/>
  <c r="L326" i="60" s="1"/>
  <c r="V325" i="60"/>
  <c r="W325" i="60" s="1"/>
  <c r="K325" i="60"/>
  <c r="L325" i="60" s="1"/>
  <c r="V324" i="60"/>
  <c r="V322" i="60" s="1"/>
  <c r="K324" i="60"/>
  <c r="L324" i="60" s="1"/>
  <c r="U322" i="60"/>
  <c r="T322" i="60"/>
  <c r="S322" i="60"/>
  <c r="R322" i="60"/>
  <c r="Q322" i="60"/>
  <c r="P322" i="60"/>
  <c r="O322" i="60"/>
  <c r="N322" i="60"/>
  <c r="M322" i="60"/>
  <c r="J322" i="60"/>
  <c r="I322" i="60"/>
  <c r="H322" i="60"/>
  <c r="G322" i="60"/>
  <c r="F322" i="60"/>
  <c r="E322" i="60"/>
  <c r="D322" i="60"/>
  <c r="C322" i="60"/>
  <c r="B322" i="60"/>
  <c r="V321" i="60"/>
  <c r="W321" i="60" s="1"/>
  <c r="K321" i="60"/>
  <c r="L321" i="60" s="1"/>
  <c r="V320" i="60"/>
  <c r="W320" i="60" s="1"/>
  <c r="K320" i="60"/>
  <c r="L320" i="60" s="1"/>
  <c r="V319" i="60"/>
  <c r="W319" i="60" s="1"/>
  <c r="K319" i="60"/>
  <c r="L319" i="60" s="1"/>
  <c r="V318" i="60"/>
  <c r="K318" i="60"/>
  <c r="L318" i="60" s="1"/>
  <c r="V317" i="60"/>
  <c r="W317" i="60" s="1"/>
  <c r="K317" i="60"/>
  <c r="L317" i="60" s="1"/>
  <c r="V316" i="60"/>
  <c r="W316" i="60" s="1"/>
  <c r="K316" i="60"/>
  <c r="U315" i="60"/>
  <c r="T315" i="60"/>
  <c r="S315" i="60"/>
  <c r="R315" i="60"/>
  <c r="Q315" i="60"/>
  <c r="P315" i="60"/>
  <c r="O315" i="60"/>
  <c r="N315" i="60"/>
  <c r="M315" i="60"/>
  <c r="J315" i="60"/>
  <c r="I315" i="60"/>
  <c r="H315" i="60"/>
  <c r="G315" i="60"/>
  <c r="F315" i="60"/>
  <c r="E315" i="60"/>
  <c r="D315" i="60"/>
  <c r="C315" i="60"/>
  <c r="B315" i="60"/>
  <c r="V313" i="60"/>
  <c r="W313" i="60" s="1"/>
  <c r="K313" i="60"/>
  <c r="L313" i="60" s="1"/>
  <c r="V312" i="60"/>
  <c r="W312" i="60" s="1"/>
  <c r="K312" i="60"/>
  <c r="L312" i="60" s="1"/>
  <c r="V311" i="60"/>
  <c r="V310" i="60" s="1"/>
  <c r="K311" i="60"/>
  <c r="L311" i="60" s="1"/>
  <c r="U310" i="60"/>
  <c r="T310" i="60"/>
  <c r="S310" i="60"/>
  <c r="R310" i="60"/>
  <c r="Q310" i="60"/>
  <c r="P310" i="60"/>
  <c r="O310" i="60"/>
  <c r="N310" i="60"/>
  <c r="M310" i="60"/>
  <c r="J310" i="60"/>
  <c r="I310" i="60"/>
  <c r="H310" i="60"/>
  <c r="G310" i="60"/>
  <c r="F310" i="60"/>
  <c r="E310" i="60"/>
  <c r="D310" i="60"/>
  <c r="C310" i="60"/>
  <c r="B310" i="60"/>
  <c r="V308" i="60"/>
  <c r="W308" i="60" s="1"/>
  <c r="K308" i="60"/>
  <c r="L308" i="60" s="1"/>
  <c r="V307" i="60"/>
  <c r="W307" i="60" s="1"/>
  <c r="K307" i="60"/>
  <c r="L307" i="60" s="1"/>
  <c r="W306" i="60"/>
  <c r="V306" i="60"/>
  <c r="L306" i="60"/>
  <c r="K306" i="60"/>
  <c r="U303" i="60"/>
  <c r="T303" i="60"/>
  <c r="S303" i="60"/>
  <c r="R303" i="60"/>
  <c r="Q303" i="60"/>
  <c r="P303" i="60"/>
  <c r="O303" i="60"/>
  <c r="N303" i="60"/>
  <c r="M303" i="60"/>
  <c r="J303" i="60"/>
  <c r="I303" i="60"/>
  <c r="H303" i="60"/>
  <c r="G303" i="60"/>
  <c r="F303" i="60"/>
  <c r="E303" i="60"/>
  <c r="D303" i="60"/>
  <c r="C303" i="60"/>
  <c r="B303" i="60"/>
  <c r="B426" i="60" l="1"/>
  <c r="M392" i="60"/>
  <c r="U392" i="60"/>
  <c r="V373" i="60"/>
  <c r="M407" i="60"/>
  <c r="L793" i="60"/>
  <c r="S372" i="60"/>
  <c r="K373" i="60"/>
  <c r="M372" i="60"/>
  <c r="M579" i="60"/>
  <c r="Q31" i="84"/>
  <c r="R5" i="84" s="1"/>
  <c r="W514" i="60"/>
  <c r="W579" i="60" s="1"/>
  <c r="K426" i="60"/>
  <c r="V354" i="60"/>
  <c r="B372" i="60"/>
  <c r="M426" i="60"/>
  <c r="K444" i="60"/>
  <c r="L514" i="60"/>
  <c r="L579" i="60" s="1"/>
  <c r="V315" i="60"/>
  <c r="C372" i="60"/>
  <c r="V426" i="60"/>
  <c r="M444" i="60"/>
  <c r="K330" i="60"/>
  <c r="J372" i="60"/>
  <c r="T392" i="60"/>
  <c r="V385" i="60"/>
  <c r="V444" i="60"/>
  <c r="C392" i="60"/>
  <c r="Q329" i="60"/>
  <c r="R329" i="60"/>
  <c r="V366" i="60"/>
  <c r="W757" i="60"/>
  <c r="V303" i="60"/>
  <c r="J329" i="60"/>
  <c r="K348" i="60"/>
  <c r="K407" i="60"/>
  <c r="M757" i="60"/>
  <c r="K310" i="60"/>
  <c r="C329" i="60"/>
  <c r="K322" i="60"/>
  <c r="T329" i="60"/>
  <c r="U330" i="60"/>
  <c r="U372" i="60" s="1"/>
  <c r="V348" i="60"/>
  <c r="I372" i="60"/>
  <c r="N372" i="60"/>
  <c r="V360" i="60"/>
  <c r="G372" i="60"/>
  <c r="R392" i="60"/>
  <c r="G392" i="60"/>
  <c r="Q392" i="60"/>
  <c r="F329" i="60"/>
  <c r="G329" i="60"/>
  <c r="V336" i="60"/>
  <c r="K303" i="60"/>
  <c r="W318" i="60"/>
  <c r="W315" i="60" s="1"/>
  <c r="H329" i="60"/>
  <c r="K366" i="60"/>
  <c r="V378" i="60"/>
  <c r="V392" i="60" s="1"/>
  <c r="D392" i="60"/>
  <c r="I329" i="60"/>
  <c r="Q372" i="60"/>
  <c r="O372" i="60"/>
  <c r="O392" i="60"/>
  <c r="S329" i="60"/>
  <c r="P372" i="60"/>
  <c r="P392" i="60"/>
  <c r="L303" i="60"/>
  <c r="D329" i="60"/>
  <c r="M329" i="60"/>
  <c r="M394" i="60" s="1"/>
  <c r="U329" i="60"/>
  <c r="D372" i="60"/>
  <c r="K342" i="60"/>
  <c r="L354" i="60"/>
  <c r="K360" i="60"/>
  <c r="H372" i="60"/>
  <c r="R372" i="60"/>
  <c r="H392" i="60"/>
  <c r="H394" i="60" s="1"/>
  <c r="V407" i="60"/>
  <c r="B514" i="60"/>
  <c r="B579" i="60" s="1"/>
  <c r="M793" i="60"/>
  <c r="B793" i="60"/>
  <c r="O329" i="60"/>
  <c r="P329" i="60"/>
  <c r="K378" i="60"/>
  <c r="K315" i="60"/>
  <c r="T372" i="60"/>
  <c r="K354" i="60"/>
  <c r="K385" i="60"/>
  <c r="W303" i="60"/>
  <c r="E372" i="60"/>
  <c r="B329" i="60"/>
  <c r="L310" i="60"/>
  <c r="E329" i="60"/>
  <c r="N329" i="60"/>
  <c r="N394" i="60" s="1"/>
  <c r="L322" i="60"/>
  <c r="V342" i="60"/>
  <c r="F372" i="60"/>
  <c r="W360" i="60"/>
  <c r="B392" i="60"/>
  <c r="J392" i="60"/>
  <c r="I392" i="60"/>
  <c r="I394" i="60" s="1"/>
  <c r="S392" i="60"/>
  <c r="B444" i="60"/>
  <c r="B465" i="60" s="1"/>
  <c r="W793" i="60"/>
  <c r="V784" i="60"/>
  <c r="V793" i="60" s="1"/>
  <c r="K789" i="60"/>
  <c r="K793" i="60" s="1"/>
  <c r="W373" i="60"/>
  <c r="W330" i="60"/>
  <c r="L336" i="60"/>
  <c r="W354" i="60"/>
  <c r="L316" i="60"/>
  <c r="L315" i="60" s="1"/>
  <c r="W324" i="60"/>
  <c r="W322" i="60" s="1"/>
  <c r="L386" i="60"/>
  <c r="L385" i="60" s="1"/>
  <c r="V330" i="60"/>
  <c r="K336" i="60"/>
  <c r="W337" i="60"/>
  <c r="W336" i="60" s="1"/>
  <c r="L343" i="60"/>
  <c r="L342" i="60" s="1"/>
  <c r="L349" i="60"/>
  <c r="L348" i="60" s="1"/>
  <c r="L367" i="60"/>
  <c r="L366" i="60" s="1"/>
  <c r="L379" i="60"/>
  <c r="L378" i="60" s="1"/>
  <c r="W311" i="60"/>
  <c r="W310" i="60" s="1"/>
  <c r="L332" i="60"/>
  <c r="L330" i="60" s="1"/>
  <c r="W343" i="60"/>
  <c r="W342" i="60" s="1"/>
  <c r="W349" i="60"/>
  <c r="W348" i="60" s="1"/>
  <c r="L361" i="60"/>
  <c r="L360" i="60" s="1"/>
  <c r="W367" i="60"/>
  <c r="W366" i="60" s="1"/>
  <c r="L374" i="60"/>
  <c r="L373" i="60" s="1"/>
  <c r="W379" i="60"/>
  <c r="W378" i="60" s="1"/>
  <c r="W391" i="60"/>
  <c r="W385" i="60" s="1"/>
  <c r="W392" i="60" s="1"/>
  <c r="B394" i="60" l="1"/>
  <c r="V329" i="60"/>
  <c r="U394" i="60"/>
  <c r="K372" i="60"/>
  <c r="T394" i="60"/>
  <c r="K392" i="60"/>
  <c r="R394" i="60"/>
  <c r="K329" i="60"/>
  <c r="K394" i="60" s="1"/>
  <c r="R17" i="84"/>
  <c r="R21" i="84"/>
  <c r="R20" i="84"/>
  <c r="R6" i="84"/>
  <c r="R30" i="84"/>
  <c r="R12" i="84"/>
  <c r="R7" i="84"/>
  <c r="R15" i="84"/>
  <c r="R8" i="84"/>
  <c r="R11" i="84"/>
  <c r="R29" i="84"/>
  <c r="R24" i="84"/>
  <c r="R23" i="84"/>
  <c r="R27" i="84"/>
  <c r="R9" i="84"/>
  <c r="R25" i="84"/>
  <c r="R16" i="84"/>
  <c r="R19" i="84"/>
  <c r="R22" i="84"/>
  <c r="R10" i="84"/>
  <c r="R28" i="84"/>
  <c r="R26" i="84"/>
  <c r="R18" i="84"/>
  <c r="R14" i="84"/>
  <c r="R13" i="84"/>
  <c r="L329" i="60"/>
  <c r="D394" i="60"/>
  <c r="D397" i="60" s="1"/>
  <c r="F394" i="60"/>
  <c r="O394" i="60"/>
  <c r="Q394" i="60"/>
  <c r="E394" i="60"/>
  <c r="P394" i="60"/>
  <c r="G394" i="60"/>
  <c r="V372" i="60"/>
  <c r="S394" i="60"/>
  <c r="W329" i="60"/>
  <c r="J394" i="60"/>
  <c r="C394" i="60"/>
  <c r="W394" i="60"/>
  <c r="W396" i="60" s="1"/>
  <c r="V394" i="60"/>
  <c r="L392" i="60"/>
  <c r="L372" i="60"/>
  <c r="W372" i="60"/>
  <c r="R31" i="84" l="1"/>
  <c r="L394" i="60"/>
  <c r="B51" i="60" l="1"/>
  <c r="C51" i="60"/>
  <c r="D51" i="60"/>
  <c r="E51" i="60"/>
  <c r="F51" i="60"/>
  <c r="G51" i="60"/>
  <c r="H51" i="60"/>
  <c r="I51" i="60"/>
  <c r="J51" i="60"/>
  <c r="L51" i="60"/>
  <c r="M51" i="60"/>
  <c r="N51" i="60"/>
  <c r="O51" i="60"/>
  <c r="P51" i="60"/>
  <c r="Q51" i="60"/>
  <c r="R51" i="60"/>
  <c r="S51" i="60"/>
  <c r="T51" i="60"/>
  <c r="U51" i="60"/>
  <c r="W51" i="60"/>
  <c r="K52" i="60"/>
  <c r="K53" i="60"/>
  <c r="K54" i="60"/>
  <c r="K55" i="60"/>
  <c r="V55" i="60"/>
  <c r="K56" i="60"/>
  <c r="V56" i="60"/>
  <c r="K57" i="60"/>
  <c r="V57" i="60"/>
  <c r="K58" i="60"/>
  <c r="V58" i="60"/>
  <c r="K59" i="60"/>
  <c r="B60" i="60"/>
  <c r="C60" i="60"/>
  <c r="D60" i="60"/>
  <c r="E60" i="60"/>
  <c r="F60" i="60"/>
  <c r="G60" i="60"/>
  <c r="H60" i="60"/>
  <c r="I60" i="60"/>
  <c r="J60" i="60"/>
  <c r="L60" i="60"/>
  <c r="M60" i="60"/>
  <c r="N60" i="60"/>
  <c r="O60" i="60"/>
  <c r="P60" i="60"/>
  <c r="Q60" i="60"/>
  <c r="R60" i="60"/>
  <c r="S60" i="60"/>
  <c r="T60" i="60"/>
  <c r="U60" i="60"/>
  <c r="W60" i="60"/>
  <c r="K61" i="60"/>
  <c r="V61" i="60"/>
  <c r="V60" i="60" s="1"/>
  <c r="K62" i="60"/>
  <c r="K63" i="60"/>
  <c r="V63" i="60"/>
  <c r="K64" i="60"/>
  <c r="V64" i="60"/>
  <c r="K65" i="60"/>
  <c r="V65" i="60"/>
  <c r="B67" i="60"/>
  <c r="C67" i="60"/>
  <c r="D67" i="60"/>
  <c r="E67" i="60"/>
  <c r="F67" i="60"/>
  <c r="G67" i="60"/>
  <c r="H67" i="60"/>
  <c r="I67" i="60"/>
  <c r="J67" i="60"/>
  <c r="L67" i="60"/>
  <c r="M67" i="60"/>
  <c r="N67" i="60"/>
  <c r="O67" i="60"/>
  <c r="P67" i="60"/>
  <c r="Q67" i="60"/>
  <c r="R67" i="60"/>
  <c r="S67" i="60"/>
  <c r="T67" i="60"/>
  <c r="U67" i="60"/>
  <c r="W67" i="60"/>
  <c r="K68" i="60"/>
  <c r="V68" i="60"/>
  <c r="K69" i="60"/>
  <c r="V69" i="60"/>
  <c r="K70" i="60"/>
  <c r="V70" i="60"/>
  <c r="K71" i="60"/>
  <c r="K72" i="60"/>
  <c r="V72" i="60"/>
  <c r="K73" i="60"/>
  <c r="V73" i="60"/>
  <c r="B74" i="60"/>
  <c r="C74" i="60"/>
  <c r="D74" i="60"/>
  <c r="E74" i="60"/>
  <c r="F74" i="60"/>
  <c r="G74" i="60"/>
  <c r="H74" i="60"/>
  <c r="I74" i="60"/>
  <c r="J74" i="60"/>
  <c r="L74" i="60"/>
  <c r="M74" i="60"/>
  <c r="N74" i="60"/>
  <c r="O74" i="60"/>
  <c r="P74" i="60"/>
  <c r="Q74" i="60"/>
  <c r="R74" i="60"/>
  <c r="S74" i="60"/>
  <c r="T74" i="60"/>
  <c r="U74" i="60"/>
  <c r="W74" i="60"/>
  <c r="K75" i="60"/>
  <c r="V75" i="60"/>
  <c r="K76" i="60"/>
  <c r="V76" i="60"/>
  <c r="K77" i="60"/>
  <c r="V77" i="60"/>
  <c r="K78" i="60"/>
  <c r="V78" i="60"/>
  <c r="K79" i="60"/>
  <c r="V79" i="60"/>
  <c r="K80" i="60"/>
  <c r="B82" i="60"/>
  <c r="C82" i="60"/>
  <c r="D82" i="60"/>
  <c r="E82" i="60"/>
  <c r="F82" i="60"/>
  <c r="G82" i="60"/>
  <c r="H82" i="60"/>
  <c r="I82" i="60"/>
  <c r="J82" i="60"/>
  <c r="L82" i="60"/>
  <c r="M82" i="60"/>
  <c r="N82" i="60"/>
  <c r="O82" i="60"/>
  <c r="P82" i="60"/>
  <c r="Q82" i="60"/>
  <c r="R82" i="60"/>
  <c r="S82" i="60"/>
  <c r="T82" i="60"/>
  <c r="U82" i="60"/>
  <c r="W82" i="60"/>
  <c r="K83" i="60"/>
  <c r="V83" i="60"/>
  <c r="K84" i="60"/>
  <c r="V84" i="60"/>
  <c r="K85" i="60"/>
  <c r="V85" i="60"/>
  <c r="K86" i="60"/>
  <c r="V86" i="60"/>
  <c r="K87" i="60"/>
  <c r="V87" i="60"/>
  <c r="K88" i="60"/>
  <c r="V88" i="60"/>
  <c r="K89" i="60"/>
  <c r="V89" i="60"/>
  <c r="K90" i="60"/>
  <c r="V90" i="60"/>
  <c r="K91" i="60"/>
  <c r="V91" i="60"/>
  <c r="K92" i="60"/>
  <c r="V92" i="60"/>
  <c r="K93" i="60"/>
  <c r="V93" i="60"/>
  <c r="K94" i="60"/>
  <c r="V94" i="60"/>
  <c r="K95" i="60"/>
  <c r="V95" i="60"/>
  <c r="K96" i="60"/>
  <c r="V96" i="60"/>
  <c r="K97" i="60"/>
  <c r="V97" i="60"/>
  <c r="K98" i="60"/>
  <c r="V98" i="60"/>
  <c r="K99" i="60"/>
  <c r="V99" i="60"/>
  <c r="B101" i="60"/>
  <c r="C101" i="60"/>
  <c r="D101" i="60"/>
  <c r="E101" i="60"/>
  <c r="F101" i="60"/>
  <c r="G101" i="60"/>
  <c r="H101" i="60"/>
  <c r="I101" i="60"/>
  <c r="J101" i="60"/>
  <c r="L101" i="60"/>
  <c r="M101" i="60"/>
  <c r="N101" i="60"/>
  <c r="O101" i="60"/>
  <c r="P101" i="60"/>
  <c r="Q101" i="60"/>
  <c r="R101" i="60"/>
  <c r="S101" i="60"/>
  <c r="T101" i="60"/>
  <c r="U101" i="60"/>
  <c r="W101" i="60"/>
  <c r="K102" i="60"/>
  <c r="K101" i="60" s="1"/>
  <c r="V102" i="60"/>
  <c r="V101" i="60" s="1"/>
  <c r="B110" i="60"/>
  <c r="L110" i="60"/>
  <c r="K111" i="60"/>
  <c r="K110" i="60" s="1"/>
  <c r="B112" i="60"/>
  <c r="K112" i="60" s="1"/>
  <c r="L112" i="60"/>
  <c r="K113" i="60"/>
  <c r="K114" i="60"/>
  <c r="K115" i="60"/>
  <c r="K116" i="60"/>
  <c r="B117" i="60"/>
  <c r="K117" i="60" s="1"/>
  <c r="L117" i="60"/>
  <c r="K118" i="60"/>
  <c r="K119" i="60"/>
  <c r="K120" i="60"/>
  <c r="B121" i="60"/>
  <c r="K121" i="60" s="1"/>
  <c r="L121" i="60"/>
  <c r="K122" i="60"/>
  <c r="K123" i="60"/>
  <c r="J124" i="60"/>
  <c r="K124" i="60" s="1"/>
  <c r="L124" i="60"/>
  <c r="K136" i="60"/>
  <c r="L136" i="60"/>
  <c r="B146" i="60"/>
  <c r="C146" i="60"/>
  <c r="D146" i="60"/>
  <c r="E146" i="60"/>
  <c r="F146" i="60"/>
  <c r="G146" i="60"/>
  <c r="H146" i="60"/>
  <c r="I146" i="60"/>
  <c r="J146" i="60"/>
  <c r="L146" i="60"/>
  <c r="M146" i="60"/>
  <c r="N146" i="60"/>
  <c r="O146" i="60"/>
  <c r="P146" i="60"/>
  <c r="Q146" i="60"/>
  <c r="R146" i="60"/>
  <c r="S146" i="60"/>
  <c r="T146" i="60"/>
  <c r="U146" i="60"/>
  <c r="W146" i="60"/>
  <c r="K152" i="60"/>
  <c r="V152" i="60"/>
  <c r="K153" i="60"/>
  <c r="V153" i="60"/>
  <c r="K154" i="60"/>
  <c r="V154" i="60"/>
  <c r="B156" i="60"/>
  <c r="C156" i="60"/>
  <c r="D156" i="60"/>
  <c r="E156" i="60"/>
  <c r="F156" i="60"/>
  <c r="G156" i="60"/>
  <c r="H156" i="60"/>
  <c r="I156" i="60"/>
  <c r="J156" i="60"/>
  <c r="L156" i="60"/>
  <c r="M156" i="60"/>
  <c r="N156" i="60"/>
  <c r="O156" i="60"/>
  <c r="P156" i="60"/>
  <c r="Q156" i="60"/>
  <c r="R156" i="60"/>
  <c r="S156" i="60"/>
  <c r="T156" i="60"/>
  <c r="U156" i="60"/>
  <c r="W156" i="60"/>
  <c r="K157" i="60"/>
  <c r="V157" i="60"/>
  <c r="K158" i="60"/>
  <c r="V158" i="60"/>
  <c r="K159" i="60"/>
  <c r="V159" i="60"/>
  <c r="K160" i="60"/>
  <c r="V160" i="60"/>
  <c r="K161" i="60"/>
  <c r="V161" i="60"/>
  <c r="B164" i="60"/>
  <c r="C164" i="60"/>
  <c r="D164" i="60"/>
  <c r="E164" i="60"/>
  <c r="F164" i="60"/>
  <c r="G164" i="60"/>
  <c r="H164" i="60"/>
  <c r="I164" i="60"/>
  <c r="J164" i="60"/>
  <c r="L164" i="60"/>
  <c r="M164" i="60"/>
  <c r="N164" i="60"/>
  <c r="O164" i="60"/>
  <c r="P164" i="60"/>
  <c r="Q164" i="60"/>
  <c r="R164" i="60"/>
  <c r="S164" i="60"/>
  <c r="T164" i="60"/>
  <c r="U164" i="60"/>
  <c r="W164" i="60"/>
  <c r="K165" i="60"/>
  <c r="V165" i="60"/>
  <c r="K166" i="60"/>
  <c r="V166" i="60"/>
  <c r="K167" i="60"/>
  <c r="V167" i="60"/>
  <c r="K168" i="60"/>
  <c r="V168" i="60"/>
  <c r="K169" i="60"/>
  <c r="V169" i="60"/>
  <c r="K170" i="60"/>
  <c r="V170" i="60"/>
  <c r="B172" i="60"/>
  <c r="C172" i="60"/>
  <c r="D172" i="60"/>
  <c r="E172" i="60"/>
  <c r="F172" i="60"/>
  <c r="G172" i="60"/>
  <c r="H172" i="60"/>
  <c r="I172" i="60"/>
  <c r="J172" i="60"/>
  <c r="L172" i="60"/>
  <c r="M172" i="60"/>
  <c r="N172" i="60"/>
  <c r="O172" i="60"/>
  <c r="P172" i="60"/>
  <c r="Q172" i="60"/>
  <c r="R172" i="60"/>
  <c r="S172" i="60"/>
  <c r="T172" i="60"/>
  <c r="U172" i="60"/>
  <c r="W172" i="60"/>
  <c r="K173" i="60"/>
  <c r="V173" i="60"/>
  <c r="K174" i="60"/>
  <c r="V174" i="60"/>
  <c r="K175" i="60"/>
  <c r="V175" i="60"/>
  <c r="K176" i="60"/>
  <c r="V176" i="60"/>
  <c r="K177" i="60"/>
  <c r="V177" i="60"/>
  <c r="B180" i="60"/>
  <c r="C180" i="60"/>
  <c r="D180" i="60"/>
  <c r="E180" i="60"/>
  <c r="F180" i="60"/>
  <c r="G180" i="60"/>
  <c r="H180" i="60"/>
  <c r="I180" i="60"/>
  <c r="J180" i="60"/>
  <c r="L180" i="60"/>
  <c r="M180" i="60"/>
  <c r="N180" i="60"/>
  <c r="O180" i="60"/>
  <c r="P180" i="60"/>
  <c r="Q180" i="60"/>
  <c r="R180" i="60"/>
  <c r="S180" i="60"/>
  <c r="T180" i="60"/>
  <c r="U180" i="60"/>
  <c r="W180" i="60"/>
  <c r="K181" i="60"/>
  <c r="V181" i="60"/>
  <c r="K182" i="60"/>
  <c r="V182" i="60"/>
  <c r="K183" i="60"/>
  <c r="V183" i="60"/>
  <c r="K184" i="60"/>
  <c r="V184" i="60"/>
  <c r="K185" i="60"/>
  <c r="V185" i="60"/>
  <c r="K186" i="60"/>
  <c r="V186" i="60"/>
  <c r="K187" i="60"/>
  <c r="V187" i="60"/>
  <c r="K188" i="60"/>
  <c r="V188" i="60"/>
  <c r="K189" i="60"/>
  <c r="V189" i="60"/>
  <c r="K190" i="60"/>
  <c r="V190" i="60"/>
  <c r="K191" i="60"/>
  <c r="V191" i="60"/>
  <c r="K192" i="60"/>
  <c r="V192" i="60"/>
  <c r="K193" i="60"/>
  <c r="V193" i="60"/>
  <c r="K194" i="60"/>
  <c r="V194" i="60"/>
  <c r="K195" i="60"/>
  <c r="V195" i="60"/>
  <c r="K196" i="60"/>
  <c r="V196" i="60"/>
  <c r="K197" i="60"/>
  <c r="V197" i="60"/>
  <c r="K198" i="60"/>
  <c r="V198" i="60"/>
  <c r="K199" i="60"/>
  <c r="V199" i="60"/>
  <c r="K200" i="60"/>
  <c r="V200" i="60"/>
  <c r="K201" i="60"/>
  <c r="V201" i="60"/>
  <c r="K202" i="60"/>
  <c r="V202" i="60"/>
  <c r="K203" i="60"/>
  <c r="V203" i="60"/>
  <c r="K204" i="60"/>
  <c r="V204" i="60"/>
  <c r="K205" i="60"/>
  <c r="V205" i="60"/>
  <c r="K206" i="60"/>
  <c r="V206" i="60"/>
  <c r="K207" i="60"/>
  <c r="V207" i="60"/>
  <c r="K208" i="60"/>
  <c r="V208" i="60"/>
  <c r="K209" i="60"/>
  <c r="V209" i="60"/>
  <c r="K210" i="60"/>
  <c r="V210" i="60"/>
  <c r="K211" i="60"/>
  <c r="V211" i="60"/>
  <c r="K212" i="60"/>
  <c r="V212" i="60"/>
  <c r="K213" i="60"/>
  <c r="V213" i="60"/>
  <c r="B215" i="60"/>
  <c r="C215" i="60"/>
  <c r="D215" i="60"/>
  <c r="E215" i="60"/>
  <c r="F215" i="60"/>
  <c r="G215" i="60"/>
  <c r="H215" i="60"/>
  <c r="I215" i="60"/>
  <c r="J215" i="60"/>
  <c r="L215" i="60"/>
  <c r="M215" i="60"/>
  <c r="N215" i="60"/>
  <c r="O215" i="60"/>
  <c r="P215" i="60"/>
  <c r="Q215" i="60"/>
  <c r="R215" i="60"/>
  <c r="S215" i="60"/>
  <c r="T215" i="60"/>
  <c r="U215" i="60"/>
  <c r="W215" i="60"/>
  <c r="K216" i="60"/>
  <c r="V216" i="60"/>
  <c r="K217" i="60"/>
  <c r="V217" i="60"/>
  <c r="K218" i="60"/>
  <c r="V218" i="60"/>
  <c r="K219" i="60"/>
  <c r="V219" i="60"/>
  <c r="K220" i="60"/>
  <c r="V220" i="60"/>
  <c r="K221" i="60"/>
  <c r="V221" i="60"/>
  <c r="K222" i="60"/>
  <c r="V222" i="60"/>
  <c r="K223" i="60"/>
  <c r="V223" i="60"/>
  <c r="B225" i="60"/>
  <c r="C225" i="60"/>
  <c r="D225" i="60"/>
  <c r="E225" i="60"/>
  <c r="F225" i="60"/>
  <c r="G225" i="60"/>
  <c r="H225" i="60"/>
  <c r="I225" i="60"/>
  <c r="J225" i="60"/>
  <c r="L225" i="60"/>
  <c r="M225" i="60"/>
  <c r="N225" i="60"/>
  <c r="O225" i="60"/>
  <c r="O228" i="60" s="1"/>
  <c r="P225" i="60"/>
  <c r="Q225" i="60"/>
  <c r="R225" i="60"/>
  <c r="S225" i="60"/>
  <c r="T225" i="60"/>
  <c r="U225" i="60"/>
  <c r="W225" i="60"/>
  <c r="K226" i="60"/>
  <c r="K225" i="60" s="1"/>
  <c r="V226" i="60"/>
  <c r="V225" i="60" s="1"/>
  <c r="D228" i="60"/>
  <c r="B235" i="60"/>
  <c r="L235" i="60"/>
  <c r="M235" i="60"/>
  <c r="W235" i="60"/>
  <c r="K239" i="60"/>
  <c r="K235" i="60" s="1"/>
  <c r="V239" i="60"/>
  <c r="K240" i="60"/>
  <c r="V240" i="60"/>
  <c r="B243" i="60"/>
  <c r="L243" i="60"/>
  <c r="M243" i="60"/>
  <c r="W243" i="60"/>
  <c r="K244" i="60"/>
  <c r="V244" i="60"/>
  <c r="K245" i="60"/>
  <c r="V245" i="60"/>
  <c r="K246" i="60"/>
  <c r="V246" i="60"/>
  <c r="K247" i="60"/>
  <c r="V247" i="60"/>
  <c r="B249" i="60"/>
  <c r="L249" i="60"/>
  <c r="M249" i="60"/>
  <c r="W249" i="60"/>
  <c r="K250" i="60"/>
  <c r="V250" i="60"/>
  <c r="K251" i="60"/>
  <c r="V251" i="60"/>
  <c r="K252" i="60"/>
  <c r="V252" i="60"/>
  <c r="K253" i="60"/>
  <c r="V253" i="60"/>
  <c r="K254" i="60"/>
  <c r="V254" i="60"/>
  <c r="B256" i="60"/>
  <c r="L256" i="60"/>
  <c r="M256" i="60"/>
  <c r="W256" i="60"/>
  <c r="K257" i="60"/>
  <c r="V257" i="60"/>
  <c r="K258" i="60"/>
  <c r="V258" i="60"/>
  <c r="K259" i="60"/>
  <c r="V259" i="60"/>
  <c r="K260" i="60"/>
  <c r="V260" i="60"/>
  <c r="B262" i="60"/>
  <c r="J262" i="60"/>
  <c r="L262" i="60"/>
  <c r="M262" i="60"/>
  <c r="U262" i="60"/>
  <c r="W262" i="60"/>
  <c r="K263" i="60"/>
  <c r="V263" i="60"/>
  <c r="K264" i="60"/>
  <c r="V264" i="60"/>
  <c r="K265" i="60"/>
  <c r="V265" i="60"/>
  <c r="K266" i="60"/>
  <c r="V266" i="60"/>
  <c r="K267" i="60"/>
  <c r="V267" i="60"/>
  <c r="K268" i="60"/>
  <c r="V268" i="60"/>
  <c r="K269" i="60"/>
  <c r="V269" i="60"/>
  <c r="K270" i="60"/>
  <c r="V270" i="60"/>
  <c r="K271" i="60"/>
  <c r="V271" i="60"/>
  <c r="K272" i="60"/>
  <c r="V272" i="60"/>
  <c r="K273" i="60"/>
  <c r="V273" i="60"/>
  <c r="K274" i="60"/>
  <c r="V274" i="60"/>
  <c r="K275" i="60"/>
  <c r="V275" i="60"/>
  <c r="K276" i="60"/>
  <c r="V276" i="60"/>
  <c r="K277" i="60"/>
  <c r="V277" i="60"/>
  <c r="K278" i="60"/>
  <c r="V278" i="60"/>
  <c r="K279" i="60"/>
  <c r="V279" i="60"/>
  <c r="K280" i="60"/>
  <c r="V280" i="60"/>
  <c r="K281" i="60"/>
  <c r="V281" i="60"/>
  <c r="K282" i="60"/>
  <c r="V282" i="60"/>
  <c r="K283" i="60"/>
  <c r="V283" i="60"/>
  <c r="K284" i="60"/>
  <c r="V284" i="60"/>
  <c r="K285" i="60"/>
  <c r="V285" i="60"/>
  <c r="K286" i="60"/>
  <c r="V286" i="60"/>
  <c r="B288" i="60"/>
  <c r="J288" i="60"/>
  <c r="K288" i="60"/>
  <c r="L288" i="60"/>
  <c r="M288" i="60"/>
  <c r="U288" i="60"/>
  <c r="W288" i="60"/>
  <c r="K289" i="60"/>
  <c r="V289" i="60"/>
  <c r="V288" i="60" s="1"/>
  <c r="C294" i="60"/>
  <c r="D294" i="60"/>
  <c r="E294" i="60"/>
  <c r="F294" i="60"/>
  <c r="G294" i="60"/>
  <c r="H294" i="60"/>
  <c r="I294" i="60"/>
  <c r="N294" i="60"/>
  <c r="O294" i="60"/>
  <c r="P294" i="60"/>
  <c r="Q294" i="60"/>
  <c r="R294" i="60"/>
  <c r="S294" i="60"/>
  <c r="T294" i="60"/>
  <c r="B290" i="45"/>
  <c r="E290" i="45"/>
  <c r="F290" i="45"/>
  <c r="G290" i="45"/>
  <c r="H290" i="45"/>
  <c r="I290" i="45"/>
  <c r="J290" i="45"/>
  <c r="L290" i="45"/>
  <c r="M290" i="45"/>
  <c r="Q290" i="45"/>
  <c r="T290" i="45"/>
  <c r="U290" i="45"/>
  <c r="V290" i="45"/>
  <c r="W290" i="45"/>
  <c r="X290" i="45"/>
  <c r="Y290" i="45"/>
  <c r="AA290" i="45"/>
  <c r="AB290" i="45"/>
  <c r="C294" i="45"/>
  <c r="D294" i="45"/>
  <c r="N294" i="45"/>
  <c r="R294" i="45"/>
  <c r="S294" i="45"/>
  <c r="AC294" i="45"/>
  <c r="AH294" i="45"/>
  <c r="C295" i="45"/>
  <c r="D295" i="45"/>
  <c r="N295" i="45"/>
  <c r="R295" i="45"/>
  <c r="S295" i="45"/>
  <c r="AC295" i="45"/>
  <c r="AH295" i="45"/>
  <c r="C296" i="45"/>
  <c r="D296" i="45"/>
  <c r="N296" i="45"/>
  <c r="R296" i="45"/>
  <c r="S296" i="45"/>
  <c r="AC296" i="45"/>
  <c r="AH296" i="45"/>
  <c r="B297" i="45"/>
  <c r="E297" i="45"/>
  <c r="F297" i="45"/>
  <c r="G297" i="45"/>
  <c r="H297" i="45"/>
  <c r="I297" i="45"/>
  <c r="J297" i="45"/>
  <c r="L297" i="45"/>
  <c r="M297" i="45"/>
  <c r="Q297" i="45"/>
  <c r="T297" i="45"/>
  <c r="U297" i="45"/>
  <c r="V297" i="45"/>
  <c r="W297" i="45"/>
  <c r="X297" i="45"/>
  <c r="Y297" i="45"/>
  <c r="AA297" i="45"/>
  <c r="AB297" i="45"/>
  <c r="C298" i="45"/>
  <c r="D298" i="45"/>
  <c r="N298" i="45"/>
  <c r="R298" i="45"/>
  <c r="S298" i="45"/>
  <c r="AC298" i="45"/>
  <c r="AH298" i="45"/>
  <c r="AH297" i="45" s="1"/>
  <c r="C299" i="45"/>
  <c r="D299" i="45"/>
  <c r="K299" i="45" s="1"/>
  <c r="N299" i="45"/>
  <c r="R299" i="45"/>
  <c r="S299" i="45"/>
  <c r="AC299" i="45"/>
  <c r="AH299" i="45"/>
  <c r="C300" i="45"/>
  <c r="D300" i="45"/>
  <c r="N300" i="45"/>
  <c r="R300" i="45"/>
  <c r="S300" i="45"/>
  <c r="AC300" i="45"/>
  <c r="AH300" i="45"/>
  <c r="B301" i="45"/>
  <c r="E301" i="45"/>
  <c r="F301" i="45"/>
  <c r="G301" i="45"/>
  <c r="H301" i="45"/>
  <c r="I301" i="45"/>
  <c r="J301" i="45"/>
  <c r="L301" i="45"/>
  <c r="M301" i="45"/>
  <c r="Q301" i="45"/>
  <c r="T301" i="45"/>
  <c r="U301" i="45"/>
  <c r="V301" i="45"/>
  <c r="W301" i="45"/>
  <c r="X301" i="45"/>
  <c r="Y301" i="45"/>
  <c r="AA301" i="45"/>
  <c r="AB301" i="45"/>
  <c r="C302" i="45"/>
  <c r="D302" i="45"/>
  <c r="N302" i="45"/>
  <c r="R302" i="45"/>
  <c r="S302" i="45"/>
  <c r="AC302" i="45"/>
  <c r="AH302" i="45"/>
  <c r="C303" i="45"/>
  <c r="D303" i="45"/>
  <c r="N303" i="45"/>
  <c r="R303" i="45"/>
  <c r="Z303" i="45" s="1"/>
  <c r="AC303" i="45"/>
  <c r="AH303" i="45"/>
  <c r="C304" i="45"/>
  <c r="D304" i="45"/>
  <c r="N304" i="45"/>
  <c r="R304" i="45"/>
  <c r="S304" i="45"/>
  <c r="AC304" i="45"/>
  <c r="AH304" i="45"/>
  <c r="C305" i="45"/>
  <c r="D305" i="45"/>
  <c r="N305" i="45"/>
  <c r="R305" i="45"/>
  <c r="S305" i="45"/>
  <c r="AC305" i="45"/>
  <c r="AH305" i="45"/>
  <c r="C306" i="45"/>
  <c r="D306" i="45"/>
  <c r="N306" i="45"/>
  <c r="R306" i="45"/>
  <c r="S306" i="45"/>
  <c r="AC306" i="45"/>
  <c r="AH306" i="45"/>
  <c r="C307" i="45"/>
  <c r="D307" i="45"/>
  <c r="N307" i="45"/>
  <c r="R307" i="45"/>
  <c r="S307" i="45"/>
  <c r="AC307" i="45"/>
  <c r="AH307" i="45"/>
  <c r="B308" i="45"/>
  <c r="E308" i="45"/>
  <c r="F308" i="45"/>
  <c r="G308" i="45"/>
  <c r="H308" i="45"/>
  <c r="I308" i="45"/>
  <c r="J308" i="45"/>
  <c r="L308" i="45"/>
  <c r="M308" i="45"/>
  <c r="Q308" i="45"/>
  <c r="T308" i="45"/>
  <c r="T315" i="45" s="1"/>
  <c r="U308" i="45"/>
  <c r="V308" i="45"/>
  <c r="W308" i="45"/>
  <c r="X308" i="45"/>
  <c r="Y308" i="45"/>
  <c r="AA308" i="45"/>
  <c r="AB308" i="45"/>
  <c r="N309" i="45"/>
  <c r="AC309" i="45"/>
  <c r="AF309" i="45"/>
  <c r="AG309" i="45"/>
  <c r="AH309" i="45"/>
  <c r="AI309" i="45"/>
  <c r="C310" i="45"/>
  <c r="D310" i="45"/>
  <c r="N310" i="45"/>
  <c r="R310" i="45"/>
  <c r="S310" i="45"/>
  <c r="AC310" i="45"/>
  <c r="AH310" i="45"/>
  <c r="C311" i="45"/>
  <c r="D311" i="45"/>
  <c r="N311" i="45"/>
  <c r="R311" i="45"/>
  <c r="S311" i="45"/>
  <c r="AC311" i="45"/>
  <c r="AH311" i="45"/>
  <c r="C312" i="45"/>
  <c r="D312" i="45"/>
  <c r="N312" i="45"/>
  <c r="R312" i="45"/>
  <c r="S312" i="45"/>
  <c r="AC312" i="45"/>
  <c r="AH312" i="45"/>
  <c r="N313" i="45"/>
  <c r="AC313" i="45"/>
  <c r="AF313" i="45"/>
  <c r="AG313" i="45"/>
  <c r="AH313" i="45"/>
  <c r="AI313" i="45"/>
  <c r="N314" i="45"/>
  <c r="AC314" i="45"/>
  <c r="AF314" i="45"/>
  <c r="AG314" i="45"/>
  <c r="AH314" i="45"/>
  <c r="AI314" i="45"/>
  <c r="B316" i="45"/>
  <c r="D316" i="45"/>
  <c r="E316" i="45"/>
  <c r="F316" i="45"/>
  <c r="G316" i="45"/>
  <c r="H316" i="45"/>
  <c r="I316" i="45"/>
  <c r="J316" i="45"/>
  <c r="L316" i="45"/>
  <c r="M316" i="45"/>
  <c r="Q316" i="45"/>
  <c r="S316" i="45"/>
  <c r="T316" i="45"/>
  <c r="U316" i="45"/>
  <c r="V316" i="45"/>
  <c r="W316" i="45"/>
  <c r="X316" i="45"/>
  <c r="Y316" i="45"/>
  <c r="AA316" i="45"/>
  <c r="AB316" i="45"/>
  <c r="C317" i="45"/>
  <c r="N317" i="45"/>
  <c r="R317" i="45"/>
  <c r="Z317" i="45" s="1"/>
  <c r="AC317" i="45"/>
  <c r="AH317" i="45"/>
  <c r="K318" i="45"/>
  <c r="N318" i="45"/>
  <c r="Z318" i="45"/>
  <c r="AC318" i="45"/>
  <c r="AH318" i="45"/>
  <c r="C319" i="45"/>
  <c r="K319" i="45" s="1"/>
  <c r="N319" i="45"/>
  <c r="R319" i="45"/>
  <c r="Z319" i="45" s="1"/>
  <c r="AC319" i="45"/>
  <c r="AH319" i="45"/>
  <c r="C320" i="45"/>
  <c r="K320" i="45" s="1"/>
  <c r="N320" i="45"/>
  <c r="R320" i="45"/>
  <c r="Z320" i="45" s="1"/>
  <c r="AC320" i="45"/>
  <c r="AH320" i="45"/>
  <c r="K321" i="45"/>
  <c r="N321" i="45"/>
  <c r="Z321" i="45"/>
  <c r="AC321" i="45"/>
  <c r="B322" i="45"/>
  <c r="C322" i="45"/>
  <c r="D322" i="45"/>
  <c r="E322" i="45"/>
  <c r="F322" i="45"/>
  <c r="G322" i="45"/>
  <c r="H322" i="45"/>
  <c r="I322" i="45"/>
  <c r="J322" i="45"/>
  <c r="L322" i="45"/>
  <c r="M322" i="45"/>
  <c r="Q322" i="45"/>
  <c r="R322" i="45"/>
  <c r="S322" i="45"/>
  <c r="T322" i="45"/>
  <c r="U322" i="45"/>
  <c r="V322" i="45"/>
  <c r="W322" i="45"/>
  <c r="X322" i="45"/>
  <c r="Y322" i="45"/>
  <c r="AA322" i="45"/>
  <c r="AB322" i="45"/>
  <c r="K323" i="45"/>
  <c r="N323" i="45"/>
  <c r="Z323" i="45"/>
  <c r="AC323" i="45"/>
  <c r="AD323" i="45" s="1"/>
  <c r="AE323" i="45" s="1"/>
  <c r="AH323" i="45"/>
  <c r="K324" i="45"/>
  <c r="AF324" i="45" s="1"/>
  <c r="N324" i="45"/>
  <c r="O324" i="45" s="1"/>
  <c r="P324" i="45" s="1"/>
  <c r="Z324" i="45"/>
  <c r="AC324" i="45"/>
  <c r="AD324" i="45" s="1"/>
  <c r="AE324" i="45" s="1"/>
  <c r="AI324" i="45" s="1"/>
  <c r="AH324" i="45"/>
  <c r="K325" i="45"/>
  <c r="N325" i="45"/>
  <c r="O325" i="45" s="1"/>
  <c r="P325" i="45" s="1"/>
  <c r="Z325" i="45"/>
  <c r="AC325" i="45"/>
  <c r="AH325" i="45"/>
  <c r="K326" i="45"/>
  <c r="N326" i="45"/>
  <c r="Z326" i="45"/>
  <c r="AC326" i="45"/>
  <c r="AH326" i="45"/>
  <c r="K327" i="45"/>
  <c r="N327" i="45"/>
  <c r="Z327" i="45"/>
  <c r="AC327" i="45"/>
  <c r="B328" i="45"/>
  <c r="C328" i="45"/>
  <c r="D328" i="45"/>
  <c r="E328" i="45"/>
  <c r="F328" i="45"/>
  <c r="G328" i="45"/>
  <c r="H328" i="45"/>
  <c r="I328" i="45"/>
  <c r="J328" i="45"/>
  <c r="L328" i="45"/>
  <c r="M328" i="45"/>
  <c r="Q328" i="45"/>
  <c r="R328" i="45"/>
  <c r="S328" i="45"/>
  <c r="T328" i="45"/>
  <c r="U328" i="45"/>
  <c r="V328" i="45"/>
  <c r="W328" i="45"/>
  <c r="X328" i="45"/>
  <c r="Y328" i="45"/>
  <c r="AA328" i="45"/>
  <c r="AB328" i="45"/>
  <c r="K329" i="45"/>
  <c r="N329" i="45"/>
  <c r="Z329" i="45"/>
  <c r="AC329" i="45"/>
  <c r="AH329" i="45"/>
  <c r="K330" i="45"/>
  <c r="Z330" i="45"/>
  <c r="AD330" i="45" s="1"/>
  <c r="AE330" i="45" s="1"/>
  <c r="AI330" i="45" s="1"/>
  <c r="AH330" i="45"/>
  <c r="K331" i="45"/>
  <c r="N331" i="45"/>
  <c r="Z331" i="45"/>
  <c r="AC331" i="45"/>
  <c r="AH331" i="45"/>
  <c r="K332" i="45"/>
  <c r="N332" i="45"/>
  <c r="Z332" i="45"/>
  <c r="AC332" i="45"/>
  <c r="AH332" i="45"/>
  <c r="K333" i="45"/>
  <c r="N333" i="45"/>
  <c r="Z333" i="45"/>
  <c r="AC333" i="45"/>
  <c r="AH333" i="45"/>
  <c r="B334" i="45"/>
  <c r="C334" i="45"/>
  <c r="D334" i="45"/>
  <c r="E334" i="45"/>
  <c r="F334" i="45"/>
  <c r="G334" i="45"/>
  <c r="H334" i="45"/>
  <c r="I334" i="45"/>
  <c r="J334" i="45"/>
  <c r="L334" i="45"/>
  <c r="M334" i="45"/>
  <c r="Q334" i="45"/>
  <c r="R334" i="45"/>
  <c r="S334" i="45"/>
  <c r="T334" i="45"/>
  <c r="U334" i="45"/>
  <c r="V334" i="45"/>
  <c r="W334" i="45"/>
  <c r="X334" i="45"/>
  <c r="Y334" i="45"/>
  <c r="AA334" i="45"/>
  <c r="AB334" i="45"/>
  <c r="K335" i="45"/>
  <c r="N335" i="45"/>
  <c r="Z335" i="45"/>
  <c r="AC335" i="45"/>
  <c r="AH335" i="45"/>
  <c r="K336" i="45"/>
  <c r="N336" i="45"/>
  <c r="Z336" i="45"/>
  <c r="AC336" i="45"/>
  <c r="AH336" i="45"/>
  <c r="K337" i="45"/>
  <c r="N337" i="45"/>
  <c r="Z337" i="45"/>
  <c r="AC337" i="45"/>
  <c r="AH337" i="45"/>
  <c r="K338" i="45"/>
  <c r="N338" i="45"/>
  <c r="Z338" i="45"/>
  <c r="AD338" i="45" s="1"/>
  <c r="AE338" i="45" s="1"/>
  <c r="AI338" i="45" s="1"/>
  <c r="AC338" i="45"/>
  <c r="AH338" i="45"/>
  <c r="K339" i="45"/>
  <c r="N339" i="45"/>
  <c r="Z339" i="45"/>
  <c r="AC339" i="45"/>
  <c r="AH339" i="45"/>
  <c r="B340" i="45"/>
  <c r="C340" i="45"/>
  <c r="D340" i="45"/>
  <c r="E340" i="45"/>
  <c r="F340" i="45"/>
  <c r="G340" i="45"/>
  <c r="H340" i="45"/>
  <c r="I340" i="45"/>
  <c r="J340" i="45"/>
  <c r="L340" i="45"/>
  <c r="M340" i="45"/>
  <c r="Q340" i="45"/>
  <c r="R340" i="45"/>
  <c r="S340" i="45"/>
  <c r="T340" i="45"/>
  <c r="U340" i="45"/>
  <c r="V340" i="45"/>
  <c r="W340" i="45"/>
  <c r="X340" i="45"/>
  <c r="Y340" i="45"/>
  <c r="AA340" i="45"/>
  <c r="AB340" i="45"/>
  <c r="K341" i="45"/>
  <c r="N341" i="45"/>
  <c r="Z341" i="45"/>
  <c r="AC341" i="45"/>
  <c r="AH341" i="45"/>
  <c r="K342" i="45"/>
  <c r="N342" i="45"/>
  <c r="Z342" i="45"/>
  <c r="AC342" i="45"/>
  <c r="AH342" i="45"/>
  <c r="K343" i="45"/>
  <c r="N343" i="45"/>
  <c r="Z343" i="45"/>
  <c r="AC343" i="45"/>
  <c r="AH343" i="45"/>
  <c r="K344" i="45"/>
  <c r="N344" i="45"/>
  <c r="Z344" i="45"/>
  <c r="AC344" i="45"/>
  <c r="AH344" i="45"/>
  <c r="K345" i="45"/>
  <c r="N345" i="45"/>
  <c r="Z345" i="45"/>
  <c r="AC345" i="45"/>
  <c r="AH345" i="45"/>
  <c r="B346" i="45"/>
  <c r="C346" i="45"/>
  <c r="D346" i="45"/>
  <c r="E346" i="45"/>
  <c r="F346" i="45"/>
  <c r="G346" i="45"/>
  <c r="H346" i="45"/>
  <c r="I346" i="45"/>
  <c r="J346" i="45"/>
  <c r="L346" i="45"/>
  <c r="M346" i="45"/>
  <c r="Q346" i="45"/>
  <c r="R346" i="45"/>
  <c r="S346" i="45"/>
  <c r="T346" i="45"/>
  <c r="U346" i="45"/>
  <c r="V346" i="45"/>
  <c r="W346" i="45"/>
  <c r="X346" i="45"/>
  <c r="Y346" i="45"/>
  <c r="AA346" i="45"/>
  <c r="AB346" i="45"/>
  <c r="K347" i="45"/>
  <c r="N347" i="45"/>
  <c r="Z347" i="45"/>
  <c r="AC347" i="45"/>
  <c r="AH347" i="45"/>
  <c r="K348" i="45"/>
  <c r="N348" i="45"/>
  <c r="Z348" i="45"/>
  <c r="AC348" i="45"/>
  <c r="AH348" i="45"/>
  <c r="K349" i="45"/>
  <c r="N349" i="45"/>
  <c r="Z349" i="45"/>
  <c r="AC349" i="45"/>
  <c r="AH349" i="45"/>
  <c r="K350" i="45"/>
  <c r="N350" i="45"/>
  <c r="Z350" i="45"/>
  <c r="AC350" i="45"/>
  <c r="AH350" i="45"/>
  <c r="K351" i="45"/>
  <c r="N351" i="45"/>
  <c r="Z351" i="45"/>
  <c r="AC351" i="45"/>
  <c r="AH351" i="45"/>
  <c r="B352" i="45"/>
  <c r="D352" i="45"/>
  <c r="E352" i="45"/>
  <c r="F352" i="45"/>
  <c r="G352" i="45"/>
  <c r="H352" i="45"/>
  <c r="I352" i="45"/>
  <c r="J352" i="45"/>
  <c r="L352" i="45"/>
  <c r="M352" i="45"/>
  <c r="Q352" i="45"/>
  <c r="S352" i="45"/>
  <c r="T352" i="45"/>
  <c r="U352" i="45"/>
  <c r="V352" i="45"/>
  <c r="W352" i="45"/>
  <c r="X352" i="45"/>
  <c r="Y352" i="45"/>
  <c r="AA352" i="45"/>
  <c r="AA358" i="45" s="1"/>
  <c r="AB352" i="45"/>
  <c r="C353" i="45"/>
  <c r="N353" i="45"/>
  <c r="R353" i="45"/>
  <c r="Z353" i="45" s="1"/>
  <c r="AC353" i="45"/>
  <c r="AH353" i="45"/>
  <c r="K354" i="45"/>
  <c r="N354" i="45"/>
  <c r="Z354" i="45"/>
  <c r="AC354" i="45"/>
  <c r="AH354" i="45"/>
  <c r="C355" i="45"/>
  <c r="K355" i="45" s="1"/>
  <c r="N355" i="45"/>
  <c r="R355" i="45"/>
  <c r="Z355" i="45" s="1"/>
  <c r="AC355" i="45"/>
  <c r="AH355" i="45"/>
  <c r="K356" i="45"/>
  <c r="N356" i="45"/>
  <c r="Z356" i="45"/>
  <c r="AC356" i="45"/>
  <c r="AH356" i="45"/>
  <c r="K357" i="45"/>
  <c r="N357" i="45"/>
  <c r="Z357" i="45"/>
  <c r="AC357" i="45"/>
  <c r="AH357" i="45"/>
  <c r="B359" i="45"/>
  <c r="C359" i="45"/>
  <c r="D359" i="45"/>
  <c r="E359" i="45"/>
  <c r="F359" i="45"/>
  <c r="G359" i="45"/>
  <c r="H359" i="45"/>
  <c r="I359" i="45"/>
  <c r="J359" i="45"/>
  <c r="L359" i="45"/>
  <c r="M359" i="45"/>
  <c r="Q359" i="45"/>
  <c r="R359" i="45"/>
  <c r="S359" i="45"/>
  <c r="T359" i="45"/>
  <c r="U359" i="45"/>
  <c r="V359" i="45"/>
  <c r="W359" i="45"/>
  <c r="X359" i="45"/>
  <c r="Y359" i="45"/>
  <c r="AA359" i="45"/>
  <c r="AB359" i="45"/>
  <c r="K360" i="45"/>
  <c r="N360" i="45"/>
  <c r="Z360" i="45"/>
  <c r="AF360" i="45" s="1"/>
  <c r="AC360" i="45"/>
  <c r="AH360" i="45"/>
  <c r="K361" i="45"/>
  <c r="N361" i="45"/>
  <c r="Z361" i="45"/>
  <c r="AC361" i="45"/>
  <c r="AH361" i="45"/>
  <c r="K362" i="45"/>
  <c r="N362" i="45"/>
  <c r="Z362" i="45"/>
  <c r="AC362" i="45"/>
  <c r="AH362" i="45"/>
  <c r="K363" i="45"/>
  <c r="AF363" i="45" s="1"/>
  <c r="N363" i="45"/>
  <c r="Z363" i="45"/>
  <c r="AC363" i="45"/>
  <c r="AH363" i="45"/>
  <c r="B364" i="45"/>
  <c r="C364" i="45"/>
  <c r="D364" i="45"/>
  <c r="E364" i="45"/>
  <c r="F364" i="45"/>
  <c r="G364" i="45"/>
  <c r="H364" i="45"/>
  <c r="I364" i="45"/>
  <c r="J364" i="45"/>
  <c r="L364" i="45"/>
  <c r="M364" i="45"/>
  <c r="Q364" i="45"/>
  <c r="R364" i="45"/>
  <c r="S364" i="45"/>
  <c r="T364" i="45"/>
  <c r="U364" i="45"/>
  <c r="V364" i="45"/>
  <c r="W364" i="45"/>
  <c r="X364" i="45"/>
  <c r="Y364" i="45"/>
  <c r="AA364" i="45"/>
  <c r="AB364" i="45"/>
  <c r="K365" i="45"/>
  <c r="N365" i="45"/>
  <c r="Z365" i="45"/>
  <c r="AC365" i="45"/>
  <c r="AH365" i="45"/>
  <c r="K366" i="45"/>
  <c r="N366" i="45"/>
  <c r="Z366" i="45"/>
  <c r="AC366" i="45"/>
  <c r="AH366" i="45"/>
  <c r="K367" i="45"/>
  <c r="N367" i="45"/>
  <c r="Z367" i="45"/>
  <c r="AC367" i="45"/>
  <c r="AH367" i="45"/>
  <c r="K368" i="45"/>
  <c r="N368" i="45"/>
  <c r="Z368" i="45"/>
  <c r="AC368" i="45"/>
  <c r="AH368" i="45"/>
  <c r="K369" i="45"/>
  <c r="N369" i="45"/>
  <c r="Z369" i="45"/>
  <c r="AC369" i="45"/>
  <c r="AH369" i="45"/>
  <c r="K370" i="45"/>
  <c r="N370" i="45"/>
  <c r="Z370" i="45"/>
  <c r="AC370" i="45"/>
  <c r="AH370" i="45"/>
  <c r="B371" i="45"/>
  <c r="C371" i="45"/>
  <c r="C378" i="45" s="1"/>
  <c r="D371" i="45"/>
  <c r="E371" i="45"/>
  <c r="F371" i="45"/>
  <c r="G371" i="45"/>
  <c r="H371" i="45"/>
  <c r="I371" i="45"/>
  <c r="J371" i="45"/>
  <c r="L371" i="45"/>
  <c r="M371" i="45"/>
  <c r="Q371" i="45"/>
  <c r="R371" i="45"/>
  <c r="S371" i="45"/>
  <c r="T371" i="45"/>
  <c r="U371" i="45"/>
  <c r="V371" i="45"/>
  <c r="W371" i="45"/>
  <c r="X371" i="45"/>
  <c r="Y371" i="45"/>
  <c r="AA371" i="45"/>
  <c r="AA378" i="45" s="1"/>
  <c r="AB371" i="45"/>
  <c r="K372" i="45"/>
  <c r="N372" i="45"/>
  <c r="Z372" i="45"/>
  <c r="AC372" i="45"/>
  <c r="AH372" i="45"/>
  <c r="K373" i="45"/>
  <c r="N373" i="45"/>
  <c r="Z373" i="45"/>
  <c r="AC373" i="45"/>
  <c r="AH373" i="45"/>
  <c r="K374" i="45"/>
  <c r="N374" i="45"/>
  <c r="Z374" i="45"/>
  <c r="AC374" i="45"/>
  <c r="AH374" i="45"/>
  <c r="K375" i="45"/>
  <c r="N375" i="45"/>
  <c r="Z375" i="45"/>
  <c r="AC375" i="45"/>
  <c r="AH375" i="45"/>
  <c r="K376" i="45"/>
  <c r="N376" i="45"/>
  <c r="Z376" i="45"/>
  <c r="AC376" i="45"/>
  <c r="AH376" i="45"/>
  <c r="K377" i="45"/>
  <c r="N377" i="45"/>
  <c r="Z377" i="45"/>
  <c r="AC377" i="45"/>
  <c r="Y378" i="45"/>
  <c r="K529" i="45"/>
  <c r="N529" i="45"/>
  <c r="Z529" i="45"/>
  <c r="AC529" i="45"/>
  <c r="K532" i="45"/>
  <c r="N532" i="45"/>
  <c r="Z532" i="45"/>
  <c r="AC532" i="45"/>
  <c r="B533" i="45"/>
  <c r="C533" i="45"/>
  <c r="D533" i="45"/>
  <c r="E533" i="45"/>
  <c r="F533" i="45"/>
  <c r="G533" i="45"/>
  <c r="H533" i="45"/>
  <c r="I533" i="45"/>
  <c r="J533" i="45"/>
  <c r="L533" i="45"/>
  <c r="M533" i="45"/>
  <c r="Q533" i="45"/>
  <c r="R533" i="45"/>
  <c r="S533" i="45"/>
  <c r="T533" i="45"/>
  <c r="U533" i="45"/>
  <c r="V533" i="45"/>
  <c r="W533" i="45"/>
  <c r="X533" i="45"/>
  <c r="Y533" i="45"/>
  <c r="AA533" i="45"/>
  <c r="AB533" i="45"/>
  <c r="AH533" i="45"/>
  <c r="AI533" i="45"/>
  <c r="K538" i="45"/>
  <c r="N538" i="45"/>
  <c r="Z538" i="45"/>
  <c r="AC538" i="45"/>
  <c r="K539" i="45"/>
  <c r="N539" i="45"/>
  <c r="Z539" i="45"/>
  <c r="AC539" i="45"/>
  <c r="K540" i="45"/>
  <c r="N540" i="45"/>
  <c r="Z540" i="45"/>
  <c r="AC540" i="45"/>
  <c r="B541" i="45"/>
  <c r="C541" i="45"/>
  <c r="E541" i="45"/>
  <c r="F541" i="45"/>
  <c r="G541" i="45"/>
  <c r="H541" i="45"/>
  <c r="I541" i="45"/>
  <c r="J541" i="45"/>
  <c r="L541" i="45"/>
  <c r="M541" i="45"/>
  <c r="Q541" i="45"/>
  <c r="R541" i="45"/>
  <c r="T541" i="45"/>
  <c r="U541" i="45"/>
  <c r="V541" i="45"/>
  <c r="W541" i="45"/>
  <c r="X541" i="45"/>
  <c r="Y541" i="45"/>
  <c r="AA541" i="45"/>
  <c r="AB541" i="45"/>
  <c r="AH541" i="45"/>
  <c r="AI541" i="45"/>
  <c r="K543" i="45"/>
  <c r="N543" i="45"/>
  <c r="Z543" i="45"/>
  <c r="AC543" i="45"/>
  <c r="K544" i="45"/>
  <c r="N544" i="45"/>
  <c r="Z544" i="45"/>
  <c r="AC544" i="45"/>
  <c r="K545" i="45"/>
  <c r="N545" i="45"/>
  <c r="Z545" i="45"/>
  <c r="AC545" i="45"/>
  <c r="K546" i="45"/>
  <c r="N546" i="45"/>
  <c r="Z546" i="45"/>
  <c r="AC546" i="45"/>
  <c r="K547" i="45"/>
  <c r="O547" i="45" s="1"/>
  <c r="P547" i="45" s="1"/>
  <c r="N547" i="45"/>
  <c r="Z547" i="45"/>
  <c r="AC547" i="45"/>
  <c r="K548" i="45"/>
  <c r="N548" i="45"/>
  <c r="Z548" i="45"/>
  <c r="AC548" i="45"/>
  <c r="B549" i="45"/>
  <c r="C549" i="45"/>
  <c r="D549" i="45"/>
  <c r="E549" i="45"/>
  <c r="F549" i="45"/>
  <c r="G549" i="45"/>
  <c r="H549" i="45"/>
  <c r="I549" i="45"/>
  <c r="J549" i="45"/>
  <c r="L549" i="45"/>
  <c r="M549" i="45"/>
  <c r="Q549" i="45"/>
  <c r="R549" i="45"/>
  <c r="S549" i="45"/>
  <c r="T549" i="45"/>
  <c r="U549" i="45"/>
  <c r="V549" i="45"/>
  <c r="W549" i="45"/>
  <c r="X549" i="45"/>
  <c r="Y549" i="45"/>
  <c r="AA549" i="45"/>
  <c r="AB549" i="45"/>
  <c r="AH549" i="45"/>
  <c r="AI549" i="45"/>
  <c r="K551" i="45"/>
  <c r="N551" i="45"/>
  <c r="Z551" i="45"/>
  <c r="AC551" i="45"/>
  <c r="K552" i="45"/>
  <c r="Z552" i="45"/>
  <c r="K553" i="45"/>
  <c r="N553" i="45"/>
  <c r="Z553" i="45"/>
  <c r="AC553" i="45"/>
  <c r="B557" i="45"/>
  <c r="C557" i="45"/>
  <c r="D557" i="45"/>
  <c r="E557" i="45"/>
  <c r="F557" i="45"/>
  <c r="G557" i="45"/>
  <c r="H557" i="45"/>
  <c r="I557" i="45"/>
  <c r="J557" i="45"/>
  <c r="L557" i="45"/>
  <c r="M557" i="45"/>
  <c r="Q557" i="45"/>
  <c r="R557" i="45"/>
  <c r="S557" i="45"/>
  <c r="T557" i="45"/>
  <c r="U557" i="45"/>
  <c r="V557" i="45"/>
  <c r="W557" i="45"/>
  <c r="X557" i="45"/>
  <c r="Y557" i="45"/>
  <c r="AA557" i="45"/>
  <c r="AB557" i="45"/>
  <c r="AH557" i="45"/>
  <c r="AI557" i="45"/>
  <c r="K565" i="45"/>
  <c r="N565" i="45"/>
  <c r="Z565" i="45"/>
  <c r="AC565" i="45"/>
  <c r="AC567" i="45" s="1"/>
  <c r="K566" i="45"/>
  <c r="O566" i="45" s="1"/>
  <c r="P566" i="45" s="1"/>
  <c r="N566" i="45"/>
  <c r="Z566" i="45"/>
  <c r="AC566" i="45"/>
  <c r="B567" i="45"/>
  <c r="C567" i="45"/>
  <c r="D567" i="45"/>
  <c r="E567" i="45"/>
  <c r="F567" i="45"/>
  <c r="G567" i="45"/>
  <c r="H567" i="45"/>
  <c r="I567" i="45"/>
  <c r="J567" i="45"/>
  <c r="L567" i="45"/>
  <c r="M567" i="45"/>
  <c r="Q567" i="45"/>
  <c r="R567" i="45"/>
  <c r="S567" i="45"/>
  <c r="T567" i="45"/>
  <c r="U567" i="45"/>
  <c r="V567" i="45"/>
  <c r="W567" i="45"/>
  <c r="X567" i="45"/>
  <c r="Y567" i="45"/>
  <c r="AA567" i="45"/>
  <c r="AB567" i="45"/>
  <c r="AH567" i="45"/>
  <c r="AI567" i="45"/>
  <c r="K569" i="45"/>
  <c r="N569" i="45"/>
  <c r="Z569" i="45"/>
  <c r="AC569" i="45"/>
  <c r="K570" i="45"/>
  <c r="N570" i="45"/>
  <c r="Z570" i="45"/>
  <c r="AC570" i="45"/>
  <c r="K571" i="45"/>
  <c r="N571" i="45"/>
  <c r="Z571" i="45"/>
  <c r="AC571" i="45"/>
  <c r="K572" i="45"/>
  <c r="N572" i="45"/>
  <c r="Z572" i="45"/>
  <c r="AC572" i="45"/>
  <c r="K573" i="45"/>
  <c r="N573" i="45"/>
  <c r="Z573" i="45"/>
  <c r="AC573" i="45"/>
  <c r="K574" i="45"/>
  <c r="N574" i="45"/>
  <c r="Z574" i="45"/>
  <c r="AC574" i="45"/>
  <c r="B575" i="45"/>
  <c r="C575" i="45"/>
  <c r="D575" i="45"/>
  <c r="E575" i="45"/>
  <c r="F575" i="45"/>
  <c r="G575" i="45"/>
  <c r="H575" i="45"/>
  <c r="I575" i="45"/>
  <c r="J575" i="45"/>
  <c r="L575" i="45"/>
  <c r="M575" i="45"/>
  <c r="Q575" i="45"/>
  <c r="R575" i="45"/>
  <c r="S575" i="45"/>
  <c r="T575" i="45"/>
  <c r="U575" i="45"/>
  <c r="V575" i="45"/>
  <c r="W575" i="45"/>
  <c r="X575" i="45"/>
  <c r="Y575" i="45"/>
  <c r="AA575" i="45"/>
  <c r="AB575" i="45"/>
  <c r="AH575" i="45"/>
  <c r="AI575" i="45"/>
  <c r="K578" i="45"/>
  <c r="N578" i="45"/>
  <c r="Z578" i="45"/>
  <c r="AC578" i="45"/>
  <c r="K579" i="45"/>
  <c r="N579" i="45"/>
  <c r="Z579" i="45"/>
  <c r="AC579" i="45"/>
  <c r="K580" i="45"/>
  <c r="N580" i="45"/>
  <c r="Z580" i="45"/>
  <c r="AC580" i="45"/>
  <c r="K581" i="45"/>
  <c r="Z581" i="45"/>
  <c r="K582" i="45"/>
  <c r="N582" i="45"/>
  <c r="Z582" i="45"/>
  <c r="AC582" i="45"/>
  <c r="B583" i="45"/>
  <c r="C583" i="45"/>
  <c r="D583" i="45"/>
  <c r="E583" i="45"/>
  <c r="F583" i="45"/>
  <c r="G583" i="45"/>
  <c r="H583" i="45"/>
  <c r="I583" i="45"/>
  <c r="J583" i="45"/>
  <c r="L583" i="45"/>
  <c r="M583" i="45"/>
  <c r="Q583" i="45"/>
  <c r="R583" i="45"/>
  <c r="S583" i="45"/>
  <c r="T583" i="45"/>
  <c r="U583" i="45"/>
  <c r="V583" i="45"/>
  <c r="W583" i="45"/>
  <c r="X583" i="45"/>
  <c r="Y583" i="45"/>
  <c r="AA583" i="45"/>
  <c r="AB583" i="45"/>
  <c r="AH583" i="45"/>
  <c r="AI583" i="45"/>
  <c r="K585" i="45"/>
  <c r="N585" i="45"/>
  <c r="Z585" i="45"/>
  <c r="AC585" i="45"/>
  <c r="K586" i="45"/>
  <c r="N586" i="45"/>
  <c r="Z586" i="45"/>
  <c r="AC586" i="45"/>
  <c r="K587" i="45"/>
  <c r="N587" i="45"/>
  <c r="Z587" i="45"/>
  <c r="AC587" i="45"/>
  <c r="K588" i="45"/>
  <c r="N588" i="45"/>
  <c r="Z588" i="45"/>
  <c r="AC588" i="45"/>
  <c r="K589" i="45"/>
  <c r="N589" i="45"/>
  <c r="Z589" i="45"/>
  <c r="AC589" i="45"/>
  <c r="K590" i="45"/>
  <c r="N590" i="45"/>
  <c r="Z590" i="45"/>
  <c r="AC590" i="45"/>
  <c r="K591" i="45"/>
  <c r="N591" i="45"/>
  <c r="Z591" i="45"/>
  <c r="AC591" i="45"/>
  <c r="K592" i="45"/>
  <c r="N592" i="45"/>
  <c r="Z592" i="45"/>
  <c r="AD592" i="45" s="1"/>
  <c r="AE592" i="45" s="1"/>
  <c r="AC592" i="45"/>
  <c r="K593" i="45"/>
  <c r="N593" i="45"/>
  <c r="O593" i="45" s="1"/>
  <c r="Z593" i="45"/>
  <c r="AC593" i="45"/>
  <c r="K594" i="45"/>
  <c r="N594" i="45"/>
  <c r="Z594" i="45"/>
  <c r="AC594" i="45"/>
  <c r="K595" i="45"/>
  <c r="N595" i="45"/>
  <c r="Z595" i="45"/>
  <c r="AC595" i="45"/>
  <c r="K596" i="45"/>
  <c r="N596" i="45"/>
  <c r="Z596" i="45"/>
  <c r="AC596" i="45"/>
  <c r="K597" i="45"/>
  <c r="Z597" i="45"/>
  <c r="K598" i="45"/>
  <c r="N598" i="45"/>
  <c r="Z598" i="45"/>
  <c r="AC598" i="45"/>
  <c r="K599" i="45"/>
  <c r="N599" i="45"/>
  <c r="Z599" i="45"/>
  <c r="AC599" i="45"/>
  <c r="K600" i="45"/>
  <c r="N600" i="45"/>
  <c r="Z600" i="45"/>
  <c r="AC600" i="45"/>
  <c r="K601" i="45"/>
  <c r="N601" i="45"/>
  <c r="Z601" i="45"/>
  <c r="AC601" i="45"/>
  <c r="K602" i="45"/>
  <c r="Z602" i="45"/>
  <c r="K603" i="45"/>
  <c r="Z603" i="45"/>
  <c r="K604" i="45"/>
  <c r="N604" i="45"/>
  <c r="Z604" i="45"/>
  <c r="AC604" i="45"/>
  <c r="K605" i="45"/>
  <c r="N605" i="45"/>
  <c r="Z605" i="45"/>
  <c r="AC605" i="45"/>
  <c r="K606" i="45"/>
  <c r="Z606" i="45"/>
  <c r="K607" i="45"/>
  <c r="Z607" i="45"/>
  <c r="K608" i="45"/>
  <c r="Z608" i="45"/>
  <c r="K609" i="45"/>
  <c r="Z609" i="45"/>
  <c r="K610" i="45"/>
  <c r="Z610" i="45"/>
  <c r="K611" i="45"/>
  <c r="Z611" i="45"/>
  <c r="K612" i="45"/>
  <c r="Z612" i="45"/>
  <c r="K613" i="45"/>
  <c r="N613" i="45"/>
  <c r="Z613" i="45"/>
  <c r="AC613" i="45"/>
  <c r="K614" i="45"/>
  <c r="Z614" i="45"/>
  <c r="AF614" i="45"/>
  <c r="AG614" i="45"/>
  <c r="K615" i="45"/>
  <c r="N615" i="45"/>
  <c r="Z615" i="45"/>
  <c r="AC615" i="45"/>
  <c r="K616" i="45"/>
  <c r="Z616" i="45"/>
  <c r="K617" i="45"/>
  <c r="Z617" i="45"/>
  <c r="K618" i="45"/>
  <c r="N618" i="45"/>
  <c r="Z618" i="45"/>
  <c r="AC618" i="45"/>
  <c r="K619" i="45"/>
  <c r="N619" i="45"/>
  <c r="Z619" i="45"/>
  <c r="AC619" i="45"/>
  <c r="K620" i="45"/>
  <c r="Z620" i="45"/>
  <c r="K621" i="45"/>
  <c r="Z621" i="45"/>
  <c r="K622" i="45"/>
  <c r="Z622" i="45"/>
  <c r="B623" i="45"/>
  <c r="C623" i="45"/>
  <c r="E623" i="45"/>
  <c r="F623" i="45"/>
  <c r="G623" i="45"/>
  <c r="H623" i="45"/>
  <c r="I623" i="45"/>
  <c r="J623" i="45"/>
  <c r="L623" i="45"/>
  <c r="M623" i="45"/>
  <c r="Q623" i="45"/>
  <c r="R623" i="45"/>
  <c r="T623" i="45"/>
  <c r="U623" i="45"/>
  <c r="V623" i="45"/>
  <c r="W623" i="45"/>
  <c r="X623" i="45"/>
  <c r="Y623" i="45"/>
  <c r="AA623" i="45"/>
  <c r="AB623" i="45"/>
  <c r="AH623" i="45"/>
  <c r="AI623" i="45"/>
  <c r="AG626" i="45"/>
  <c r="H121" i="32"/>
  <c r="I121" i="32"/>
  <c r="C126" i="32"/>
  <c r="C137" i="32" s="1"/>
  <c r="E126" i="32"/>
  <c r="I126" i="32" s="1"/>
  <c r="H126" i="32"/>
  <c r="H130" i="32"/>
  <c r="I130" i="32"/>
  <c r="H133" i="32"/>
  <c r="I133" i="32"/>
  <c r="H134" i="32"/>
  <c r="I134" i="32"/>
  <c r="H135" i="32"/>
  <c r="I135" i="32"/>
  <c r="G137" i="32"/>
  <c r="G143" i="32"/>
  <c r="G159" i="32" s="1"/>
  <c r="H143" i="32"/>
  <c r="C148" i="32"/>
  <c r="C143" i="32" s="1"/>
  <c r="E148" i="32"/>
  <c r="E143" i="32" s="1"/>
  <c r="E159" i="32" s="1"/>
  <c r="H148" i="32"/>
  <c r="H152" i="32"/>
  <c r="I152" i="32"/>
  <c r="H156" i="32"/>
  <c r="I156" i="32"/>
  <c r="I165" i="32"/>
  <c r="I170" i="32"/>
  <c r="I172" i="32"/>
  <c r="I174" i="32"/>
  <c r="I178" i="32"/>
  <c r="C181" i="32"/>
  <c r="E181" i="32"/>
  <c r="G181" i="32"/>
  <c r="AF341" i="45" l="1"/>
  <c r="AD333" i="45"/>
  <c r="AE333" i="45" s="1"/>
  <c r="AI333" i="45" s="1"/>
  <c r="Q50" i="60"/>
  <c r="AD618" i="45"/>
  <c r="AE618" i="45" s="1"/>
  <c r="G378" i="45"/>
  <c r="J294" i="60"/>
  <c r="C558" i="45"/>
  <c r="AC533" i="45"/>
  <c r="U378" i="45"/>
  <c r="AF339" i="45"/>
  <c r="AF326" i="45"/>
  <c r="K306" i="45"/>
  <c r="O306" i="45" s="1"/>
  <c r="P306" i="45" s="1"/>
  <c r="X558" i="45"/>
  <c r="AF361" i="45"/>
  <c r="V315" i="45"/>
  <c r="G558" i="45"/>
  <c r="K541" i="45"/>
  <c r="O370" i="45"/>
  <c r="P370" i="45" s="1"/>
  <c r="O327" i="45"/>
  <c r="P327" i="45" s="1"/>
  <c r="J228" i="60"/>
  <c r="V82" i="60"/>
  <c r="U624" i="45"/>
  <c r="AD566" i="45"/>
  <c r="AE566" i="45" s="1"/>
  <c r="AD547" i="45"/>
  <c r="AE547" i="45" s="1"/>
  <c r="AG547" i="45" s="1"/>
  <c r="O543" i="45"/>
  <c r="AI558" i="45"/>
  <c r="W378" i="45"/>
  <c r="Q378" i="45"/>
  <c r="AD355" i="45"/>
  <c r="AE355" i="45" s="1"/>
  <c r="AI355" i="45" s="1"/>
  <c r="Q358" i="45"/>
  <c r="AF327" i="45"/>
  <c r="Z296" i="45"/>
  <c r="AF296" i="45" s="1"/>
  <c r="V249" i="60"/>
  <c r="W294" i="60"/>
  <c r="V146" i="60"/>
  <c r="K74" i="60"/>
  <c r="AD569" i="45"/>
  <c r="O529" i="45"/>
  <c r="P529" i="45" s="1"/>
  <c r="O344" i="45"/>
  <c r="P344" i="45" s="1"/>
  <c r="O338" i="45"/>
  <c r="P338" i="45" s="1"/>
  <c r="AG338" i="45" s="1"/>
  <c r="O333" i="45"/>
  <c r="P333" i="45" s="1"/>
  <c r="U294" i="60"/>
  <c r="K249" i="60"/>
  <c r="B294" i="60"/>
  <c r="K215" i="60"/>
  <c r="B228" i="60"/>
  <c r="K146" i="60"/>
  <c r="W50" i="60"/>
  <c r="W103" i="60" s="1"/>
  <c r="R50" i="60"/>
  <c r="R103" i="60" s="1"/>
  <c r="O618" i="45"/>
  <c r="O599" i="45"/>
  <c r="P599" i="45" s="1"/>
  <c r="AD595" i="45"/>
  <c r="AE595" i="45" s="1"/>
  <c r="AD579" i="45"/>
  <c r="AE579" i="45" s="1"/>
  <c r="I624" i="45"/>
  <c r="L558" i="45"/>
  <c r="S378" i="45"/>
  <c r="K305" i="45"/>
  <c r="O305" i="45" s="1"/>
  <c r="P305" i="45" s="1"/>
  <c r="K296" i="45"/>
  <c r="Q103" i="60"/>
  <c r="J624" i="45"/>
  <c r="O355" i="45"/>
  <c r="P355" i="45" s="1"/>
  <c r="AD336" i="45"/>
  <c r="AE336" i="45" s="1"/>
  <c r="AI336" i="45" s="1"/>
  <c r="K256" i="60"/>
  <c r="K243" i="60"/>
  <c r="K180" i="60"/>
  <c r="K172" i="60"/>
  <c r="U228" i="60"/>
  <c r="L139" i="60"/>
  <c r="K60" i="60"/>
  <c r="F624" i="45"/>
  <c r="AD593" i="45"/>
  <c r="AE593" i="45" s="1"/>
  <c r="O592" i="45"/>
  <c r="P592" i="45" s="1"/>
  <c r="G624" i="45"/>
  <c r="O545" i="45"/>
  <c r="AD317" i="45"/>
  <c r="AE317" i="45" s="1"/>
  <c r="AI317" i="45" s="1"/>
  <c r="K311" i="45"/>
  <c r="O311" i="45" s="1"/>
  <c r="P311" i="45" s="1"/>
  <c r="X315" i="45"/>
  <c r="Z299" i="45"/>
  <c r="AD299" i="45" s="1"/>
  <c r="AE299" i="45" s="1"/>
  <c r="AI299" i="45" s="1"/>
  <c r="I50" i="60"/>
  <c r="I103" i="60" s="1"/>
  <c r="AD600" i="45"/>
  <c r="AE600" i="45" s="1"/>
  <c r="O569" i="45"/>
  <c r="M228" i="60"/>
  <c r="H50" i="60"/>
  <c r="H103" i="60" s="1"/>
  <c r="K567" i="45"/>
  <c r="AH624" i="45"/>
  <c r="M624" i="45"/>
  <c r="AD344" i="45"/>
  <c r="AE344" i="45" s="1"/>
  <c r="AI344" i="45" s="1"/>
  <c r="AF338" i="45"/>
  <c r="AF331" i="45"/>
  <c r="AF323" i="45"/>
  <c r="K310" i="45"/>
  <c r="B315" i="45"/>
  <c r="L294" i="60"/>
  <c r="M294" i="60"/>
  <c r="G50" i="60"/>
  <c r="G103" i="60" s="1"/>
  <c r="P50" i="60"/>
  <c r="P103" i="60" s="1"/>
  <c r="O579" i="45"/>
  <c r="O377" i="45"/>
  <c r="P377" i="45" s="1"/>
  <c r="AD375" i="45"/>
  <c r="AE375" i="45" s="1"/>
  <c r="AI375" i="45" s="1"/>
  <c r="N371" i="45"/>
  <c r="B358" i="45"/>
  <c r="AD350" i="45"/>
  <c r="AE350" i="45" s="1"/>
  <c r="AI350" i="45" s="1"/>
  <c r="N346" i="45"/>
  <c r="AF337" i="45"/>
  <c r="AF332" i="45"/>
  <c r="AD327" i="45"/>
  <c r="AE327" i="45" s="1"/>
  <c r="AI327" i="45" s="1"/>
  <c r="Z304" i="45"/>
  <c r="V256" i="60"/>
  <c r="O50" i="60"/>
  <c r="O103" i="60" s="1"/>
  <c r="K51" i="60"/>
  <c r="K50" i="60" s="1"/>
  <c r="K103" i="60" s="1"/>
  <c r="F50" i="60"/>
  <c r="F103" i="60" s="1"/>
  <c r="AD377" i="45"/>
  <c r="AE377" i="45" s="1"/>
  <c r="AI377" i="45" s="1"/>
  <c r="AD366" i="45"/>
  <c r="AE366" i="45" s="1"/>
  <c r="AI366" i="45" s="1"/>
  <c r="O362" i="45"/>
  <c r="P362" i="45" s="1"/>
  <c r="O343" i="45"/>
  <c r="P343" i="45" s="1"/>
  <c r="AD320" i="45"/>
  <c r="AE320" i="45" s="1"/>
  <c r="AI320" i="45" s="1"/>
  <c r="K262" i="60"/>
  <c r="V180" i="60"/>
  <c r="V156" i="60"/>
  <c r="N50" i="60"/>
  <c r="N103" i="60" s="1"/>
  <c r="E50" i="60"/>
  <c r="E103" i="60" s="1"/>
  <c r="AD604" i="45"/>
  <c r="AE604" i="45" s="1"/>
  <c r="C624" i="45"/>
  <c r="AC583" i="45"/>
  <c r="AD573" i="45"/>
  <c r="AE573" i="45" s="1"/>
  <c r="AD571" i="45"/>
  <c r="AE571" i="45" s="1"/>
  <c r="O375" i="45"/>
  <c r="P375" i="45" s="1"/>
  <c r="AG375" i="45" s="1"/>
  <c r="AD373" i="45"/>
  <c r="AE373" i="45" s="1"/>
  <c r="AI373" i="45" s="1"/>
  <c r="AF370" i="45"/>
  <c r="AD353" i="45"/>
  <c r="O350" i="45"/>
  <c r="P350" i="45" s="1"/>
  <c r="AD348" i="45"/>
  <c r="AE348" i="45" s="1"/>
  <c r="AI348" i="45" s="1"/>
  <c r="AF330" i="45"/>
  <c r="Z306" i="45"/>
  <c r="AF306" i="45" s="1"/>
  <c r="V262" i="60"/>
  <c r="V235" i="60"/>
  <c r="V294" i="60" s="1"/>
  <c r="V172" i="60"/>
  <c r="K156" i="60"/>
  <c r="B139" i="60"/>
  <c r="V74" i="60"/>
  <c r="V67" i="60"/>
  <c r="U50" i="60"/>
  <c r="U103" i="60" s="1"/>
  <c r="M50" i="60"/>
  <c r="M103" i="60" s="1"/>
  <c r="D50" i="60"/>
  <c r="D103" i="60" s="1"/>
  <c r="M378" i="45"/>
  <c r="O615" i="45"/>
  <c r="P615" i="45" s="1"/>
  <c r="AD598" i="45"/>
  <c r="AE598" i="45" s="1"/>
  <c r="B624" i="45"/>
  <c r="Z557" i="45"/>
  <c r="O339" i="45"/>
  <c r="P339" i="45" s="1"/>
  <c r="AH316" i="45"/>
  <c r="H315" i="45"/>
  <c r="V164" i="60"/>
  <c r="K82" i="60"/>
  <c r="K67" i="60"/>
  <c r="C50" i="60"/>
  <c r="C103" i="60" s="1"/>
  <c r="T50" i="60"/>
  <c r="T103" i="60" s="1"/>
  <c r="L50" i="60"/>
  <c r="L103" i="60" s="1"/>
  <c r="AD615" i="45"/>
  <c r="AE615" i="45" s="1"/>
  <c r="AG615" i="45" s="1"/>
  <c r="O573" i="45"/>
  <c r="P573" i="45" s="1"/>
  <c r="AG573" i="45" s="1"/>
  <c r="O571" i="45"/>
  <c r="O373" i="45"/>
  <c r="P373" i="45" s="1"/>
  <c r="O348" i="45"/>
  <c r="P348" i="45" s="1"/>
  <c r="AG348" i="45" s="1"/>
  <c r="AD343" i="45"/>
  <c r="AE343" i="45" s="1"/>
  <c r="AI343" i="45" s="1"/>
  <c r="Y358" i="45"/>
  <c r="O336" i="45"/>
  <c r="P336" i="45" s="1"/>
  <c r="AG336" i="45" s="1"/>
  <c r="Z311" i="45"/>
  <c r="Z310" i="45"/>
  <c r="AF310" i="45" s="1"/>
  <c r="V243" i="60"/>
  <c r="L228" i="60"/>
  <c r="V215" i="60"/>
  <c r="W228" i="60"/>
  <c r="K164" i="60"/>
  <c r="S50" i="60"/>
  <c r="S103" i="60" s="1"/>
  <c r="V51" i="60"/>
  <c r="J50" i="60"/>
  <c r="J103" i="60" s="1"/>
  <c r="B50" i="60"/>
  <c r="B103" i="60" s="1"/>
  <c r="J139" i="60"/>
  <c r="H624" i="45"/>
  <c r="AG327" i="45"/>
  <c r="AD601" i="45"/>
  <c r="AE601" i="45" s="1"/>
  <c r="O598" i="45"/>
  <c r="P598" i="45" s="1"/>
  <c r="AG598" i="45" s="1"/>
  <c r="O591" i="45"/>
  <c r="P591" i="45" s="1"/>
  <c r="O586" i="45"/>
  <c r="V624" i="45"/>
  <c r="N567" i="45"/>
  <c r="O540" i="45"/>
  <c r="AB558" i="45"/>
  <c r="O376" i="45"/>
  <c r="P376" i="45" s="1"/>
  <c r="AD374" i="45"/>
  <c r="AE374" i="45" s="1"/>
  <c r="AI374" i="45" s="1"/>
  <c r="O372" i="45"/>
  <c r="P372" i="45" s="1"/>
  <c r="X378" i="45"/>
  <c r="T378" i="45"/>
  <c r="I378" i="45"/>
  <c r="E378" i="45"/>
  <c r="AH359" i="45"/>
  <c r="O361" i="45"/>
  <c r="P361" i="45" s="1"/>
  <c r="O357" i="45"/>
  <c r="P357" i="45" s="1"/>
  <c r="U358" i="45"/>
  <c r="AD351" i="45"/>
  <c r="AE351" i="45" s="1"/>
  <c r="AI351" i="45" s="1"/>
  <c r="O349" i="45"/>
  <c r="P349" i="45" s="1"/>
  <c r="V358" i="45"/>
  <c r="AF345" i="45"/>
  <c r="M358" i="45"/>
  <c r="D358" i="45"/>
  <c r="AD337" i="45"/>
  <c r="AE337" i="45" s="1"/>
  <c r="AI337" i="45" s="1"/>
  <c r="AC334" i="45"/>
  <c r="O332" i="45"/>
  <c r="P332" i="45" s="1"/>
  <c r="AC328" i="45"/>
  <c r="AD326" i="45"/>
  <c r="AE326" i="45" s="1"/>
  <c r="AI326" i="45" s="1"/>
  <c r="K322" i="45"/>
  <c r="AD318" i="45"/>
  <c r="AE318" i="45" s="1"/>
  <c r="AI318" i="45" s="1"/>
  <c r="L315" i="45"/>
  <c r="AD303" i="45"/>
  <c r="AE303" i="45" s="1"/>
  <c r="AI303" i="45" s="1"/>
  <c r="C290" i="45"/>
  <c r="AF333" i="45"/>
  <c r="AD599" i="45"/>
  <c r="AE599" i="45" s="1"/>
  <c r="O595" i="45"/>
  <c r="H558" i="45"/>
  <c r="K557" i="45"/>
  <c r="AF343" i="45"/>
  <c r="AC340" i="45"/>
  <c r="O337" i="45"/>
  <c r="P337" i="45" s="1"/>
  <c r="AF336" i="45"/>
  <c r="AD332" i="45"/>
  <c r="AE332" i="45" s="1"/>
  <c r="AI332" i="45" s="1"/>
  <c r="L358" i="45"/>
  <c r="AC316" i="45"/>
  <c r="S297" i="45"/>
  <c r="C297" i="45"/>
  <c r="S290" i="45"/>
  <c r="R290" i="45"/>
  <c r="T558" i="45"/>
  <c r="AD619" i="45"/>
  <c r="AE619" i="45" s="1"/>
  <c r="O601" i="45"/>
  <c r="P601" i="45" s="1"/>
  <c r="AD586" i="45"/>
  <c r="AE586" i="45" s="1"/>
  <c r="AD585" i="45"/>
  <c r="AE585" i="45" s="1"/>
  <c r="E624" i="45"/>
  <c r="L624" i="45"/>
  <c r="Y624" i="45"/>
  <c r="Q624" i="45"/>
  <c r="AD544" i="45"/>
  <c r="AE544" i="45" s="1"/>
  <c r="AD376" i="45"/>
  <c r="AE376" i="45" s="1"/>
  <c r="AI376" i="45" s="1"/>
  <c r="O374" i="45"/>
  <c r="P374" i="45" s="1"/>
  <c r="AG374" i="45" s="1"/>
  <c r="O365" i="45"/>
  <c r="AD361" i="45"/>
  <c r="AE361" i="45" s="1"/>
  <c r="AI361" i="45" s="1"/>
  <c r="R352" i="45"/>
  <c r="AB358" i="45"/>
  <c r="W358" i="45"/>
  <c r="S358" i="45"/>
  <c r="J358" i="45"/>
  <c r="F358" i="45"/>
  <c r="O351" i="45"/>
  <c r="P351" i="45" s="1"/>
  <c r="AD349" i="45"/>
  <c r="AE349" i="45" s="1"/>
  <c r="AI349" i="45" s="1"/>
  <c r="O347" i="45"/>
  <c r="P347" i="45" s="1"/>
  <c r="I358" i="45"/>
  <c r="E358" i="45"/>
  <c r="AD339" i="45"/>
  <c r="AE339" i="45" s="1"/>
  <c r="AI339" i="45" s="1"/>
  <c r="O330" i="45"/>
  <c r="P330" i="45" s="1"/>
  <c r="AG330" i="45" s="1"/>
  <c r="O326" i="45"/>
  <c r="P326" i="45" s="1"/>
  <c r="AD325" i="45"/>
  <c r="AE325" i="45" s="1"/>
  <c r="AI325" i="45" s="1"/>
  <c r="N316" i="45"/>
  <c r="R316" i="45"/>
  <c r="Z305" i="45"/>
  <c r="Z302" i="45"/>
  <c r="K302" i="45"/>
  <c r="J558" i="45"/>
  <c r="Z346" i="45"/>
  <c r="AD347" i="45"/>
  <c r="AE347" i="45" s="1"/>
  <c r="AI347" i="45" s="1"/>
  <c r="N328" i="45"/>
  <c r="O329" i="45"/>
  <c r="P329" i="45" s="1"/>
  <c r="AC308" i="45"/>
  <c r="N301" i="45"/>
  <c r="N623" i="45"/>
  <c r="AD613" i="45"/>
  <c r="AE613" i="45" s="1"/>
  <c r="O605" i="45"/>
  <c r="P605" i="45" s="1"/>
  <c r="O600" i="45"/>
  <c r="O596" i="45"/>
  <c r="P596" i="45" s="1"/>
  <c r="O594" i="45"/>
  <c r="P594" i="45" s="1"/>
  <c r="O590" i="45"/>
  <c r="P590" i="45" s="1"/>
  <c r="O588" i="45"/>
  <c r="AD580" i="45"/>
  <c r="AE580" i="45" s="1"/>
  <c r="AD574" i="45"/>
  <c r="AE574" i="45" s="1"/>
  <c r="O565" i="45"/>
  <c r="AD553" i="45"/>
  <c r="AE553" i="45" s="1"/>
  <c r="AD548" i="45"/>
  <c r="AE548" i="45" s="1"/>
  <c r="O538" i="45"/>
  <c r="P538" i="45" s="1"/>
  <c r="N359" i="45"/>
  <c r="O356" i="45"/>
  <c r="P356" i="45" s="1"/>
  <c r="AF356" i="45"/>
  <c r="AH328" i="45"/>
  <c r="AG325" i="45"/>
  <c r="K312" i="45"/>
  <c r="O312" i="45" s="1"/>
  <c r="P312" i="45" s="1"/>
  <c r="C301" i="45"/>
  <c r="K304" i="45"/>
  <c r="O304" i="45" s="1"/>
  <c r="P304" i="45" s="1"/>
  <c r="AC301" i="45"/>
  <c r="B558" i="45"/>
  <c r="Z371" i="45"/>
  <c r="AD372" i="45"/>
  <c r="AE372" i="45" s="1"/>
  <c r="AA558" i="45"/>
  <c r="AH371" i="45"/>
  <c r="AD365" i="45"/>
  <c r="AE365" i="45" s="1"/>
  <c r="AF365" i="45"/>
  <c r="AC359" i="45"/>
  <c r="AH346" i="45"/>
  <c r="T358" i="45"/>
  <c r="T420" i="45" s="1"/>
  <c r="AF325" i="45"/>
  <c r="AI323" i="45"/>
  <c r="Z322" i="45"/>
  <c r="O318" i="45"/>
  <c r="P318" i="45" s="1"/>
  <c r="AF318" i="45"/>
  <c r="Z312" i="45"/>
  <c r="AD312" i="45" s="1"/>
  <c r="AE312" i="45" s="1"/>
  <c r="AI312" i="45" s="1"/>
  <c r="D308" i="45"/>
  <c r="K307" i="45"/>
  <c r="O307" i="45" s="1"/>
  <c r="P307" i="45" s="1"/>
  <c r="F558" i="45"/>
  <c r="AD529" i="45"/>
  <c r="AF529" i="45" s="1"/>
  <c r="Z533" i="45"/>
  <c r="AF592" i="45"/>
  <c r="AB624" i="45"/>
  <c r="R624" i="45"/>
  <c r="O619" i="45"/>
  <c r="O613" i="45"/>
  <c r="P613" i="45" s="1"/>
  <c r="AD605" i="45"/>
  <c r="AE605" i="45" s="1"/>
  <c r="O604" i="45"/>
  <c r="P604" i="45" s="1"/>
  <c r="AG604" i="45" s="1"/>
  <c r="AD596" i="45"/>
  <c r="AD594" i="45"/>
  <c r="AE594" i="45" s="1"/>
  <c r="AD590" i="45"/>
  <c r="AE590" i="45" s="1"/>
  <c r="AD588" i="45"/>
  <c r="AE588" i="45" s="1"/>
  <c r="X624" i="45"/>
  <c r="T624" i="45"/>
  <c r="O580" i="45"/>
  <c r="P580" i="45" s="1"/>
  <c r="O578" i="45"/>
  <c r="P578" i="45" s="1"/>
  <c r="O574" i="45"/>
  <c r="O572" i="45"/>
  <c r="P572" i="45" s="1"/>
  <c r="O553" i="45"/>
  <c r="Z549" i="45"/>
  <c r="R558" i="45"/>
  <c r="K549" i="45"/>
  <c r="O548" i="45"/>
  <c r="P548" i="45" s="1"/>
  <c r="AD540" i="45"/>
  <c r="AE540" i="45" s="1"/>
  <c r="AD538" i="45"/>
  <c r="AE538" i="45" s="1"/>
  <c r="AG538" i="45" s="1"/>
  <c r="Y558" i="45"/>
  <c r="U558" i="45"/>
  <c r="Q558" i="45"/>
  <c r="AB378" i="45"/>
  <c r="AF369" i="45"/>
  <c r="O369" i="45"/>
  <c r="P369" i="45" s="1"/>
  <c r="Z359" i="45"/>
  <c r="AD362" i="45"/>
  <c r="N340" i="45"/>
  <c r="Z307" i="45"/>
  <c r="AD307" i="45" s="1"/>
  <c r="AE307" i="45" s="1"/>
  <c r="AI307" i="45" s="1"/>
  <c r="AB315" i="45"/>
  <c r="Q315" i="45"/>
  <c r="I315" i="45"/>
  <c r="E315" i="45"/>
  <c r="O546" i="45"/>
  <c r="AD545" i="45"/>
  <c r="AE545" i="45" s="1"/>
  <c r="AD543" i="45"/>
  <c r="AE543" i="45" s="1"/>
  <c r="O539" i="45"/>
  <c r="P539" i="45" s="1"/>
  <c r="AH558" i="45"/>
  <c r="V558" i="45"/>
  <c r="K533" i="45"/>
  <c r="O532" i="45"/>
  <c r="P532" i="45" s="1"/>
  <c r="AF377" i="45"/>
  <c r="AF376" i="45"/>
  <c r="AF375" i="45"/>
  <c r="AF374" i="45"/>
  <c r="AF373" i="45"/>
  <c r="AF372" i="45"/>
  <c r="H378" i="45"/>
  <c r="D378" i="45"/>
  <c r="AD370" i="45"/>
  <c r="AE370" i="45" s="1"/>
  <c r="AI370" i="45" s="1"/>
  <c r="AD369" i="45"/>
  <c r="AE369" i="45" s="1"/>
  <c r="AI369" i="45" s="1"/>
  <c r="O368" i="45"/>
  <c r="P368" i="45" s="1"/>
  <c r="AD363" i="45"/>
  <c r="AE363" i="45" s="1"/>
  <c r="AI363" i="45" s="1"/>
  <c r="AF362" i="45"/>
  <c r="AD360" i="45"/>
  <c r="AE360" i="45" s="1"/>
  <c r="AD356" i="45"/>
  <c r="AE356" i="45" s="1"/>
  <c r="AI356" i="45" s="1"/>
  <c r="AD354" i="45"/>
  <c r="AE354" i="45" s="1"/>
  <c r="AI354" i="45" s="1"/>
  <c r="AH352" i="45"/>
  <c r="AF351" i="45"/>
  <c r="AF350" i="45"/>
  <c r="AF349" i="45"/>
  <c r="AF348" i="45"/>
  <c r="AF347" i="45"/>
  <c r="O345" i="45"/>
  <c r="P345" i="45" s="1"/>
  <c r="O342" i="45"/>
  <c r="P342" i="45" s="1"/>
  <c r="N334" i="45"/>
  <c r="AD331" i="45"/>
  <c r="AE331" i="45" s="1"/>
  <c r="AI331" i="45" s="1"/>
  <c r="AD321" i="45"/>
  <c r="AF320" i="45"/>
  <c r="Z316" i="45"/>
  <c r="S308" i="45"/>
  <c r="O310" i="45"/>
  <c r="N308" i="45"/>
  <c r="J315" i="45"/>
  <c r="F315" i="45"/>
  <c r="AA315" i="45"/>
  <c r="AA420" i="45" s="1"/>
  <c r="M315" i="45"/>
  <c r="AC297" i="45"/>
  <c r="AH290" i="45"/>
  <c r="N290" i="45"/>
  <c r="L378" i="45"/>
  <c r="AF366" i="45"/>
  <c r="N352" i="45"/>
  <c r="H358" i="45"/>
  <c r="AH340" i="45"/>
  <c r="AG324" i="45"/>
  <c r="Y315" i="45"/>
  <c r="U315" i="45"/>
  <c r="G315" i="45"/>
  <c r="AC290" i="45"/>
  <c r="AD532" i="45"/>
  <c r="AE532" i="45" s="1"/>
  <c r="AC371" i="45"/>
  <c r="K371" i="45"/>
  <c r="AD368" i="45"/>
  <c r="AE368" i="45" s="1"/>
  <c r="AI368" i="45" s="1"/>
  <c r="AD367" i="45"/>
  <c r="AE367" i="45" s="1"/>
  <c r="AI367" i="45" s="1"/>
  <c r="O366" i="45"/>
  <c r="P366" i="45" s="1"/>
  <c r="AG366" i="45" s="1"/>
  <c r="O363" i="45"/>
  <c r="P363" i="45" s="1"/>
  <c r="AF355" i="45"/>
  <c r="X358" i="45"/>
  <c r="G358" i="45"/>
  <c r="AC346" i="45"/>
  <c r="K346" i="45"/>
  <c r="AD345" i="45"/>
  <c r="AE345" i="45" s="1"/>
  <c r="AI345" i="45" s="1"/>
  <c r="AD342" i="45"/>
  <c r="AE342" i="45" s="1"/>
  <c r="O331" i="45"/>
  <c r="P331" i="45" s="1"/>
  <c r="AG331" i="45" s="1"/>
  <c r="AD319" i="45"/>
  <c r="AE319" i="45" s="1"/>
  <c r="AI319" i="45" s="1"/>
  <c r="AH308" i="45"/>
  <c r="R308" i="45"/>
  <c r="R301" i="45"/>
  <c r="K300" i="45"/>
  <c r="O300" i="45" s="1"/>
  <c r="P300" i="45" s="1"/>
  <c r="R297" i="45"/>
  <c r="K295" i="45"/>
  <c r="O295" i="45" s="1"/>
  <c r="P295" i="45" s="1"/>
  <c r="P618" i="45"/>
  <c r="AG618" i="45" s="1"/>
  <c r="AF618" i="45"/>
  <c r="AI624" i="45"/>
  <c r="AI627" i="45" s="1"/>
  <c r="AA624" i="45"/>
  <c r="AE569" i="45"/>
  <c r="AD565" i="45"/>
  <c r="Z567" i="45"/>
  <c r="AD546" i="45"/>
  <c r="AE546" i="45" s="1"/>
  <c r="AC549" i="45"/>
  <c r="P543" i="45"/>
  <c r="P540" i="45"/>
  <c r="O589" i="45"/>
  <c r="K623" i="45"/>
  <c r="AF579" i="45"/>
  <c r="P579" i="45"/>
  <c r="AG579" i="45" s="1"/>
  <c r="AG592" i="45"/>
  <c r="AC623" i="45"/>
  <c r="K583" i="45"/>
  <c r="P571" i="45"/>
  <c r="AG571" i="45" s="1"/>
  <c r="AC575" i="45"/>
  <c r="AC364" i="45"/>
  <c r="AD357" i="45"/>
  <c r="AE357" i="45" s="1"/>
  <c r="AI357" i="45" s="1"/>
  <c r="AF357" i="45"/>
  <c r="AE353" i="45"/>
  <c r="P593" i="45"/>
  <c r="AG593" i="45" s="1"/>
  <c r="AG566" i="45"/>
  <c r="P595" i="45"/>
  <c r="AG595" i="45" s="1"/>
  <c r="AF595" i="45"/>
  <c r="AD591" i="45"/>
  <c r="AE591" i="45" s="1"/>
  <c r="AG591" i="45" s="1"/>
  <c r="Z623" i="45"/>
  <c r="P569" i="45"/>
  <c r="AD551" i="45"/>
  <c r="AC557" i="45"/>
  <c r="W624" i="45"/>
  <c r="W558" i="45"/>
  <c r="AE529" i="45"/>
  <c r="AG529" i="45" s="1"/>
  <c r="N583" i="45"/>
  <c r="P553" i="45"/>
  <c r="AF553" i="45"/>
  <c r="P545" i="45"/>
  <c r="J378" i="45"/>
  <c r="J420" i="45" s="1"/>
  <c r="F378" i="45"/>
  <c r="B378" i="45"/>
  <c r="O367" i="45"/>
  <c r="P367" i="45" s="1"/>
  <c r="AF367" i="45"/>
  <c r="N364" i="45"/>
  <c r="AD589" i="45"/>
  <c r="AE589" i="45" s="1"/>
  <c r="O587" i="45"/>
  <c r="O582" i="45"/>
  <c r="AD578" i="45"/>
  <c r="Z583" i="45"/>
  <c r="AD572" i="45"/>
  <c r="AE572" i="45" s="1"/>
  <c r="O570" i="45"/>
  <c r="N575" i="45"/>
  <c r="AF566" i="45"/>
  <c r="O544" i="45"/>
  <c r="N549" i="45"/>
  <c r="M558" i="45"/>
  <c r="I558" i="45"/>
  <c r="E558" i="45"/>
  <c r="K359" i="45"/>
  <c r="O360" i="45"/>
  <c r="R358" i="45"/>
  <c r="AG333" i="45"/>
  <c r="AD304" i="45"/>
  <c r="AE304" i="45" s="1"/>
  <c r="AI304" i="45" s="1"/>
  <c r="AD587" i="45"/>
  <c r="AE587" i="45" s="1"/>
  <c r="O585" i="45"/>
  <c r="AD582" i="45"/>
  <c r="AE582" i="45" s="1"/>
  <c r="K575" i="45"/>
  <c r="AD570" i="45"/>
  <c r="AE570" i="45" s="1"/>
  <c r="Z575" i="45"/>
  <c r="O551" i="45"/>
  <c r="N557" i="45"/>
  <c r="P546" i="45"/>
  <c r="AD539" i="45"/>
  <c r="AE539" i="45" s="1"/>
  <c r="AC541" i="45"/>
  <c r="N541" i="45"/>
  <c r="N533" i="45"/>
  <c r="V378" i="45"/>
  <c r="V420" i="45" s="1"/>
  <c r="R378" i="45"/>
  <c r="AH364" i="45"/>
  <c r="P365" i="45"/>
  <c r="AG355" i="45"/>
  <c r="O354" i="45"/>
  <c r="P354" i="45" s="1"/>
  <c r="AF354" i="45"/>
  <c r="Z352" i="45"/>
  <c r="AD311" i="45"/>
  <c r="AE311" i="45" s="1"/>
  <c r="AI311" i="45" s="1"/>
  <c r="Z541" i="45"/>
  <c r="AF368" i="45"/>
  <c r="AC352" i="45"/>
  <c r="O346" i="45"/>
  <c r="AF344" i="45"/>
  <c r="AF342" i="45"/>
  <c r="Z340" i="45"/>
  <c r="AD341" i="45"/>
  <c r="AH334" i="45"/>
  <c r="K334" i="45"/>
  <c r="O335" i="45"/>
  <c r="O302" i="45"/>
  <c r="AF302" i="45"/>
  <c r="K364" i="45"/>
  <c r="Z364" i="45"/>
  <c r="AF329" i="45"/>
  <c r="Z328" i="45"/>
  <c r="AD329" i="45"/>
  <c r="O321" i="45"/>
  <c r="P321" i="45" s="1"/>
  <c r="AF321" i="45"/>
  <c r="C352" i="45"/>
  <c r="K353" i="45"/>
  <c r="K340" i="45"/>
  <c r="O341" i="45"/>
  <c r="Z334" i="45"/>
  <c r="AD335" i="45"/>
  <c r="AF312" i="45"/>
  <c r="N322" i="45"/>
  <c r="O323" i="45"/>
  <c r="O319" i="45"/>
  <c r="P319" i="45" s="1"/>
  <c r="K298" i="45"/>
  <c r="D297" i="45"/>
  <c r="K328" i="45"/>
  <c r="AH322" i="45"/>
  <c r="AC322" i="45"/>
  <c r="AF319" i="45"/>
  <c r="K317" i="45"/>
  <c r="C316" i="45"/>
  <c r="C308" i="45"/>
  <c r="AH301" i="45"/>
  <c r="AD302" i="45"/>
  <c r="D301" i="45"/>
  <c r="O299" i="45"/>
  <c r="P299" i="45" s="1"/>
  <c r="O296" i="45"/>
  <c r="P296" i="45" s="1"/>
  <c r="Z295" i="45"/>
  <c r="AD295" i="45" s="1"/>
  <c r="AE295" i="45" s="1"/>
  <c r="AI295" i="45" s="1"/>
  <c r="O320" i="45"/>
  <c r="P320" i="45" s="1"/>
  <c r="K303" i="45"/>
  <c r="W315" i="45"/>
  <c r="S301" i="45"/>
  <c r="Z300" i="45"/>
  <c r="AD300" i="45" s="1"/>
  <c r="AE300" i="45" s="1"/>
  <c r="AI300" i="45" s="1"/>
  <c r="N297" i="45"/>
  <c r="D290" i="45"/>
  <c r="K294" i="45"/>
  <c r="Z298" i="45"/>
  <c r="Z294" i="45"/>
  <c r="I181" i="32"/>
  <c r="I137" i="32"/>
  <c r="E137" i="32"/>
  <c r="I143" i="32"/>
  <c r="C159" i="32"/>
  <c r="I148" i="32"/>
  <c r="B73" i="45"/>
  <c r="C73" i="45"/>
  <c r="D73" i="45"/>
  <c r="E73" i="45"/>
  <c r="E72" i="45" s="1"/>
  <c r="F73" i="45"/>
  <c r="F72" i="45" s="1"/>
  <c r="G73" i="45"/>
  <c r="G72" i="45" s="1"/>
  <c r="H73" i="45"/>
  <c r="H72" i="45" s="1"/>
  <c r="I73" i="45"/>
  <c r="I72" i="45" s="1"/>
  <c r="J73" i="45"/>
  <c r="J72" i="45" s="1"/>
  <c r="L73" i="45"/>
  <c r="M73" i="45"/>
  <c r="M72" i="45" s="1"/>
  <c r="Q73" i="45"/>
  <c r="R73" i="45"/>
  <c r="S73" i="45"/>
  <c r="T73" i="45"/>
  <c r="U73" i="45"/>
  <c r="V73" i="45"/>
  <c r="W73" i="45"/>
  <c r="X73" i="45"/>
  <c r="Y73" i="45"/>
  <c r="AA73" i="45"/>
  <c r="AB73" i="45"/>
  <c r="AH73" i="45"/>
  <c r="AI73" i="45"/>
  <c r="K77" i="45"/>
  <c r="N77" i="45"/>
  <c r="Z77" i="45"/>
  <c r="AC77" i="45"/>
  <c r="K78" i="45"/>
  <c r="N78" i="45"/>
  <c r="Z78" i="45"/>
  <c r="AC78" i="45"/>
  <c r="K79" i="45"/>
  <c r="N79" i="45"/>
  <c r="Z79" i="45"/>
  <c r="AC79" i="45"/>
  <c r="K80" i="45"/>
  <c r="N80" i="45"/>
  <c r="Z80" i="45"/>
  <c r="AC80" i="45"/>
  <c r="B82" i="45"/>
  <c r="C82" i="45"/>
  <c r="D82" i="45"/>
  <c r="L82" i="45"/>
  <c r="Q82" i="45"/>
  <c r="R82" i="45"/>
  <c r="S82" i="45"/>
  <c r="T82" i="45"/>
  <c r="U82" i="45"/>
  <c r="V82" i="45"/>
  <c r="W82" i="45"/>
  <c r="X82" i="45"/>
  <c r="Y82" i="45"/>
  <c r="AA82" i="45"/>
  <c r="AB82" i="45"/>
  <c r="AH82" i="45"/>
  <c r="AI82" i="45"/>
  <c r="K83" i="45"/>
  <c r="N83" i="45"/>
  <c r="Z83" i="45"/>
  <c r="AC83" i="45"/>
  <c r="K85" i="45"/>
  <c r="N85" i="45"/>
  <c r="Z85" i="45"/>
  <c r="AC85" i="45"/>
  <c r="K86" i="45"/>
  <c r="N86" i="45"/>
  <c r="Z86" i="45"/>
  <c r="AC86" i="45"/>
  <c r="AD86" i="45" s="1"/>
  <c r="AE86" i="45" s="1"/>
  <c r="K87" i="45"/>
  <c r="N87" i="45"/>
  <c r="Z87" i="45"/>
  <c r="AC87" i="45"/>
  <c r="B89" i="45"/>
  <c r="C89" i="45"/>
  <c r="D89" i="45"/>
  <c r="L89" i="45"/>
  <c r="Q89" i="45"/>
  <c r="R89" i="45"/>
  <c r="S89" i="45"/>
  <c r="T89" i="45"/>
  <c r="U89" i="45"/>
  <c r="V89" i="45"/>
  <c r="W89" i="45"/>
  <c r="X89" i="45"/>
  <c r="Y89" i="45"/>
  <c r="AA89" i="45"/>
  <c r="AH89" i="45"/>
  <c r="AI89" i="45"/>
  <c r="K90" i="45"/>
  <c r="N90" i="45"/>
  <c r="Z90" i="45"/>
  <c r="AC90" i="45"/>
  <c r="K91" i="45"/>
  <c r="N91" i="45"/>
  <c r="Z91" i="45"/>
  <c r="AC91" i="45"/>
  <c r="K92" i="45"/>
  <c r="N92" i="45"/>
  <c r="Z92" i="45"/>
  <c r="AC92" i="45"/>
  <c r="K94" i="45"/>
  <c r="N94" i="45"/>
  <c r="Z94" i="45"/>
  <c r="AC94" i="45"/>
  <c r="K95" i="45"/>
  <c r="N95" i="45"/>
  <c r="Z95" i="45"/>
  <c r="AC95" i="45"/>
  <c r="B96" i="45"/>
  <c r="C96" i="45"/>
  <c r="D96" i="45"/>
  <c r="L96" i="45"/>
  <c r="Q96" i="45"/>
  <c r="R96" i="45"/>
  <c r="S96" i="45"/>
  <c r="T96" i="45"/>
  <c r="U96" i="45"/>
  <c r="V96" i="45"/>
  <c r="W96" i="45"/>
  <c r="X96" i="45"/>
  <c r="Y96" i="45"/>
  <c r="AA96" i="45"/>
  <c r="AC96" i="45" s="1"/>
  <c r="AH96" i="45"/>
  <c r="AI96" i="45"/>
  <c r="K97" i="45"/>
  <c r="N97" i="45"/>
  <c r="Z97" i="45"/>
  <c r="AC97" i="45"/>
  <c r="K98" i="45"/>
  <c r="N98" i="45"/>
  <c r="Z98" i="45"/>
  <c r="AC98" i="45"/>
  <c r="K100" i="45"/>
  <c r="N100" i="45"/>
  <c r="K101" i="45"/>
  <c r="N101" i="45"/>
  <c r="Z101" i="45"/>
  <c r="AC101" i="45"/>
  <c r="B104" i="45"/>
  <c r="C104" i="45"/>
  <c r="D104" i="45"/>
  <c r="E104" i="45"/>
  <c r="F104" i="45"/>
  <c r="G104" i="45"/>
  <c r="H104" i="45"/>
  <c r="I104" i="45"/>
  <c r="J104" i="45"/>
  <c r="L104" i="45"/>
  <c r="M104" i="45"/>
  <c r="Q104" i="45"/>
  <c r="R104" i="45"/>
  <c r="S104" i="45"/>
  <c r="T104" i="45"/>
  <c r="U104" i="45"/>
  <c r="V104" i="45"/>
  <c r="W104" i="45"/>
  <c r="X104" i="45"/>
  <c r="Y104" i="45"/>
  <c r="AA104" i="45"/>
  <c r="AB104" i="45"/>
  <c r="AH104" i="45"/>
  <c r="AI104" i="45"/>
  <c r="K105" i="45"/>
  <c r="N105" i="45"/>
  <c r="Z105" i="45"/>
  <c r="AC105" i="45"/>
  <c r="K106" i="45"/>
  <c r="N106" i="45"/>
  <c r="Z106" i="45"/>
  <c r="AC106" i="45"/>
  <c r="Z107" i="45"/>
  <c r="AC107" i="45"/>
  <c r="Z108" i="45"/>
  <c r="AC108" i="45"/>
  <c r="Z109" i="45"/>
  <c r="AC109" i="45"/>
  <c r="Z110" i="45"/>
  <c r="AD110" i="45" s="1"/>
  <c r="AC110" i="45"/>
  <c r="K111" i="45"/>
  <c r="N111" i="45"/>
  <c r="Z111" i="45"/>
  <c r="AC111" i="45"/>
  <c r="Z112" i="45"/>
  <c r="AC112" i="45"/>
  <c r="K113" i="45"/>
  <c r="N113" i="45"/>
  <c r="Z113" i="45"/>
  <c r="AC113" i="45"/>
  <c r="Z114" i="45"/>
  <c r="AC114" i="45"/>
  <c r="K115" i="45"/>
  <c r="N115" i="45"/>
  <c r="Z115" i="45"/>
  <c r="AC115" i="45"/>
  <c r="K116" i="45"/>
  <c r="N116" i="45"/>
  <c r="Z116" i="45"/>
  <c r="AC116" i="45"/>
  <c r="Z117" i="45"/>
  <c r="AC117" i="45"/>
  <c r="Z118" i="45"/>
  <c r="AC118" i="45"/>
  <c r="Z119" i="45"/>
  <c r="AC119" i="45"/>
  <c r="Z120" i="45"/>
  <c r="AC120" i="45"/>
  <c r="AD120" i="45" s="1"/>
  <c r="K121" i="45"/>
  <c r="N121" i="45"/>
  <c r="Z121" i="45"/>
  <c r="AC121" i="45"/>
  <c r="B123" i="45"/>
  <c r="C123" i="45"/>
  <c r="L123" i="45"/>
  <c r="M123" i="45"/>
  <c r="Q123" i="45"/>
  <c r="R123" i="45"/>
  <c r="S123" i="45"/>
  <c r="T123" i="45"/>
  <c r="U123" i="45"/>
  <c r="V123" i="45"/>
  <c r="W123" i="45"/>
  <c r="X123" i="45"/>
  <c r="Y123" i="45"/>
  <c r="AA123" i="45"/>
  <c r="AB123" i="45"/>
  <c r="AF123" i="45"/>
  <c r="AG123" i="45"/>
  <c r="AH123" i="45"/>
  <c r="AI123" i="45"/>
  <c r="K124" i="45"/>
  <c r="K123" i="45" s="1"/>
  <c r="N124" i="45"/>
  <c r="N123" i="45" s="1"/>
  <c r="Z124" i="45"/>
  <c r="Z123" i="45" s="1"/>
  <c r="AC124" i="45"/>
  <c r="B135" i="45"/>
  <c r="C135" i="45"/>
  <c r="D135" i="45"/>
  <c r="E135" i="45"/>
  <c r="F135" i="45"/>
  <c r="G135" i="45"/>
  <c r="H135" i="45"/>
  <c r="I135" i="45"/>
  <c r="J135" i="45"/>
  <c r="L135" i="45"/>
  <c r="M135" i="45"/>
  <c r="Q135" i="45"/>
  <c r="R135" i="45"/>
  <c r="S135" i="45"/>
  <c r="T135" i="45"/>
  <c r="U135" i="45"/>
  <c r="V135" i="45"/>
  <c r="W135" i="45"/>
  <c r="X135" i="45"/>
  <c r="Y135" i="45"/>
  <c r="AA135" i="45"/>
  <c r="AB135" i="45"/>
  <c r="AH135" i="45"/>
  <c r="AI135" i="45"/>
  <c r="K141" i="45"/>
  <c r="N141" i="45"/>
  <c r="Z141" i="45"/>
  <c r="AC141" i="45"/>
  <c r="K142" i="45"/>
  <c r="N142" i="45"/>
  <c r="Z142" i="45"/>
  <c r="AC142" i="45"/>
  <c r="K143" i="45"/>
  <c r="N143" i="45"/>
  <c r="Z143" i="45"/>
  <c r="AC143" i="45"/>
  <c r="B144" i="45"/>
  <c r="C144" i="45"/>
  <c r="D144" i="45"/>
  <c r="E144" i="45"/>
  <c r="F144" i="45"/>
  <c r="G144" i="45"/>
  <c r="H144" i="45"/>
  <c r="I144" i="45"/>
  <c r="J144" i="45"/>
  <c r="L144" i="45"/>
  <c r="M144" i="45"/>
  <c r="Q144" i="45"/>
  <c r="R144" i="45"/>
  <c r="S144" i="45"/>
  <c r="T144" i="45"/>
  <c r="U144" i="45"/>
  <c r="V144" i="45"/>
  <c r="W144" i="45"/>
  <c r="X144" i="45"/>
  <c r="Y144" i="45"/>
  <c r="AA144" i="45"/>
  <c r="AB144" i="45"/>
  <c r="AH144" i="45"/>
  <c r="AI144" i="45"/>
  <c r="K145" i="45"/>
  <c r="N145" i="45"/>
  <c r="Z145" i="45"/>
  <c r="AC145" i="45"/>
  <c r="K146" i="45"/>
  <c r="N146" i="45"/>
  <c r="Z146" i="45"/>
  <c r="AC146" i="45"/>
  <c r="K147" i="45"/>
  <c r="N147" i="45"/>
  <c r="Z147" i="45"/>
  <c r="AC147" i="45"/>
  <c r="K148" i="45"/>
  <c r="N148" i="45"/>
  <c r="Z148" i="45"/>
  <c r="AC148" i="45"/>
  <c r="K149" i="45"/>
  <c r="N149" i="45"/>
  <c r="Z149" i="45"/>
  <c r="AC149" i="45"/>
  <c r="K150" i="45"/>
  <c r="N150" i="45"/>
  <c r="Z150" i="45"/>
  <c r="AC150" i="45"/>
  <c r="B151" i="45"/>
  <c r="C151" i="45"/>
  <c r="D151" i="45"/>
  <c r="E151" i="45"/>
  <c r="F151" i="45"/>
  <c r="G151" i="45"/>
  <c r="H151" i="45"/>
  <c r="I151" i="45"/>
  <c r="J151" i="45"/>
  <c r="L151" i="45"/>
  <c r="M151" i="45"/>
  <c r="Q151" i="45"/>
  <c r="R151" i="45"/>
  <c r="S151" i="45"/>
  <c r="T151" i="45"/>
  <c r="U151" i="45"/>
  <c r="V151" i="45"/>
  <c r="W151" i="45"/>
  <c r="X151" i="45"/>
  <c r="Y151" i="45"/>
  <c r="AA151" i="45"/>
  <c r="AB151" i="45"/>
  <c r="AH151" i="45"/>
  <c r="AI151" i="45"/>
  <c r="K152" i="45"/>
  <c r="N152" i="45"/>
  <c r="Z152" i="45"/>
  <c r="AC152" i="45"/>
  <c r="K153" i="45"/>
  <c r="N153" i="45"/>
  <c r="Z153" i="45"/>
  <c r="AD153" i="45" s="1"/>
  <c r="AC153" i="45"/>
  <c r="K154" i="45"/>
  <c r="N154" i="45"/>
  <c r="Z154" i="45"/>
  <c r="AD154" i="45" s="1"/>
  <c r="AE154" i="45" s="1"/>
  <c r="AC154" i="45"/>
  <c r="K155" i="45"/>
  <c r="N155" i="45"/>
  <c r="O155" i="45"/>
  <c r="P155" i="45" s="1"/>
  <c r="Z155" i="45"/>
  <c r="AD155" i="45" s="1"/>
  <c r="AC155" i="45"/>
  <c r="K156" i="45"/>
  <c r="N156" i="45"/>
  <c r="Z156" i="45"/>
  <c r="AD156" i="45" s="1"/>
  <c r="AE156" i="45" s="1"/>
  <c r="AC156" i="45"/>
  <c r="K157" i="45"/>
  <c r="N157" i="45"/>
  <c r="Z157" i="45"/>
  <c r="AD157" i="45" s="1"/>
  <c r="AC157" i="45"/>
  <c r="B158" i="45"/>
  <c r="C158" i="45"/>
  <c r="D158" i="45"/>
  <c r="E158" i="45"/>
  <c r="F158" i="45"/>
  <c r="G158" i="45"/>
  <c r="H158" i="45"/>
  <c r="I158" i="45"/>
  <c r="J158" i="45"/>
  <c r="L158" i="45"/>
  <c r="M158" i="45"/>
  <c r="Q158" i="45"/>
  <c r="R158" i="45"/>
  <c r="S158" i="45"/>
  <c r="T158" i="45"/>
  <c r="U158" i="45"/>
  <c r="V158" i="45"/>
  <c r="W158" i="45"/>
  <c r="X158" i="45"/>
  <c r="Y158" i="45"/>
  <c r="AA158" i="45"/>
  <c r="AB158" i="45"/>
  <c r="AH158" i="45"/>
  <c r="AI158" i="45"/>
  <c r="K159" i="45"/>
  <c r="N159" i="45"/>
  <c r="Z159" i="45"/>
  <c r="AC159" i="45"/>
  <c r="K160" i="45"/>
  <c r="N160" i="45"/>
  <c r="Z160" i="45"/>
  <c r="AD160" i="45" s="1"/>
  <c r="AE160" i="45" s="1"/>
  <c r="AC160" i="45"/>
  <c r="K161" i="45"/>
  <c r="N161" i="45"/>
  <c r="Z161" i="45"/>
  <c r="AD161" i="45" s="1"/>
  <c r="AC161" i="45"/>
  <c r="K162" i="45"/>
  <c r="N162" i="45"/>
  <c r="Z162" i="45"/>
  <c r="AD162" i="45" s="1"/>
  <c r="AE162" i="45" s="1"/>
  <c r="AC162" i="45"/>
  <c r="K163" i="45"/>
  <c r="N163" i="45"/>
  <c r="Z163" i="45"/>
  <c r="AD163" i="45" s="1"/>
  <c r="AC163" i="45"/>
  <c r="K164" i="45"/>
  <c r="N164" i="45"/>
  <c r="Z164" i="45"/>
  <c r="AD164" i="45" s="1"/>
  <c r="AE164" i="45" s="1"/>
  <c r="AC164" i="45"/>
  <c r="B166" i="45"/>
  <c r="C166" i="45"/>
  <c r="D166" i="45"/>
  <c r="E166" i="45"/>
  <c r="F166" i="45"/>
  <c r="G166" i="45"/>
  <c r="H166" i="45"/>
  <c r="I166" i="45"/>
  <c r="J166" i="45"/>
  <c r="L166" i="45"/>
  <c r="M166" i="45"/>
  <c r="Q166" i="45"/>
  <c r="R166" i="45"/>
  <c r="S166" i="45"/>
  <c r="T166" i="45"/>
  <c r="U166" i="45"/>
  <c r="V166" i="45"/>
  <c r="W166" i="45"/>
  <c r="X166" i="45"/>
  <c r="Y166" i="45"/>
  <c r="AA166" i="45"/>
  <c r="AB166" i="45"/>
  <c r="AH166" i="45"/>
  <c r="AI166" i="45"/>
  <c r="K167" i="45"/>
  <c r="N167" i="45"/>
  <c r="Z167" i="45"/>
  <c r="AD167" i="45" s="1"/>
  <c r="AC167" i="45"/>
  <c r="K168" i="45"/>
  <c r="N168" i="45"/>
  <c r="Z168" i="45"/>
  <c r="AD168" i="45" s="1"/>
  <c r="AC168" i="45"/>
  <c r="K169" i="45"/>
  <c r="N169" i="45"/>
  <c r="Z169" i="45"/>
  <c r="AD169" i="45" s="1"/>
  <c r="AC169" i="45"/>
  <c r="K170" i="45"/>
  <c r="N170" i="45"/>
  <c r="Z170" i="45"/>
  <c r="AD170" i="45" s="1"/>
  <c r="AE170" i="45" s="1"/>
  <c r="AC170" i="45"/>
  <c r="K171" i="45"/>
  <c r="N171" i="45"/>
  <c r="Z171" i="45"/>
  <c r="AD171" i="45" s="1"/>
  <c r="AE171" i="45" s="1"/>
  <c r="AC171" i="45"/>
  <c r="K172" i="45"/>
  <c r="N172" i="45"/>
  <c r="Z172" i="45"/>
  <c r="AD172" i="45" s="1"/>
  <c r="AC172" i="45"/>
  <c r="K173" i="45"/>
  <c r="N173" i="45"/>
  <c r="Z173" i="45"/>
  <c r="AD173" i="45" s="1"/>
  <c r="AE173" i="45" s="1"/>
  <c r="AC173" i="45"/>
  <c r="K174" i="45"/>
  <c r="N174" i="45"/>
  <c r="Z174" i="45"/>
  <c r="AD174" i="45" s="1"/>
  <c r="AE174" i="45" s="1"/>
  <c r="AC174" i="45"/>
  <c r="K175" i="45"/>
  <c r="N175" i="45"/>
  <c r="Z175" i="45"/>
  <c r="AD175" i="45" s="1"/>
  <c r="AC175" i="45"/>
  <c r="K176" i="45"/>
  <c r="N176" i="45"/>
  <c r="Z176" i="45"/>
  <c r="AD176" i="45" s="1"/>
  <c r="AC176" i="45"/>
  <c r="K177" i="45"/>
  <c r="N177" i="45"/>
  <c r="Z177" i="45"/>
  <c r="AD177" i="45" s="1"/>
  <c r="AC177" i="45"/>
  <c r="K178" i="45"/>
  <c r="N178" i="45"/>
  <c r="Z178" i="45"/>
  <c r="AD178" i="45" s="1"/>
  <c r="AE178" i="45" s="1"/>
  <c r="AC178" i="45"/>
  <c r="K179" i="45"/>
  <c r="N179" i="45"/>
  <c r="Z179" i="45"/>
  <c r="AD179" i="45" s="1"/>
  <c r="AC179" i="45"/>
  <c r="K180" i="45"/>
  <c r="N180" i="45"/>
  <c r="Z180" i="45"/>
  <c r="AD180" i="45" s="1"/>
  <c r="AE180" i="45" s="1"/>
  <c r="AC180" i="45"/>
  <c r="K181" i="45"/>
  <c r="N181" i="45"/>
  <c r="Z181" i="45"/>
  <c r="AD181" i="45" s="1"/>
  <c r="AC181" i="45"/>
  <c r="K182" i="45"/>
  <c r="N182" i="45"/>
  <c r="Z182" i="45"/>
  <c r="AD182" i="45" s="1"/>
  <c r="AE182" i="45" s="1"/>
  <c r="AC182" i="45"/>
  <c r="K183" i="45"/>
  <c r="N183" i="45"/>
  <c r="Z183" i="45"/>
  <c r="AD183" i="45" s="1"/>
  <c r="AC183" i="45"/>
  <c r="K184" i="45"/>
  <c r="N184" i="45"/>
  <c r="Z184" i="45"/>
  <c r="AD184" i="45" s="1"/>
  <c r="AE184" i="45" s="1"/>
  <c r="AC184" i="45"/>
  <c r="K185" i="45"/>
  <c r="N185" i="45"/>
  <c r="Z185" i="45"/>
  <c r="AD185" i="45" s="1"/>
  <c r="AC185" i="45"/>
  <c r="K186" i="45"/>
  <c r="N186" i="45"/>
  <c r="Z186" i="45"/>
  <c r="AD186" i="45" s="1"/>
  <c r="AC186" i="45"/>
  <c r="K187" i="45"/>
  <c r="N187" i="45"/>
  <c r="Z187" i="45"/>
  <c r="AD187" i="45" s="1"/>
  <c r="AC187" i="45"/>
  <c r="K188" i="45"/>
  <c r="N188" i="45"/>
  <c r="Z188" i="45"/>
  <c r="AD188" i="45" s="1"/>
  <c r="AE188" i="45" s="1"/>
  <c r="AC188" i="45"/>
  <c r="K189" i="45"/>
  <c r="N189" i="45"/>
  <c r="Z189" i="45"/>
  <c r="AD189" i="45" s="1"/>
  <c r="AC189" i="45"/>
  <c r="K190" i="45"/>
  <c r="N190" i="45"/>
  <c r="Z190" i="45"/>
  <c r="AD190" i="45" s="1"/>
  <c r="AE190" i="45" s="1"/>
  <c r="AC190" i="45"/>
  <c r="K191" i="45"/>
  <c r="N191" i="45"/>
  <c r="Z191" i="45"/>
  <c r="AD191" i="45" s="1"/>
  <c r="AC191" i="45"/>
  <c r="K192" i="45"/>
  <c r="N192" i="45"/>
  <c r="Z192" i="45"/>
  <c r="AD192" i="45" s="1"/>
  <c r="AE192" i="45" s="1"/>
  <c r="AC192" i="45"/>
  <c r="K193" i="45"/>
  <c r="N193" i="45"/>
  <c r="Z193" i="45"/>
  <c r="AD193" i="45" s="1"/>
  <c r="AC193" i="45"/>
  <c r="K194" i="45"/>
  <c r="N194" i="45"/>
  <c r="Z194" i="45"/>
  <c r="AD194" i="45" s="1"/>
  <c r="AE194" i="45" s="1"/>
  <c r="AC194" i="45"/>
  <c r="K195" i="45"/>
  <c r="N195" i="45"/>
  <c r="Z195" i="45"/>
  <c r="AD195" i="45" s="1"/>
  <c r="AC195" i="45"/>
  <c r="K196" i="45"/>
  <c r="N196" i="45"/>
  <c r="Z196" i="45"/>
  <c r="AD196" i="45" s="1"/>
  <c r="AE196" i="45" s="1"/>
  <c r="AC196" i="45"/>
  <c r="K197" i="45"/>
  <c r="O197" i="45" s="1"/>
  <c r="P197" i="45" s="1"/>
  <c r="N197" i="45"/>
  <c r="Z197" i="45"/>
  <c r="AD197" i="45" s="1"/>
  <c r="AC197" i="45"/>
  <c r="K198" i="45"/>
  <c r="N198" i="45"/>
  <c r="Z198" i="45"/>
  <c r="AD198" i="45" s="1"/>
  <c r="AE198" i="45" s="1"/>
  <c r="AC198" i="45"/>
  <c r="K199" i="45"/>
  <c r="N199" i="45"/>
  <c r="Z199" i="45"/>
  <c r="AD199" i="45" s="1"/>
  <c r="AC199" i="45"/>
  <c r="B202" i="45"/>
  <c r="B201" i="45" s="1"/>
  <c r="C202" i="45"/>
  <c r="C201" i="45" s="1"/>
  <c r="D202" i="45"/>
  <c r="D201" i="45" s="1"/>
  <c r="E202" i="45"/>
  <c r="E201" i="45" s="1"/>
  <c r="F202" i="45"/>
  <c r="F201" i="45" s="1"/>
  <c r="G202" i="45"/>
  <c r="G201" i="45" s="1"/>
  <c r="H202" i="45"/>
  <c r="H201" i="45" s="1"/>
  <c r="I202" i="45"/>
  <c r="I201" i="45" s="1"/>
  <c r="J202" i="45"/>
  <c r="J201" i="45" s="1"/>
  <c r="L202" i="45"/>
  <c r="L201" i="45" s="1"/>
  <c r="M202" i="45"/>
  <c r="M201" i="45" s="1"/>
  <c r="Q202" i="45"/>
  <c r="Q201" i="45" s="1"/>
  <c r="R202" i="45"/>
  <c r="R201" i="45" s="1"/>
  <c r="S202" i="45"/>
  <c r="S201" i="45" s="1"/>
  <c r="T202" i="45"/>
  <c r="T201" i="45" s="1"/>
  <c r="U202" i="45"/>
  <c r="U201" i="45" s="1"/>
  <c r="V202" i="45"/>
  <c r="V201" i="45" s="1"/>
  <c r="W202" i="45"/>
  <c r="W201" i="45" s="1"/>
  <c r="X202" i="45"/>
  <c r="X201" i="45" s="1"/>
  <c r="Y202" i="45"/>
  <c r="Y201" i="45" s="1"/>
  <c r="AA202" i="45"/>
  <c r="AA201" i="45" s="1"/>
  <c r="AB202" i="45"/>
  <c r="AB201" i="45" s="1"/>
  <c r="AH202" i="45"/>
  <c r="AH201" i="45" s="1"/>
  <c r="AI202" i="45"/>
  <c r="AI201" i="45" s="1"/>
  <c r="K204" i="45"/>
  <c r="N204" i="45"/>
  <c r="N202" i="45" s="1"/>
  <c r="N201" i="45" s="1"/>
  <c r="Z204" i="45"/>
  <c r="AC204" i="45"/>
  <c r="AC202" i="45" s="1"/>
  <c r="AC201" i="45" s="1"/>
  <c r="B206" i="45"/>
  <c r="C206" i="45"/>
  <c r="D206" i="45"/>
  <c r="E206" i="45"/>
  <c r="F206" i="45"/>
  <c r="G206" i="45"/>
  <c r="H206" i="45"/>
  <c r="I206" i="45"/>
  <c r="J206" i="45"/>
  <c r="L206" i="45"/>
  <c r="M206" i="45"/>
  <c r="Q206" i="45"/>
  <c r="R206" i="45"/>
  <c r="S206" i="45"/>
  <c r="T206" i="45"/>
  <c r="U206" i="45"/>
  <c r="V206" i="45"/>
  <c r="W206" i="45"/>
  <c r="X206" i="45"/>
  <c r="Y206" i="45"/>
  <c r="AA206" i="45"/>
  <c r="AB206" i="45"/>
  <c r="AH206" i="45"/>
  <c r="AI206" i="45"/>
  <c r="K209" i="45"/>
  <c r="N209" i="45"/>
  <c r="Z209" i="45"/>
  <c r="AC209" i="45"/>
  <c r="K210" i="45"/>
  <c r="N210" i="45"/>
  <c r="Z210" i="45"/>
  <c r="AD210" i="45" s="1"/>
  <c r="AC210" i="45"/>
  <c r="K213" i="45"/>
  <c r="N213" i="45"/>
  <c r="Z213" i="45"/>
  <c r="AD213" i="45" s="1"/>
  <c r="AE213" i="45" s="1"/>
  <c r="AC213" i="45"/>
  <c r="K226" i="45"/>
  <c r="O226" i="45" s="1"/>
  <c r="P226" i="45" s="1"/>
  <c r="N226" i="45"/>
  <c r="Z226" i="45"/>
  <c r="AD226" i="45" s="1"/>
  <c r="AC226" i="45"/>
  <c r="K227" i="45"/>
  <c r="O227" i="45" s="1"/>
  <c r="P227" i="45" s="1"/>
  <c r="N227" i="45"/>
  <c r="Z227" i="45"/>
  <c r="AC227" i="45"/>
  <c r="K228" i="45"/>
  <c r="O228" i="45" s="1"/>
  <c r="N228" i="45"/>
  <c r="Z228" i="45"/>
  <c r="AD228" i="45" s="1"/>
  <c r="AE228" i="45" s="1"/>
  <c r="AC228" i="45"/>
  <c r="K229" i="45"/>
  <c r="O229" i="45" s="1"/>
  <c r="N229" i="45"/>
  <c r="Z229" i="45"/>
  <c r="AD229" i="45" s="1"/>
  <c r="AE229" i="45" s="1"/>
  <c r="AC229" i="45"/>
  <c r="K230" i="45"/>
  <c r="O230" i="45" s="1"/>
  <c r="P230" i="45" s="1"/>
  <c r="N230" i="45"/>
  <c r="Z230" i="45"/>
  <c r="AD230" i="45" s="1"/>
  <c r="AE230" i="45" s="1"/>
  <c r="AC230" i="45"/>
  <c r="K231" i="45"/>
  <c r="O231" i="45" s="1"/>
  <c r="P231" i="45" s="1"/>
  <c r="N231" i="45"/>
  <c r="Z231" i="45"/>
  <c r="AD231" i="45" s="1"/>
  <c r="AC231" i="45"/>
  <c r="K232" i="45"/>
  <c r="O232" i="45" s="1"/>
  <c r="N232" i="45"/>
  <c r="Z232" i="45"/>
  <c r="AD232" i="45" s="1"/>
  <c r="AE232" i="45" s="1"/>
  <c r="AC232" i="45"/>
  <c r="K233" i="45"/>
  <c r="O233" i="45" s="1"/>
  <c r="N233" i="45"/>
  <c r="Z233" i="45"/>
  <c r="AD233" i="45" s="1"/>
  <c r="AE233" i="45" s="1"/>
  <c r="AC233" i="45"/>
  <c r="K234" i="45"/>
  <c r="N234" i="45"/>
  <c r="O234" i="45"/>
  <c r="P234" i="45" s="1"/>
  <c r="Z234" i="45"/>
  <c r="AD234" i="45" s="1"/>
  <c r="AC234" i="45"/>
  <c r="K235" i="45"/>
  <c r="O235" i="45" s="1"/>
  <c r="N235" i="45"/>
  <c r="Z235" i="45"/>
  <c r="AD235" i="45" s="1"/>
  <c r="AE235" i="45" s="1"/>
  <c r="AC235" i="45"/>
  <c r="K236" i="45"/>
  <c r="O236" i="45" s="1"/>
  <c r="P236" i="45" s="1"/>
  <c r="N236" i="45"/>
  <c r="Z236" i="45"/>
  <c r="AD236" i="45" s="1"/>
  <c r="AE236" i="45" s="1"/>
  <c r="AC236" i="45"/>
  <c r="K237" i="45"/>
  <c r="O237" i="45" s="1"/>
  <c r="P237" i="45" s="1"/>
  <c r="N237" i="45"/>
  <c r="Z237" i="45"/>
  <c r="AD237" i="45" s="1"/>
  <c r="AE237" i="45" s="1"/>
  <c r="AC237" i="45"/>
  <c r="K238" i="45"/>
  <c r="O238" i="45" s="1"/>
  <c r="N238" i="45"/>
  <c r="Z238" i="45"/>
  <c r="AD238" i="45" s="1"/>
  <c r="AE238" i="45" s="1"/>
  <c r="AC238" i="45"/>
  <c r="K239" i="45"/>
  <c r="O239" i="45" s="1"/>
  <c r="N239" i="45"/>
  <c r="Z239" i="45"/>
  <c r="AD239" i="45" s="1"/>
  <c r="AE239" i="45" s="1"/>
  <c r="AC239" i="45"/>
  <c r="K240" i="45"/>
  <c r="O240" i="45" s="1"/>
  <c r="N240" i="45"/>
  <c r="Z240" i="45"/>
  <c r="AD240" i="45" s="1"/>
  <c r="AE240" i="45" s="1"/>
  <c r="AC240" i="45"/>
  <c r="C243" i="45"/>
  <c r="K243" i="45" s="1"/>
  <c r="O243" i="45" s="1"/>
  <c r="N243" i="45"/>
  <c r="Z243" i="45"/>
  <c r="AD243" i="45" s="1"/>
  <c r="AE243" i="45" s="1"/>
  <c r="AC243" i="45"/>
  <c r="C244" i="45"/>
  <c r="K244" i="45" s="1"/>
  <c r="O244" i="45" s="1"/>
  <c r="P244" i="45" s="1"/>
  <c r="N244" i="45"/>
  <c r="Z244" i="45"/>
  <c r="AC244" i="45"/>
  <c r="AD244" i="45"/>
  <c r="AE244" i="45" s="1"/>
  <c r="C245" i="45"/>
  <c r="K245" i="45" s="1"/>
  <c r="O245" i="45" s="1"/>
  <c r="P245" i="45" s="1"/>
  <c r="N245" i="45"/>
  <c r="Z245" i="45"/>
  <c r="AD245" i="45" s="1"/>
  <c r="AE245" i="45" s="1"/>
  <c r="AC245" i="45"/>
  <c r="C246" i="45"/>
  <c r="K246" i="45" s="1"/>
  <c r="O246" i="45" s="1"/>
  <c r="N246" i="45"/>
  <c r="Z246" i="45"/>
  <c r="AC246" i="45"/>
  <c r="AD246" i="45"/>
  <c r="AE246" i="45" s="1"/>
  <c r="C247" i="45"/>
  <c r="K247" i="45" s="1"/>
  <c r="O247" i="45" s="1"/>
  <c r="N247" i="45"/>
  <c r="Z247" i="45"/>
  <c r="AD247" i="45" s="1"/>
  <c r="AE247" i="45" s="1"/>
  <c r="AC247" i="45"/>
  <c r="C248" i="45"/>
  <c r="K248" i="45" s="1"/>
  <c r="O248" i="45" s="1"/>
  <c r="N248" i="45"/>
  <c r="Z248" i="45"/>
  <c r="AD248" i="45" s="1"/>
  <c r="AE248" i="45" s="1"/>
  <c r="AC248" i="45"/>
  <c r="C249" i="45"/>
  <c r="K249" i="45" s="1"/>
  <c r="O249" i="45" s="1"/>
  <c r="P249" i="45" s="1"/>
  <c r="N249" i="45"/>
  <c r="Z249" i="45"/>
  <c r="AD249" i="45" s="1"/>
  <c r="AE249" i="45" s="1"/>
  <c r="AC249" i="45"/>
  <c r="C250" i="45"/>
  <c r="K250" i="45" s="1"/>
  <c r="O250" i="45" s="1"/>
  <c r="N250" i="45"/>
  <c r="Z250" i="45"/>
  <c r="AD250" i="45" s="1"/>
  <c r="AE250" i="45" s="1"/>
  <c r="AC250" i="45"/>
  <c r="C251" i="45"/>
  <c r="K251" i="45" s="1"/>
  <c r="O251" i="45" s="1"/>
  <c r="N251" i="45"/>
  <c r="Z251" i="45"/>
  <c r="AD251" i="45" s="1"/>
  <c r="AE251" i="45" s="1"/>
  <c r="AC251" i="45"/>
  <c r="C252" i="45"/>
  <c r="K252" i="45" s="1"/>
  <c r="O252" i="45" s="1"/>
  <c r="N252" i="45"/>
  <c r="Z252" i="45"/>
  <c r="AD252" i="45" s="1"/>
  <c r="AE252" i="45" s="1"/>
  <c r="AC252" i="45"/>
  <c r="C253" i="45"/>
  <c r="K253" i="45" s="1"/>
  <c r="O253" i="45" s="1"/>
  <c r="P253" i="45" s="1"/>
  <c r="N253" i="45"/>
  <c r="Z253" i="45"/>
  <c r="AD253" i="45" s="1"/>
  <c r="AE253" i="45" s="1"/>
  <c r="AC253" i="45"/>
  <c r="C254" i="45"/>
  <c r="K254" i="45" s="1"/>
  <c r="O254" i="45" s="1"/>
  <c r="N254" i="45"/>
  <c r="Z254" i="45"/>
  <c r="AD254" i="45" s="1"/>
  <c r="AE254" i="45" s="1"/>
  <c r="AC254" i="45"/>
  <c r="C255" i="45"/>
  <c r="K255" i="45" s="1"/>
  <c r="O255" i="45" s="1"/>
  <c r="N255" i="45"/>
  <c r="Z255" i="45"/>
  <c r="AD255" i="45" s="1"/>
  <c r="AE255" i="45" s="1"/>
  <c r="AC255" i="45"/>
  <c r="C256" i="45"/>
  <c r="K256" i="45" s="1"/>
  <c r="O256" i="45" s="1"/>
  <c r="N256" i="45"/>
  <c r="Z256" i="45"/>
  <c r="AD256" i="45" s="1"/>
  <c r="AE256" i="45" s="1"/>
  <c r="AC256" i="45"/>
  <c r="K257" i="45"/>
  <c r="O257" i="45" s="1"/>
  <c r="P257" i="45" s="1"/>
  <c r="N257" i="45"/>
  <c r="Z257" i="45"/>
  <c r="AD257" i="45" s="1"/>
  <c r="AE257" i="45" s="1"/>
  <c r="AC257" i="45"/>
  <c r="K258" i="45"/>
  <c r="O258" i="45" s="1"/>
  <c r="N258" i="45"/>
  <c r="Z258" i="45"/>
  <c r="AD258" i="45" s="1"/>
  <c r="AE258" i="45" s="1"/>
  <c r="AC258" i="45"/>
  <c r="K259" i="45"/>
  <c r="O259" i="45" s="1"/>
  <c r="P259" i="45" s="1"/>
  <c r="N259" i="45"/>
  <c r="Z259" i="45"/>
  <c r="AD259" i="45" s="1"/>
  <c r="AE259" i="45" s="1"/>
  <c r="AC259" i="45"/>
  <c r="K260" i="45"/>
  <c r="O260" i="45" s="1"/>
  <c r="N260" i="45"/>
  <c r="Z260" i="45"/>
  <c r="AD260" i="45" s="1"/>
  <c r="AE260" i="45" s="1"/>
  <c r="AC260" i="45"/>
  <c r="K261" i="45"/>
  <c r="O261" i="45" s="1"/>
  <c r="N261" i="45"/>
  <c r="Z261" i="45"/>
  <c r="AD261" i="45" s="1"/>
  <c r="AE261" i="45" s="1"/>
  <c r="AC261" i="45"/>
  <c r="K262" i="45"/>
  <c r="O262" i="45" s="1"/>
  <c r="N262" i="45"/>
  <c r="Z262" i="45"/>
  <c r="AD262" i="45" s="1"/>
  <c r="AE262" i="45" s="1"/>
  <c r="AC262" i="45"/>
  <c r="K263" i="45"/>
  <c r="O263" i="45" s="1"/>
  <c r="N263" i="45"/>
  <c r="Z263" i="45"/>
  <c r="AD263" i="45" s="1"/>
  <c r="AE263" i="45" s="1"/>
  <c r="AC263" i="45"/>
  <c r="C264" i="45"/>
  <c r="K264" i="45" s="1"/>
  <c r="O264" i="45" s="1"/>
  <c r="P264" i="45" s="1"/>
  <c r="N264" i="45"/>
  <c r="Z264" i="45"/>
  <c r="AD264" i="45" s="1"/>
  <c r="AE264" i="45" s="1"/>
  <c r="AC264" i="45"/>
  <c r="C265" i="45"/>
  <c r="K265" i="45" s="1"/>
  <c r="O265" i="45" s="1"/>
  <c r="N265" i="45"/>
  <c r="Z265" i="45"/>
  <c r="AD265" i="45" s="1"/>
  <c r="AE265" i="45" s="1"/>
  <c r="AC265" i="45"/>
  <c r="K266" i="45"/>
  <c r="O266" i="45" s="1"/>
  <c r="N266" i="45"/>
  <c r="Z266" i="45"/>
  <c r="AD266" i="45" s="1"/>
  <c r="AE266" i="45" s="1"/>
  <c r="AC266" i="45"/>
  <c r="K270" i="45"/>
  <c r="O270" i="45" s="1"/>
  <c r="N270" i="45"/>
  <c r="Z270" i="45"/>
  <c r="AD270" i="45" s="1"/>
  <c r="AE270" i="45" s="1"/>
  <c r="AC270" i="45"/>
  <c r="O275" i="45"/>
  <c r="P275" i="45"/>
  <c r="AD275" i="45"/>
  <c r="AE275" i="45"/>
  <c r="AG275" i="45"/>
  <c r="O276" i="45"/>
  <c r="P276" i="45"/>
  <c r="AD276" i="45"/>
  <c r="AE276" i="45"/>
  <c r="AG276" i="45"/>
  <c r="B279" i="45"/>
  <c r="D279" i="45"/>
  <c r="E279" i="45"/>
  <c r="F279" i="45"/>
  <c r="G279" i="45"/>
  <c r="H279" i="45"/>
  <c r="I279" i="45"/>
  <c r="J279" i="45"/>
  <c r="L279" i="45"/>
  <c r="M279" i="45"/>
  <c r="Q279" i="45"/>
  <c r="R279" i="45"/>
  <c r="S279" i="45"/>
  <c r="T279" i="45"/>
  <c r="U279" i="45"/>
  <c r="V279" i="45"/>
  <c r="W279" i="45"/>
  <c r="X279" i="45"/>
  <c r="Y279" i="45"/>
  <c r="AA279" i="45"/>
  <c r="AB279" i="45"/>
  <c r="AH279" i="45"/>
  <c r="AI279" i="45"/>
  <c r="H33" i="32"/>
  <c r="I33" i="32"/>
  <c r="H38" i="32"/>
  <c r="I38" i="32"/>
  <c r="H40" i="32"/>
  <c r="I40" i="32"/>
  <c r="H42" i="32"/>
  <c r="I42" i="32"/>
  <c r="H46" i="32"/>
  <c r="I46" i="32"/>
  <c r="I47" i="32"/>
  <c r="C49" i="32"/>
  <c r="E49" i="32"/>
  <c r="G49" i="32"/>
  <c r="H54" i="32"/>
  <c r="I54" i="32"/>
  <c r="H59" i="32"/>
  <c r="I59" i="32"/>
  <c r="H63" i="32"/>
  <c r="I63" i="32"/>
  <c r="H67" i="32"/>
  <c r="I67" i="32"/>
  <c r="H68" i="32"/>
  <c r="I68" i="32"/>
  <c r="C70" i="32"/>
  <c r="E70" i="32"/>
  <c r="G70" i="32"/>
  <c r="H77" i="32"/>
  <c r="I77" i="32"/>
  <c r="H82" i="32"/>
  <c r="I82" i="32"/>
  <c r="H84" i="32"/>
  <c r="I84" i="32"/>
  <c r="H86" i="32"/>
  <c r="I86" i="32"/>
  <c r="H90" i="32"/>
  <c r="I90" i="32"/>
  <c r="H91" i="32"/>
  <c r="I91" i="32"/>
  <c r="C93" i="32"/>
  <c r="E93" i="32"/>
  <c r="G93" i="32"/>
  <c r="H93" i="32"/>
  <c r="E99" i="32"/>
  <c r="F99" i="32"/>
  <c r="G99" i="32"/>
  <c r="H99" i="32"/>
  <c r="I99" i="32"/>
  <c r="E104" i="32"/>
  <c r="G104" i="32"/>
  <c r="H104" i="32"/>
  <c r="E106" i="32"/>
  <c r="I106" i="32" s="1"/>
  <c r="G106" i="32"/>
  <c r="H106" i="32"/>
  <c r="E108" i="32"/>
  <c r="I108" i="32" s="1"/>
  <c r="G108" i="32"/>
  <c r="H108" i="32"/>
  <c r="H112" i="32"/>
  <c r="I112" i="32"/>
  <c r="E113" i="32"/>
  <c r="I113" i="32" s="1"/>
  <c r="H113" i="32"/>
  <c r="C115" i="32"/>
  <c r="AH378" i="45" l="1"/>
  <c r="AF547" i="45"/>
  <c r="AF604" i="45"/>
  <c r="AF543" i="45"/>
  <c r="AD296" i="45"/>
  <c r="AE296" i="45" s="1"/>
  <c r="AI296" i="45" s="1"/>
  <c r="AG601" i="45"/>
  <c r="O91" i="45"/>
  <c r="AG296" i="45"/>
  <c r="AF571" i="45"/>
  <c r="U420" i="45"/>
  <c r="AG613" i="45"/>
  <c r="AF299" i="45"/>
  <c r="AD306" i="45"/>
  <c r="AE306" i="45" s="1"/>
  <c r="AI306" i="45" s="1"/>
  <c r="Q420" i="45"/>
  <c r="O180" i="45"/>
  <c r="P180" i="45" s="1"/>
  <c r="O174" i="45"/>
  <c r="P174" i="45" s="1"/>
  <c r="AG299" i="45"/>
  <c r="AG540" i="45"/>
  <c r="AF359" i="45"/>
  <c r="AG377" i="45"/>
  <c r="AF540" i="45"/>
  <c r="G420" i="45"/>
  <c r="M420" i="45"/>
  <c r="AG594" i="45"/>
  <c r="AF569" i="45"/>
  <c r="AF334" i="45"/>
  <c r="K228" i="60"/>
  <c r="I49" i="32"/>
  <c r="O183" i="45"/>
  <c r="P183" i="45" s="1"/>
  <c r="AD106" i="45"/>
  <c r="AE106" i="45" s="1"/>
  <c r="H126" i="45"/>
  <c r="I126" i="45"/>
  <c r="AG367" i="45"/>
  <c r="AF538" i="45"/>
  <c r="AF593" i="45"/>
  <c r="E420" i="45"/>
  <c r="AG326" i="45"/>
  <c r="AG376" i="45"/>
  <c r="AF311" i="45"/>
  <c r="AG545" i="45"/>
  <c r="N358" i="45"/>
  <c r="AF591" i="45"/>
  <c r="AF305" i="45"/>
  <c r="V50" i="60"/>
  <c r="V103" i="60" s="1"/>
  <c r="V228" i="60"/>
  <c r="E126" i="45"/>
  <c r="N82" i="45"/>
  <c r="W420" i="45"/>
  <c r="K294" i="60"/>
  <c r="O179" i="45"/>
  <c r="P179" i="45" s="1"/>
  <c r="O175" i="45"/>
  <c r="P175" i="45" s="1"/>
  <c r="AD142" i="45"/>
  <c r="AE142" i="45" s="1"/>
  <c r="O161" i="45"/>
  <c r="P161" i="45" s="1"/>
  <c r="O121" i="45"/>
  <c r="P121" i="45" s="1"/>
  <c r="O115" i="45"/>
  <c r="P115" i="45" s="1"/>
  <c r="AD112" i="45"/>
  <c r="AE112" i="45" s="1"/>
  <c r="AG112" i="45" s="1"/>
  <c r="AD94" i="45"/>
  <c r="AE94" i="45" s="1"/>
  <c r="AD91" i="45"/>
  <c r="AE91" i="45" s="1"/>
  <c r="AG350" i="45"/>
  <c r="O371" i="45"/>
  <c r="O192" i="45"/>
  <c r="P192" i="45" s="1"/>
  <c r="AG192" i="45" s="1"/>
  <c r="O149" i="45"/>
  <c r="P149" i="45" s="1"/>
  <c r="AG320" i="45"/>
  <c r="AF307" i="45"/>
  <c r="N378" i="45"/>
  <c r="AG373" i="45"/>
  <c r="AC378" i="45"/>
  <c r="AG339" i="45"/>
  <c r="AD310" i="45"/>
  <c r="AF546" i="45"/>
  <c r="AF615" i="45"/>
  <c r="AG590" i="45"/>
  <c r="AG318" i="45"/>
  <c r="K139" i="60"/>
  <c r="O181" i="45"/>
  <c r="P181" i="45" s="1"/>
  <c r="O173" i="45"/>
  <c r="P173" i="45" s="1"/>
  <c r="AG173" i="45" s="1"/>
  <c r="AD145" i="45"/>
  <c r="AF573" i="45"/>
  <c r="AG344" i="45"/>
  <c r="L420" i="45"/>
  <c r="AG337" i="45"/>
  <c r="AG244" i="45"/>
  <c r="Z308" i="45"/>
  <c r="O162" i="45"/>
  <c r="P162" i="45" s="1"/>
  <c r="AG162" i="45" s="1"/>
  <c r="AD119" i="45"/>
  <c r="AE119" i="45" s="1"/>
  <c r="AG119" i="45" s="1"/>
  <c r="O116" i="45"/>
  <c r="P116" i="45" s="1"/>
  <c r="AD113" i="45"/>
  <c r="AE113" i="45" s="1"/>
  <c r="AD98" i="45"/>
  <c r="AE98" i="45" s="1"/>
  <c r="AD92" i="45"/>
  <c r="AE92" i="45" s="1"/>
  <c r="AG319" i="45"/>
  <c r="AF328" i="45"/>
  <c r="B420" i="45"/>
  <c r="AD533" i="45"/>
  <c r="AF601" i="45"/>
  <c r="AG343" i="45"/>
  <c r="AF586" i="45"/>
  <c r="O195" i="45"/>
  <c r="P195" i="45" s="1"/>
  <c r="O193" i="45"/>
  <c r="P193" i="45" s="1"/>
  <c r="O148" i="45"/>
  <c r="P148" i="45" s="1"/>
  <c r="Z378" i="45"/>
  <c r="AF578" i="45"/>
  <c r="Y420" i="45"/>
  <c r="AG369" i="45"/>
  <c r="AG548" i="45"/>
  <c r="AG580" i="45"/>
  <c r="AF322" i="45"/>
  <c r="AF275" i="45"/>
  <c r="O182" i="45"/>
  <c r="P182" i="45" s="1"/>
  <c r="AG182" i="45" s="1"/>
  <c r="O147" i="45"/>
  <c r="P147" i="45" s="1"/>
  <c r="O86" i="45"/>
  <c r="P86" i="45" s="1"/>
  <c r="AG86" i="45" s="1"/>
  <c r="O83" i="45"/>
  <c r="P83" i="45" s="1"/>
  <c r="AG351" i="45"/>
  <c r="AF580" i="45"/>
  <c r="X420" i="45"/>
  <c r="AF613" i="45"/>
  <c r="AI346" i="45"/>
  <c r="AE346" i="45"/>
  <c r="P541" i="45"/>
  <c r="AG605" i="45"/>
  <c r="AG357" i="45"/>
  <c r="O189" i="45"/>
  <c r="P189" i="45" s="1"/>
  <c r="O187" i="45"/>
  <c r="P187" i="45" s="1"/>
  <c r="AG361" i="45"/>
  <c r="AG236" i="45"/>
  <c r="O157" i="45"/>
  <c r="P157" i="45" s="1"/>
  <c r="AD141" i="45"/>
  <c r="AE141" i="45" s="1"/>
  <c r="AD111" i="45"/>
  <c r="AE111" i="45" s="1"/>
  <c r="AH315" i="45"/>
  <c r="P586" i="45"/>
  <c r="AG586" i="45" s="1"/>
  <c r="O87" i="45"/>
  <c r="P87" i="45" s="1"/>
  <c r="O85" i="45"/>
  <c r="P85" i="45" s="1"/>
  <c r="O80" i="45"/>
  <c r="P80" i="45" s="1"/>
  <c r="O78" i="45"/>
  <c r="AB72" i="45"/>
  <c r="C315" i="45"/>
  <c r="AF548" i="45"/>
  <c r="G115" i="32"/>
  <c r="AG370" i="45"/>
  <c r="AF590" i="45"/>
  <c r="S315" i="45"/>
  <c r="S420" i="45" s="1"/>
  <c r="AG349" i="45"/>
  <c r="AG345" i="45"/>
  <c r="O199" i="45"/>
  <c r="P199" i="45" s="1"/>
  <c r="O198" i="45"/>
  <c r="P198" i="45" s="1"/>
  <c r="AG198" i="45" s="1"/>
  <c r="O186" i="45"/>
  <c r="P186" i="45" s="1"/>
  <c r="O170" i="45"/>
  <c r="O169" i="45"/>
  <c r="P169" i="45" s="1"/>
  <c r="O167" i="45"/>
  <c r="AF167" i="45" s="1"/>
  <c r="O156" i="45"/>
  <c r="P156" i="45" s="1"/>
  <c r="AG156" i="45" s="1"/>
  <c r="AD149" i="45"/>
  <c r="O111" i="45"/>
  <c r="M126" i="45"/>
  <c r="AD101" i="45"/>
  <c r="AE101" i="45" s="1"/>
  <c r="O100" i="45"/>
  <c r="P100" i="45" s="1"/>
  <c r="AD90" i="45"/>
  <c r="AD87" i="45"/>
  <c r="AE87" i="45" s="1"/>
  <c r="AD85" i="45"/>
  <c r="AE85" i="45" s="1"/>
  <c r="AG85" i="45" s="1"/>
  <c r="AD83" i="45"/>
  <c r="AE83" i="45" s="1"/>
  <c r="Z82" i="45"/>
  <c r="AD322" i="45"/>
  <c r="AD305" i="45"/>
  <c r="AE305" i="45" s="1"/>
  <c r="AI305" i="45" s="1"/>
  <c r="AG354" i="45"/>
  <c r="F420" i="45"/>
  <c r="O541" i="45"/>
  <c r="AF598" i="45"/>
  <c r="AF599" i="45"/>
  <c r="R315" i="45"/>
  <c r="R420" i="45" s="1"/>
  <c r="AG363" i="45"/>
  <c r="AF346" i="45"/>
  <c r="AG368" i="45"/>
  <c r="K558" i="45"/>
  <c r="AE549" i="45"/>
  <c r="I420" i="45"/>
  <c r="AB420" i="45"/>
  <c r="AG307" i="45"/>
  <c r="AE322" i="45"/>
  <c r="L72" i="45"/>
  <c r="L126" i="45" s="1"/>
  <c r="O210" i="45"/>
  <c r="P210" i="45" s="1"/>
  <c r="O196" i="45"/>
  <c r="P196" i="45" s="1"/>
  <c r="AG196" i="45" s="1"/>
  <c r="O185" i="45"/>
  <c r="P185" i="45" s="1"/>
  <c r="O184" i="45"/>
  <c r="P184" i="45" s="1"/>
  <c r="AG184" i="45" s="1"/>
  <c r="O178" i="45"/>
  <c r="P178" i="45" s="1"/>
  <c r="AG178" i="45" s="1"/>
  <c r="O177" i="45"/>
  <c r="P177" i="45" s="1"/>
  <c r="O153" i="45"/>
  <c r="P153" i="45" s="1"/>
  <c r="AD148" i="45"/>
  <c r="AD147" i="45"/>
  <c r="O143" i="45"/>
  <c r="P143" i="45" s="1"/>
  <c r="O141" i="45"/>
  <c r="AD121" i="45"/>
  <c r="AE121" i="45" s="1"/>
  <c r="AG121" i="45" s="1"/>
  <c r="AD118" i="45"/>
  <c r="AE118" i="45" s="1"/>
  <c r="AG118" i="45" s="1"/>
  <c r="AD116" i="45"/>
  <c r="AE116" i="45" s="1"/>
  <c r="AD115" i="45"/>
  <c r="AE115" i="45" s="1"/>
  <c r="AG115" i="45" s="1"/>
  <c r="AD114" i="45"/>
  <c r="AE114" i="45" s="1"/>
  <c r="AG114" i="45" s="1"/>
  <c r="O113" i="45"/>
  <c r="P113" i="45" s="1"/>
  <c r="AD109" i="45"/>
  <c r="AD107" i="45"/>
  <c r="AE107" i="45" s="1"/>
  <c r="AG107" i="45" s="1"/>
  <c r="AB126" i="45"/>
  <c r="O94" i="45"/>
  <c r="P94" i="45" s="1"/>
  <c r="O92" i="45"/>
  <c r="P92" i="45" s="1"/>
  <c r="AD80" i="45"/>
  <c r="AE80" i="45" s="1"/>
  <c r="AD78" i="45"/>
  <c r="AE78" i="45" s="1"/>
  <c r="AI72" i="45"/>
  <c r="K308" i="45"/>
  <c r="O328" i="45"/>
  <c r="Z301" i="45"/>
  <c r="AH358" i="45"/>
  <c r="O533" i="45"/>
  <c r="AF605" i="45"/>
  <c r="AF532" i="45"/>
  <c r="AF533" i="45" s="1"/>
  <c r="AG599" i="45"/>
  <c r="AG332" i="45"/>
  <c r="AG230" i="45"/>
  <c r="AC206" i="45"/>
  <c r="O191" i="45"/>
  <c r="P191" i="45" s="1"/>
  <c r="N158" i="45"/>
  <c r="AD143" i="45"/>
  <c r="AE143" i="45" s="1"/>
  <c r="AG143" i="45" s="1"/>
  <c r="Z135" i="45"/>
  <c r="AD108" i="45"/>
  <c r="AE108" i="45" s="1"/>
  <c r="AG108" i="45" s="1"/>
  <c r="AE533" i="45"/>
  <c r="AF565" i="45"/>
  <c r="AF567" i="45" s="1"/>
  <c r="AI322" i="45"/>
  <c r="AF588" i="45"/>
  <c r="AF235" i="45"/>
  <c r="P235" i="45"/>
  <c r="AG235" i="45" s="1"/>
  <c r="AF266" i="45"/>
  <c r="P266" i="45"/>
  <c r="AG266" i="45" s="1"/>
  <c r="AF263" i="45"/>
  <c r="P263" i="45"/>
  <c r="AG263" i="45" s="1"/>
  <c r="AE226" i="45"/>
  <c r="AG226" i="45" s="1"/>
  <c r="AF226" i="45"/>
  <c r="AG532" i="45"/>
  <c r="AG533" i="45" s="1"/>
  <c r="P533" i="45"/>
  <c r="AG253" i="45"/>
  <c r="AF300" i="45"/>
  <c r="N104" i="45"/>
  <c r="O106" i="45"/>
  <c r="N206" i="45"/>
  <c r="AE169" i="45"/>
  <c r="G126" i="45"/>
  <c r="AF276" i="45"/>
  <c r="AG264" i="45"/>
  <c r="AF261" i="45"/>
  <c r="P261" i="45"/>
  <c r="AG261" i="45" s="1"/>
  <c r="AF246" i="45"/>
  <c r="P246" i="45"/>
  <c r="AG246" i="45" s="1"/>
  <c r="AE186" i="45"/>
  <c r="AE177" i="45"/>
  <c r="N144" i="45"/>
  <c r="O145" i="45"/>
  <c r="AF145" i="45" s="1"/>
  <c r="N135" i="45"/>
  <c r="N96" i="45"/>
  <c r="O98" i="45"/>
  <c r="P98" i="45" s="1"/>
  <c r="C72" i="45"/>
  <c r="C126" i="45" s="1"/>
  <c r="W72" i="45"/>
  <c r="W126" i="45" s="1"/>
  <c r="AI342" i="45"/>
  <c r="AG342" i="45"/>
  <c r="O308" i="45"/>
  <c r="P310" i="45"/>
  <c r="P308" i="45" s="1"/>
  <c r="AE321" i="45"/>
  <c r="AG321" i="45" s="1"/>
  <c r="AD316" i="45"/>
  <c r="H420" i="45"/>
  <c r="AE362" i="45"/>
  <c r="AE359" i="45" s="1"/>
  <c r="AD359" i="45"/>
  <c r="P574" i="45"/>
  <c r="O575" i="45"/>
  <c r="AF574" i="45"/>
  <c r="AE596" i="45"/>
  <c r="AG596" i="45" s="1"/>
  <c r="AF596" i="45"/>
  <c r="AF619" i="45"/>
  <c r="P619" i="45"/>
  <c r="AG619" i="45" s="1"/>
  <c r="AG304" i="45"/>
  <c r="AF600" i="45"/>
  <c r="P600" i="45"/>
  <c r="AG600" i="45" s="1"/>
  <c r="O213" i="45"/>
  <c r="P213" i="45" s="1"/>
  <c r="AG213" i="45" s="1"/>
  <c r="O194" i="45"/>
  <c r="P194" i="45" s="1"/>
  <c r="AG194" i="45" s="1"/>
  <c r="O190" i="45"/>
  <c r="P190" i="45" s="1"/>
  <c r="AG190" i="45" s="1"/>
  <c r="O164" i="45"/>
  <c r="P164" i="45" s="1"/>
  <c r="AG164" i="45" s="1"/>
  <c r="O163" i="45"/>
  <c r="P163" i="45" s="1"/>
  <c r="O160" i="45"/>
  <c r="O159" i="45"/>
  <c r="P159" i="45" s="1"/>
  <c r="O150" i="45"/>
  <c r="P150" i="45" s="1"/>
  <c r="AD146" i="45"/>
  <c r="AC144" i="45"/>
  <c r="O142" i="45"/>
  <c r="P142" i="45" s="1"/>
  <c r="AG142" i="45" s="1"/>
  <c r="AD124" i="45"/>
  <c r="AD117" i="45"/>
  <c r="AE117" i="45" s="1"/>
  <c r="AG117" i="45" s="1"/>
  <c r="O101" i="45"/>
  <c r="P101" i="45" s="1"/>
  <c r="O95" i="45"/>
  <c r="P95" i="45" s="1"/>
  <c r="N89" i="45"/>
  <c r="V72" i="45"/>
  <c r="V126" i="45" s="1"/>
  <c r="R72" i="45"/>
  <c r="R126" i="45" s="1"/>
  <c r="J126" i="45"/>
  <c r="F126" i="45"/>
  <c r="B72" i="45"/>
  <c r="B126" i="45" s="1"/>
  <c r="AF308" i="45"/>
  <c r="Z624" i="45"/>
  <c r="AF304" i="45"/>
  <c r="AG553" i="45"/>
  <c r="AF572" i="45"/>
  <c r="AD371" i="45"/>
  <c r="AF371" i="45"/>
  <c r="AG356" i="45"/>
  <c r="P565" i="45"/>
  <c r="P567" i="45" s="1"/>
  <c r="O567" i="45"/>
  <c r="AC315" i="45"/>
  <c r="AC279" i="45"/>
  <c r="AG180" i="45"/>
  <c r="AC158" i="45"/>
  <c r="N151" i="45"/>
  <c r="AC151" i="45"/>
  <c r="AI134" i="45"/>
  <c r="AI218" i="45" s="1"/>
  <c r="AC104" i="45"/>
  <c r="AC82" i="45"/>
  <c r="AD82" i="45" s="1"/>
  <c r="K82" i="45"/>
  <c r="AC73" i="45"/>
  <c r="Y72" i="45"/>
  <c r="Y126" i="45" s="1"/>
  <c r="U72" i="45"/>
  <c r="U126" i="45" s="1"/>
  <c r="Q72" i="45"/>
  <c r="Q126" i="45" s="1"/>
  <c r="AG311" i="45"/>
  <c r="AD364" i="45"/>
  <c r="AF364" i="45"/>
  <c r="P588" i="45"/>
  <c r="AG588" i="45" s="1"/>
  <c r="AD575" i="45"/>
  <c r="AD623" i="45"/>
  <c r="AG574" i="45"/>
  <c r="AF594" i="45"/>
  <c r="AF259" i="45"/>
  <c r="AF257" i="45"/>
  <c r="O188" i="45"/>
  <c r="P188" i="45" s="1"/>
  <c r="AG188" i="45" s="1"/>
  <c r="O176" i="45"/>
  <c r="P176" i="45" s="1"/>
  <c r="O172" i="45"/>
  <c r="P172" i="45" s="1"/>
  <c r="O171" i="45"/>
  <c r="P171" i="45" s="1"/>
  <c r="AG171" i="45" s="1"/>
  <c r="O154" i="45"/>
  <c r="AD150" i="45"/>
  <c r="AE150" i="45" s="1"/>
  <c r="O146" i="45"/>
  <c r="P146" i="45" s="1"/>
  <c r="AC135" i="45"/>
  <c r="AD97" i="45"/>
  <c r="AE97" i="45" s="1"/>
  <c r="AD95" i="45"/>
  <c r="AE95" i="45" s="1"/>
  <c r="AG95" i="45" s="1"/>
  <c r="Z73" i="45"/>
  <c r="AH72" i="45"/>
  <c r="AH126" i="45" s="1"/>
  <c r="X72" i="45"/>
  <c r="X126" i="45" s="1"/>
  <c r="T72" i="45"/>
  <c r="T126" i="45" s="1"/>
  <c r="N315" i="45"/>
  <c r="N420" i="45" s="1"/>
  <c r="K301" i="45"/>
  <c r="C358" i="45"/>
  <c r="K378" i="45"/>
  <c r="AD346" i="45"/>
  <c r="AF545" i="45"/>
  <c r="AG543" i="45"/>
  <c r="K316" i="45"/>
  <c r="O317" i="45"/>
  <c r="AF317" i="45"/>
  <c r="AF316" i="45" s="1"/>
  <c r="AG312" i="45"/>
  <c r="AE329" i="45"/>
  <c r="AG329" i="45" s="1"/>
  <c r="AD328" i="45"/>
  <c r="P302" i="45"/>
  <c r="AF340" i="45"/>
  <c r="AG347" i="45"/>
  <c r="P346" i="45"/>
  <c r="K624" i="45"/>
  <c r="AD549" i="45"/>
  <c r="P582" i="45"/>
  <c r="AG582" i="45" s="1"/>
  <c r="AF582" i="45"/>
  <c r="AI360" i="45"/>
  <c r="Z558" i="45"/>
  <c r="AG539" i="45"/>
  <c r="AG541" i="45" s="1"/>
  <c r="AD557" i="45"/>
  <c r="AE551" i="45"/>
  <c r="AE557" i="45" s="1"/>
  <c r="O583" i="45"/>
  <c r="AE352" i="45"/>
  <c r="AI353" i="45"/>
  <c r="AI352" i="45" s="1"/>
  <c r="AD541" i="45"/>
  <c r="AE371" i="45"/>
  <c r="AI372" i="45"/>
  <c r="AI371" i="45" s="1"/>
  <c r="AE575" i="45"/>
  <c r="AD294" i="45"/>
  <c r="Z292" i="45"/>
  <c r="Z290" i="45" s="1"/>
  <c r="P323" i="45"/>
  <c r="O322" i="45"/>
  <c r="P551" i="45"/>
  <c r="O557" i="45"/>
  <c r="AF551" i="45"/>
  <c r="AF557" i="45" s="1"/>
  <c r="Z297" i="45"/>
  <c r="AD298" i="45"/>
  <c r="D315" i="45"/>
  <c r="D420" i="45" s="1"/>
  <c r="AF295" i="45"/>
  <c r="AG300" i="45"/>
  <c r="O334" i="45"/>
  <c r="P335" i="45"/>
  <c r="P334" i="45" s="1"/>
  <c r="AG365" i="45"/>
  <c r="P364" i="45"/>
  <c r="AG546" i="45"/>
  <c r="O623" i="45"/>
  <c r="P585" i="45"/>
  <c r="AF585" i="45"/>
  <c r="O359" i="45"/>
  <c r="P360" i="45"/>
  <c r="P544" i="45"/>
  <c r="AG544" i="45" s="1"/>
  <c r="AF544" i="45"/>
  <c r="P570" i="45"/>
  <c r="AG570" i="45" s="1"/>
  <c r="AF570" i="45"/>
  <c r="AD583" i="45"/>
  <c r="AE578" i="45"/>
  <c r="AE583" i="45" s="1"/>
  <c r="P371" i="45"/>
  <c r="AG372" i="45"/>
  <c r="AG371" i="45" s="1"/>
  <c r="AG569" i="45"/>
  <c r="AG572" i="45"/>
  <c r="P589" i="45"/>
  <c r="AG589" i="45" s="1"/>
  <c r="AF589" i="45"/>
  <c r="O549" i="45"/>
  <c r="O303" i="45"/>
  <c r="P303" i="45" s="1"/>
  <c r="AG303" i="45" s="1"/>
  <c r="AF303" i="45"/>
  <c r="O298" i="45"/>
  <c r="AF298" i="45"/>
  <c r="K297" i="45"/>
  <c r="O340" i="45"/>
  <c r="P341" i="45"/>
  <c r="AE341" i="45"/>
  <c r="AD340" i="45"/>
  <c r="Z358" i="45"/>
  <c r="N558" i="45"/>
  <c r="N624" i="45"/>
  <c r="AE364" i="45"/>
  <c r="AI365" i="45"/>
  <c r="AI364" i="45" s="1"/>
  <c r="P587" i="45"/>
  <c r="AG587" i="45" s="1"/>
  <c r="AF587" i="45"/>
  <c r="O294" i="45"/>
  <c r="AF294" i="45"/>
  <c r="K292" i="45"/>
  <c r="K290" i="45" s="1"/>
  <c r="P328" i="45"/>
  <c r="AE302" i="45"/>
  <c r="AG295" i="45"/>
  <c r="AE335" i="45"/>
  <c r="AD334" i="45"/>
  <c r="K352" i="45"/>
  <c r="AF353" i="45"/>
  <c r="AF352" i="45" s="1"/>
  <c r="O353" i="45"/>
  <c r="AG306" i="45"/>
  <c r="AE310" i="45"/>
  <c r="AD308" i="45"/>
  <c r="AC358" i="45"/>
  <c r="O364" i="45"/>
  <c r="AC624" i="45"/>
  <c r="AC558" i="45"/>
  <c r="AF539" i="45"/>
  <c r="AF541" i="45" s="1"/>
  <c r="AD352" i="45"/>
  <c r="AE541" i="45"/>
  <c r="AE565" i="45"/>
  <c r="AD567" i="45"/>
  <c r="I70" i="32"/>
  <c r="I93" i="32"/>
  <c r="E115" i="32"/>
  <c r="I159" i="32"/>
  <c r="AF264" i="45"/>
  <c r="AG259" i="45"/>
  <c r="AF258" i="45"/>
  <c r="P258" i="45"/>
  <c r="AG258" i="45" s="1"/>
  <c r="P232" i="45"/>
  <c r="AG232" i="45" s="1"/>
  <c r="AF232" i="45"/>
  <c r="P228" i="45"/>
  <c r="AG228" i="45" s="1"/>
  <c r="AF228" i="45"/>
  <c r="AG257" i="45"/>
  <c r="P255" i="45"/>
  <c r="AG255" i="45" s="1"/>
  <c r="AF255" i="45"/>
  <c r="AG245" i="45"/>
  <c r="AE234" i="45"/>
  <c r="AG234" i="45" s="1"/>
  <c r="AF234" i="45"/>
  <c r="AF254" i="45"/>
  <c r="P254" i="45"/>
  <c r="AG254" i="45" s="1"/>
  <c r="P233" i="45"/>
  <c r="AG233" i="45" s="1"/>
  <c r="AF233" i="45"/>
  <c r="AF270" i="45"/>
  <c r="P270" i="45"/>
  <c r="AG270" i="45" s="1"/>
  <c r="AF262" i="45"/>
  <c r="P262" i="45"/>
  <c r="AG262" i="45" s="1"/>
  <c r="AF248" i="45"/>
  <c r="P248" i="45"/>
  <c r="AG248" i="45" s="1"/>
  <c r="AF243" i="45"/>
  <c r="P243" i="45"/>
  <c r="AG243" i="45" s="1"/>
  <c r="P240" i="45"/>
  <c r="AG240" i="45" s="1"/>
  <c r="AF240" i="45"/>
  <c r="AF239" i="45"/>
  <c r="P239" i="45"/>
  <c r="AG239" i="45" s="1"/>
  <c r="N279" i="45"/>
  <c r="AE231" i="45"/>
  <c r="AG231" i="45" s="1"/>
  <c r="AF231" i="45"/>
  <c r="Z279" i="45"/>
  <c r="AF256" i="45"/>
  <c r="P256" i="45"/>
  <c r="AG256" i="45" s="1"/>
  <c r="P251" i="45"/>
  <c r="AG251" i="45" s="1"/>
  <c r="AF251" i="45"/>
  <c r="P229" i="45"/>
  <c r="AG229" i="45" s="1"/>
  <c r="AF229" i="45"/>
  <c r="AF265" i="45"/>
  <c r="P265" i="45"/>
  <c r="AG265" i="45" s="1"/>
  <c r="AF260" i="45"/>
  <c r="P260" i="45"/>
  <c r="AG260" i="45" s="1"/>
  <c r="AF252" i="45"/>
  <c r="P252" i="45"/>
  <c r="AG252" i="45" s="1"/>
  <c r="AF250" i="45"/>
  <c r="P250" i="45"/>
  <c r="AG250" i="45" s="1"/>
  <c r="AG249" i="45"/>
  <c r="P247" i="45"/>
  <c r="AG247" i="45" s="1"/>
  <c r="AF247" i="45"/>
  <c r="P238" i="45"/>
  <c r="AG238" i="45" s="1"/>
  <c r="AF238" i="45"/>
  <c r="AG237" i="45"/>
  <c r="O279" i="45"/>
  <c r="K279" i="45"/>
  <c r="C279" i="45"/>
  <c r="AF253" i="45"/>
  <c r="AF249" i="45"/>
  <c r="AF245" i="45"/>
  <c r="AF244" i="45"/>
  <c r="AF237" i="45"/>
  <c r="AD227" i="45"/>
  <c r="O209" i="45"/>
  <c r="K206" i="45"/>
  <c r="O204" i="45"/>
  <c r="K202" i="45"/>
  <c r="K201" i="45" s="1"/>
  <c r="AF196" i="45"/>
  <c r="AE193" i="45"/>
  <c r="AG193" i="45" s="1"/>
  <c r="AF193" i="45"/>
  <c r="AE185" i="45"/>
  <c r="AF180" i="45"/>
  <c r="AE176" i="45"/>
  <c r="AG176" i="45" s="1"/>
  <c r="K166" i="45"/>
  <c r="Z151" i="45"/>
  <c r="AD152" i="45"/>
  <c r="J134" i="45"/>
  <c r="J218" i="45" s="1"/>
  <c r="F134" i="45"/>
  <c r="F218" i="45" s="1"/>
  <c r="B134" i="45"/>
  <c r="B218" i="45" s="1"/>
  <c r="AC89" i="45"/>
  <c r="AA72" i="45"/>
  <c r="AA126" i="45" s="1"/>
  <c r="AF236" i="45"/>
  <c r="AF230" i="45"/>
  <c r="Z206" i="45"/>
  <c r="AD209" i="45"/>
  <c r="Z202" i="45"/>
  <c r="Z201" i="45" s="1"/>
  <c r="AD204" i="45"/>
  <c r="AE181" i="45"/>
  <c r="AF181" i="45"/>
  <c r="AE195" i="45"/>
  <c r="AF190" i="45"/>
  <c r="AE187" i="45"/>
  <c r="AF182" i="45"/>
  <c r="AE179" i="45"/>
  <c r="AG179" i="45" s="1"/>
  <c r="AF179" i="45"/>
  <c r="AE175" i="45"/>
  <c r="AG175" i="45" s="1"/>
  <c r="AF175" i="45"/>
  <c r="AG174" i="45"/>
  <c r="AE172" i="45"/>
  <c r="P170" i="45"/>
  <c r="AG170" i="45" s="1"/>
  <c r="AF170" i="45"/>
  <c r="O168" i="45"/>
  <c r="P168" i="45" s="1"/>
  <c r="N166" i="45"/>
  <c r="Z166" i="45"/>
  <c r="P160" i="45"/>
  <c r="AG160" i="45" s="1"/>
  <c r="AF160" i="45"/>
  <c r="AE157" i="45"/>
  <c r="AF157" i="45"/>
  <c r="AE153" i="45"/>
  <c r="AE145" i="45"/>
  <c r="AE210" i="45"/>
  <c r="AG210" i="45" s="1"/>
  <c r="AF210" i="45"/>
  <c r="AE197" i="45"/>
  <c r="AG197" i="45" s="1"/>
  <c r="AF197" i="45"/>
  <c r="AE189" i="45"/>
  <c r="AE168" i="45"/>
  <c r="AE163" i="45"/>
  <c r="AE199" i="45"/>
  <c r="AE191" i="45"/>
  <c r="AE183" i="45"/>
  <c r="AG183" i="45" s="1"/>
  <c r="AF183" i="45"/>
  <c r="AF174" i="45"/>
  <c r="AF173" i="45"/>
  <c r="AD166" i="45"/>
  <c r="AE167" i="45"/>
  <c r="AE161" i="45"/>
  <c r="AF161" i="45"/>
  <c r="Z158" i="45"/>
  <c r="AD159" i="45"/>
  <c r="AC166" i="45"/>
  <c r="AE155" i="45"/>
  <c r="AG155" i="45" s="1"/>
  <c r="AF155" i="45"/>
  <c r="AE147" i="45"/>
  <c r="K144" i="45"/>
  <c r="K135" i="45"/>
  <c r="AB134" i="45"/>
  <c r="AB218" i="45" s="1"/>
  <c r="X134" i="45"/>
  <c r="X218" i="45" s="1"/>
  <c r="T134" i="45"/>
  <c r="T218" i="45" s="1"/>
  <c r="P106" i="45"/>
  <c r="AG106" i="45" s="1"/>
  <c r="AF106" i="45"/>
  <c r="AF95" i="45"/>
  <c r="K89" i="45"/>
  <c r="O90" i="45"/>
  <c r="K151" i="45"/>
  <c r="O152" i="45"/>
  <c r="H134" i="45"/>
  <c r="H218" i="45" s="1"/>
  <c r="D134" i="45"/>
  <c r="D218" i="45" s="1"/>
  <c r="K158" i="45"/>
  <c r="Z144" i="45"/>
  <c r="P141" i="45"/>
  <c r="AH134" i="45"/>
  <c r="AH218" i="45" s="1"/>
  <c r="V134" i="45"/>
  <c r="V218" i="45" s="1"/>
  <c r="R134" i="45"/>
  <c r="R218" i="45" s="1"/>
  <c r="L134" i="45"/>
  <c r="L218" i="45" s="1"/>
  <c r="AE120" i="45"/>
  <c r="AG120" i="45" s="1"/>
  <c r="AF120" i="45"/>
  <c r="Z96" i="45"/>
  <c r="AE90" i="45"/>
  <c r="O77" i="45"/>
  <c r="D72" i="45"/>
  <c r="D126" i="45" s="1"/>
  <c r="AA134" i="45"/>
  <c r="AA218" i="45" s="1"/>
  <c r="W134" i="45"/>
  <c r="W218" i="45" s="1"/>
  <c r="S134" i="45"/>
  <c r="S218" i="45" s="1"/>
  <c r="G134" i="45"/>
  <c r="G218" i="45" s="1"/>
  <c r="C134" i="45"/>
  <c r="C218" i="45" s="1"/>
  <c r="AF117" i="45"/>
  <c r="K104" i="45"/>
  <c r="O105" i="45"/>
  <c r="K96" i="45"/>
  <c r="O97" i="45"/>
  <c r="Z89" i="45"/>
  <c r="AD79" i="45"/>
  <c r="AE79" i="45" s="1"/>
  <c r="Y134" i="45"/>
  <c r="Y218" i="45" s="1"/>
  <c r="U134" i="45"/>
  <c r="U218" i="45" s="1"/>
  <c r="Q134" i="45"/>
  <c r="Q218" i="45" s="1"/>
  <c r="M134" i="45"/>
  <c r="M218" i="45" s="1"/>
  <c r="I134" i="45"/>
  <c r="I218" i="45" s="1"/>
  <c r="E134" i="45"/>
  <c r="E218" i="45" s="1"/>
  <c r="AE110" i="45"/>
  <c r="AG110" i="45" s="1"/>
  <c r="AF110" i="45"/>
  <c r="Z104" i="45"/>
  <c r="AD105" i="45"/>
  <c r="P91" i="45"/>
  <c r="AG91" i="45" s="1"/>
  <c r="AF91" i="45"/>
  <c r="O79" i="45"/>
  <c r="N73" i="45"/>
  <c r="S72" i="45"/>
  <c r="S126" i="45" s="1"/>
  <c r="AC123" i="45"/>
  <c r="K73" i="45"/>
  <c r="AD77" i="45"/>
  <c r="O124" i="45"/>
  <c r="I104" i="32"/>
  <c r="I115" i="32" s="1"/>
  <c r="B10" i="45"/>
  <c r="Q10" i="45"/>
  <c r="AH10" i="45"/>
  <c r="K11" i="45"/>
  <c r="N11" i="45"/>
  <c r="Z11" i="45"/>
  <c r="AC11" i="45"/>
  <c r="AG11" i="45"/>
  <c r="K12" i="45"/>
  <c r="N12" i="45"/>
  <c r="Z12" i="45"/>
  <c r="AC12" i="45"/>
  <c r="AG12" i="45"/>
  <c r="K13" i="45"/>
  <c r="N13" i="45"/>
  <c r="Z13" i="45"/>
  <c r="AC13" i="45"/>
  <c r="AG13" i="45"/>
  <c r="K14" i="45"/>
  <c r="N14" i="45"/>
  <c r="Z14" i="45"/>
  <c r="AC14" i="45"/>
  <c r="AG14" i="45"/>
  <c r="K15" i="45"/>
  <c r="N15" i="45"/>
  <c r="Z15" i="45"/>
  <c r="AC15" i="45"/>
  <c r="AG15" i="45"/>
  <c r="K16" i="45"/>
  <c r="N16" i="45"/>
  <c r="Z16" i="45"/>
  <c r="AC16" i="45"/>
  <c r="AG16" i="45"/>
  <c r="K17" i="45"/>
  <c r="N17" i="45"/>
  <c r="Z17" i="45"/>
  <c r="AC17" i="45"/>
  <c r="AG17" i="45"/>
  <c r="B18" i="45"/>
  <c r="Q18" i="45"/>
  <c r="AH18" i="45"/>
  <c r="K19" i="45"/>
  <c r="N19" i="45"/>
  <c r="Z19" i="45"/>
  <c r="AC19" i="45"/>
  <c r="AG19" i="45"/>
  <c r="K20" i="45"/>
  <c r="N20" i="45"/>
  <c r="Z20" i="45"/>
  <c r="AC20" i="45"/>
  <c r="AG20" i="45"/>
  <c r="K21" i="45"/>
  <c r="N21" i="45"/>
  <c r="Z21" i="45"/>
  <c r="AC21" i="45"/>
  <c r="AG21" i="45"/>
  <c r="K22" i="45"/>
  <c r="N22" i="45"/>
  <c r="Z22" i="45"/>
  <c r="AC22" i="45"/>
  <c r="AG22" i="45"/>
  <c r="K23" i="45"/>
  <c r="N23" i="45"/>
  <c r="Z23" i="45"/>
  <c r="AC23" i="45"/>
  <c r="AG23" i="45"/>
  <c r="K24" i="45"/>
  <c r="N24" i="45"/>
  <c r="Z24" i="45"/>
  <c r="AC24" i="45"/>
  <c r="AG24" i="45"/>
  <c r="B25" i="45"/>
  <c r="Q25" i="45"/>
  <c r="AH25" i="45"/>
  <c r="K26" i="45"/>
  <c r="N26" i="45"/>
  <c r="Z26" i="45"/>
  <c r="AC26" i="45"/>
  <c r="AG26" i="45"/>
  <c r="K27" i="45"/>
  <c r="N27" i="45"/>
  <c r="Z27" i="45"/>
  <c r="AC27" i="45"/>
  <c r="AG27" i="45"/>
  <c r="K28" i="45"/>
  <c r="N28" i="45"/>
  <c r="Z28" i="45"/>
  <c r="AC28" i="45"/>
  <c r="AG28" i="45"/>
  <c r="K29" i="45"/>
  <c r="N29" i="45"/>
  <c r="Z29" i="45"/>
  <c r="AC29" i="45"/>
  <c r="AG29" i="45"/>
  <c r="K30" i="45"/>
  <c r="N30" i="45"/>
  <c r="Z30" i="45"/>
  <c r="AC30" i="45"/>
  <c r="AG30" i="45"/>
  <c r="B31" i="45"/>
  <c r="Q31" i="45"/>
  <c r="AH31" i="45"/>
  <c r="K32" i="45"/>
  <c r="N32" i="45"/>
  <c r="Z32" i="45"/>
  <c r="AC32" i="45"/>
  <c r="AG32" i="45"/>
  <c r="K33" i="45"/>
  <c r="N33" i="45"/>
  <c r="Z33" i="45"/>
  <c r="AC33" i="45"/>
  <c r="AG33" i="45"/>
  <c r="K34" i="45"/>
  <c r="N34" i="45"/>
  <c r="Z34" i="45"/>
  <c r="AC34" i="45"/>
  <c r="AG34" i="45"/>
  <c r="AF35" i="45"/>
  <c r="P36" i="45"/>
  <c r="AE36" i="45"/>
  <c r="P37" i="45"/>
  <c r="AE37" i="45"/>
  <c r="P38" i="45"/>
  <c r="AE38" i="45"/>
  <c r="P39" i="45"/>
  <c r="AE39" i="45"/>
  <c r="P40" i="45"/>
  <c r="AE40" i="45"/>
  <c r="AI42" i="45"/>
  <c r="H9" i="32"/>
  <c r="I9" i="32"/>
  <c r="H10" i="32"/>
  <c r="I10" i="32"/>
  <c r="H11" i="32"/>
  <c r="I11" i="32"/>
  <c r="H12" i="32"/>
  <c r="I12" i="32"/>
  <c r="H13" i="32"/>
  <c r="I13" i="32"/>
  <c r="I14" i="32"/>
  <c r="I15" i="32"/>
  <c r="I16" i="32"/>
  <c r="I17" i="32"/>
  <c r="I18" i="32"/>
  <c r="I19" i="32"/>
  <c r="I20" i="32"/>
  <c r="I21" i="32"/>
  <c r="I22" i="32"/>
  <c r="I23" i="32"/>
  <c r="I24" i="32"/>
  <c r="I25" i="32"/>
  <c r="C26" i="32"/>
  <c r="E26" i="32"/>
  <c r="G26" i="32"/>
  <c r="AF78" i="45" l="1"/>
  <c r="AG334" i="45"/>
  <c r="AF184" i="45"/>
  <c r="AF162" i="45"/>
  <c r="AF172" i="45"/>
  <c r="AG181" i="45"/>
  <c r="AF185" i="45"/>
  <c r="P78" i="45"/>
  <c r="AG78" i="45" s="1"/>
  <c r="AF87" i="45"/>
  <c r="N72" i="45"/>
  <c r="N126" i="45" s="1"/>
  <c r="AG172" i="45"/>
  <c r="AG185" i="45"/>
  <c r="AF301" i="45"/>
  <c r="AF121" i="45"/>
  <c r="AC420" i="45"/>
  <c r="AG80" i="45"/>
  <c r="C420" i="45"/>
  <c r="AH420" i="45"/>
  <c r="AG116" i="45"/>
  <c r="AD15" i="45"/>
  <c r="AE15" i="45" s="1"/>
  <c r="AG94" i="45"/>
  <c r="AF142" i="45"/>
  <c r="AF112" i="45"/>
  <c r="P135" i="45"/>
  <c r="AF189" i="45"/>
  <c r="AF113" i="45"/>
  <c r="AF141" i="45"/>
  <c r="AF116" i="45"/>
  <c r="AF85" i="45"/>
  <c r="AF147" i="45"/>
  <c r="AG161" i="45"/>
  <c r="AG189" i="45"/>
  <c r="AG157" i="45"/>
  <c r="P167" i="45"/>
  <c r="AG167" i="45" s="1"/>
  <c r="AF549" i="45"/>
  <c r="AF558" i="45" s="1"/>
  <c r="AF177" i="45"/>
  <c r="AF119" i="45"/>
  <c r="O17" i="45"/>
  <c r="P17" i="45" s="1"/>
  <c r="AF195" i="45"/>
  <c r="O558" i="45"/>
  <c r="AF98" i="45"/>
  <c r="AD135" i="45"/>
  <c r="AF198" i="45"/>
  <c r="AF80" i="45"/>
  <c r="AF86" i="45"/>
  <c r="AF83" i="45"/>
  <c r="AF118" i="45"/>
  <c r="P145" i="45"/>
  <c r="P144" i="45" s="1"/>
  <c r="AG147" i="45"/>
  <c r="AF192" i="45"/>
  <c r="AG98" i="45"/>
  <c r="AG113" i="45"/>
  <c r="AF94" i="45"/>
  <c r="AG163" i="45"/>
  <c r="AG92" i="45"/>
  <c r="AF143" i="45"/>
  <c r="AG195" i="45"/>
  <c r="AF583" i="45"/>
  <c r="AG177" i="45"/>
  <c r="O14" i="45"/>
  <c r="P14" i="45" s="1"/>
  <c r="AG199" i="45"/>
  <c r="AF171" i="45"/>
  <c r="AG346" i="45"/>
  <c r="AF164" i="45"/>
  <c r="AG186" i="45"/>
  <c r="AG87" i="45"/>
  <c r="O13" i="45"/>
  <c r="P13" i="45" s="1"/>
  <c r="AD11" i="45"/>
  <c r="AE11" i="45" s="1"/>
  <c r="O82" i="45"/>
  <c r="O144" i="45"/>
  <c r="O378" i="45"/>
  <c r="AE623" i="45"/>
  <c r="AD96" i="45"/>
  <c r="AF114" i="45"/>
  <c r="AE96" i="45"/>
  <c r="AG305" i="45"/>
  <c r="AF186" i="45"/>
  <c r="AE82" i="45"/>
  <c r="AD144" i="45"/>
  <c r="AC72" i="45"/>
  <c r="AC126" i="45" s="1"/>
  <c r="AG101" i="45"/>
  <c r="AF187" i="45"/>
  <c r="AG187" i="45"/>
  <c r="AD301" i="45"/>
  <c r="AF36" i="45"/>
  <c r="AD16" i="45"/>
  <c r="AE16" i="45" s="1"/>
  <c r="AF16" i="45" s="1"/>
  <c r="AF358" i="45"/>
  <c r="AG150" i="45"/>
  <c r="N134" i="45"/>
  <c r="AD624" i="45"/>
  <c r="AF108" i="45"/>
  <c r="O135" i="45"/>
  <c r="AF101" i="45"/>
  <c r="AF107" i="45"/>
  <c r="AF191" i="45"/>
  <c r="AF188" i="45"/>
  <c r="AG310" i="45"/>
  <c r="AG308" i="45" s="1"/>
  <c r="AG328" i="45"/>
  <c r="AG364" i="45"/>
  <c r="AC134" i="45"/>
  <c r="AC218" i="45" s="1"/>
  <c r="AF115" i="45"/>
  <c r="AE109" i="45"/>
  <c r="AG109" i="45" s="1"/>
  <c r="AF109" i="45"/>
  <c r="AD17" i="45"/>
  <c r="AE17" i="45" s="1"/>
  <c r="AF17" i="45" s="1"/>
  <c r="O15" i="45"/>
  <c r="P15" i="45" s="1"/>
  <c r="AD13" i="45"/>
  <c r="AE13" i="45" s="1"/>
  <c r="AF13" i="45" s="1"/>
  <c r="AF149" i="45"/>
  <c r="AG191" i="45"/>
  <c r="AF153" i="45"/>
  <c r="O158" i="45"/>
  <c r="AF297" i="45"/>
  <c r="O624" i="45"/>
  <c r="AG578" i="45"/>
  <c r="AG583" i="45" s="1"/>
  <c r="AF378" i="45"/>
  <c r="AD378" i="45"/>
  <c r="AG169" i="45"/>
  <c r="AF92" i="45"/>
  <c r="AF156" i="45"/>
  <c r="P158" i="45"/>
  <c r="AF37" i="45"/>
  <c r="O16" i="45"/>
  <c r="P16" i="45" s="1"/>
  <c r="AD14" i="45"/>
  <c r="AE14" i="45" s="1"/>
  <c r="AF14" i="45" s="1"/>
  <c r="O12" i="45"/>
  <c r="P12" i="45" s="1"/>
  <c r="AE149" i="45"/>
  <c r="AG149" i="45" s="1"/>
  <c r="AF199" i="45"/>
  <c r="AG153" i="45"/>
  <c r="AF169" i="45"/>
  <c r="AE148" i="45"/>
  <c r="AG148" i="45" s="1"/>
  <c r="AF148" i="45"/>
  <c r="AF178" i="45"/>
  <c r="P111" i="45"/>
  <c r="AG111" i="45" s="1"/>
  <c r="AF111" i="45"/>
  <c r="AG168" i="45"/>
  <c r="K315" i="45"/>
  <c r="O33" i="45"/>
  <c r="P33" i="45" s="1"/>
  <c r="AG31" i="45"/>
  <c r="AD30" i="45"/>
  <c r="AE30" i="45" s="1"/>
  <c r="AD29" i="45"/>
  <c r="AE29" i="45" s="1"/>
  <c r="O28" i="45"/>
  <c r="P28" i="45" s="1"/>
  <c r="O27" i="45"/>
  <c r="P27" i="45" s="1"/>
  <c r="AD26" i="45"/>
  <c r="AE26" i="45" s="1"/>
  <c r="O22" i="45"/>
  <c r="P22" i="45" s="1"/>
  <c r="AD20" i="45"/>
  <c r="AE20" i="45" s="1"/>
  <c r="Z72" i="45"/>
  <c r="Z126" i="45" s="1"/>
  <c r="AD89" i="45"/>
  <c r="Z134" i="45"/>
  <c r="Z218" i="45" s="1"/>
  <c r="AF163" i="45"/>
  <c r="AF176" i="45"/>
  <c r="O166" i="45"/>
  <c r="AD358" i="45"/>
  <c r="AD558" i="45"/>
  <c r="P549" i="45"/>
  <c r="AF194" i="45"/>
  <c r="AI321" i="45"/>
  <c r="AI316" i="45" s="1"/>
  <c r="AE316" i="45"/>
  <c r="AE89" i="45"/>
  <c r="AD123" i="45"/>
  <c r="AE124" i="45"/>
  <c r="AE123" i="45" s="1"/>
  <c r="AE146" i="45"/>
  <c r="AG146" i="45" s="1"/>
  <c r="AF146" i="45"/>
  <c r="AI362" i="45"/>
  <c r="AI359" i="45" s="1"/>
  <c r="AI378" i="45" s="1"/>
  <c r="AG362" i="45"/>
  <c r="O30" i="45"/>
  <c r="P30" i="45" s="1"/>
  <c r="O29" i="45"/>
  <c r="P29" i="45" s="1"/>
  <c r="AF29" i="45" s="1"/>
  <c r="AD28" i="45"/>
  <c r="AE28" i="45" s="1"/>
  <c r="AD27" i="45"/>
  <c r="AE27" i="45" s="1"/>
  <c r="O26" i="45"/>
  <c r="P26" i="45" s="1"/>
  <c r="O24" i="45"/>
  <c r="P24" i="45" s="1"/>
  <c r="O20" i="45"/>
  <c r="P20" i="45" s="1"/>
  <c r="AF150" i="45"/>
  <c r="AF168" i="45"/>
  <c r="AF213" i="45"/>
  <c r="K358" i="45"/>
  <c r="P575" i="45"/>
  <c r="AF575" i="45"/>
  <c r="Z315" i="45"/>
  <c r="Z420" i="45" s="1"/>
  <c r="P154" i="45"/>
  <c r="AG154" i="45" s="1"/>
  <c r="AF154" i="45"/>
  <c r="P322" i="45"/>
  <c r="AG323" i="45"/>
  <c r="AG322" i="45" s="1"/>
  <c r="P301" i="45"/>
  <c r="AG302" i="45"/>
  <c r="AE301" i="45"/>
  <c r="AI302" i="45"/>
  <c r="AI301" i="45" s="1"/>
  <c r="AG575" i="45"/>
  <c r="AF623" i="45"/>
  <c r="AG549" i="45"/>
  <c r="O352" i="45"/>
  <c r="P353" i="45"/>
  <c r="AE334" i="45"/>
  <c r="AI335" i="45"/>
  <c r="AI334" i="45" s="1"/>
  <c r="AF290" i="45"/>
  <c r="AG341" i="45"/>
  <c r="AG340" i="45" s="1"/>
  <c r="P340" i="45"/>
  <c r="O297" i="45"/>
  <c r="P298" i="45"/>
  <c r="P583" i="45"/>
  <c r="P623" i="45"/>
  <c r="AG585" i="45"/>
  <c r="AG623" i="45" s="1"/>
  <c r="P557" i="45"/>
  <c r="AG551" i="45"/>
  <c r="AG557" i="45" s="1"/>
  <c r="AD290" i="45"/>
  <c r="AE294" i="45"/>
  <c r="AE378" i="45"/>
  <c r="AE558" i="45"/>
  <c r="AE328" i="45"/>
  <c r="AI329" i="45"/>
  <c r="AI328" i="45" s="1"/>
  <c r="O316" i="45"/>
  <c r="P317" i="45"/>
  <c r="AE567" i="45"/>
  <c r="AG565" i="45"/>
  <c r="AG567" i="45" s="1"/>
  <c r="AE308" i="45"/>
  <c r="AI310" i="45"/>
  <c r="AI308" i="45" s="1"/>
  <c r="P294" i="45"/>
  <c r="O290" i="45"/>
  <c r="AE340" i="45"/>
  <c r="AI341" i="45"/>
  <c r="AI340" i="45" s="1"/>
  <c r="AG360" i="45"/>
  <c r="AG359" i="45" s="1"/>
  <c r="P359" i="45"/>
  <c r="P378" i="45" s="1"/>
  <c r="AD297" i="45"/>
  <c r="AE298" i="45"/>
  <c r="O301" i="45"/>
  <c r="P90" i="45"/>
  <c r="O89" i="45"/>
  <c r="AF90" i="45"/>
  <c r="AD206" i="45"/>
  <c r="AE209" i="45"/>
  <c r="AF209" i="45"/>
  <c r="AE152" i="45"/>
  <c r="AD151" i="45"/>
  <c r="AF152" i="45"/>
  <c r="K72" i="45"/>
  <c r="K126" i="45" s="1"/>
  <c r="AF79" i="45"/>
  <c r="P79" i="45"/>
  <c r="AG79" i="45" s="1"/>
  <c r="AF77" i="45"/>
  <c r="O73" i="45"/>
  <c r="P77" i="45"/>
  <c r="N218" i="45"/>
  <c r="K134" i="45"/>
  <c r="K218" i="45" s="1"/>
  <c r="AE166" i="45"/>
  <c r="P279" i="45"/>
  <c r="AG145" i="45"/>
  <c r="AD73" i="45"/>
  <c r="AE77" i="45"/>
  <c r="AE73" i="45" s="1"/>
  <c r="AE72" i="45" s="1"/>
  <c r="O104" i="45"/>
  <c r="P105" i="45"/>
  <c r="AF105" i="45"/>
  <c r="O151" i="45"/>
  <c r="P152" i="45"/>
  <c r="AD202" i="45"/>
  <c r="AD201" i="45" s="1"/>
  <c r="AE204" i="45"/>
  <c r="AF204" i="45"/>
  <c r="AF202" i="45" s="1"/>
  <c r="AF201" i="45" s="1"/>
  <c r="O206" i="45"/>
  <c r="P209" i="45"/>
  <c r="P206" i="45" s="1"/>
  <c r="AG83" i="45"/>
  <c r="P82" i="45"/>
  <c r="O202" i="45"/>
  <c r="O201" i="45" s="1"/>
  <c r="P204" i="45"/>
  <c r="P202" i="45" s="1"/>
  <c r="P201" i="45" s="1"/>
  <c r="O123" i="45"/>
  <c r="P124" i="45"/>
  <c r="P123" i="45" s="1"/>
  <c r="AE105" i="45"/>
  <c r="AE104" i="45" s="1"/>
  <c r="AD104" i="45"/>
  <c r="P97" i="45"/>
  <c r="O96" i="45"/>
  <c r="AF97" i="45"/>
  <c r="AF96" i="45" s="1"/>
  <c r="AF82" i="45"/>
  <c r="AE159" i="45"/>
  <c r="AD158" i="45"/>
  <c r="AF159" i="45"/>
  <c r="AG141" i="45"/>
  <c r="AG135" i="45" s="1"/>
  <c r="AE135" i="45"/>
  <c r="AE227" i="45"/>
  <c r="AF227" i="45"/>
  <c r="AF279" i="45" s="1"/>
  <c r="AD279" i="45"/>
  <c r="AD33" i="45"/>
  <c r="AE33" i="45" s="1"/>
  <c r="AG18" i="45"/>
  <c r="Q9" i="45"/>
  <c r="AF39" i="45"/>
  <c r="AD24" i="45"/>
  <c r="AE24" i="45" s="1"/>
  <c r="AD22" i="45"/>
  <c r="AE22" i="45" s="1"/>
  <c r="AF22" i="45" s="1"/>
  <c r="AD12" i="45"/>
  <c r="AE12" i="45" s="1"/>
  <c r="O11" i="45"/>
  <c r="P11" i="45" s="1"/>
  <c r="AF40" i="45"/>
  <c r="AF38" i="45"/>
  <c r="O34" i="45"/>
  <c r="P34" i="45" s="1"/>
  <c r="O32" i="45"/>
  <c r="P32" i="45" s="1"/>
  <c r="AG25" i="45"/>
  <c r="O23" i="45"/>
  <c r="P23" i="45" s="1"/>
  <c r="O21" i="45"/>
  <c r="P21" i="45" s="1"/>
  <c r="O19" i="45"/>
  <c r="P19" i="45" s="1"/>
  <c r="AH9" i="45"/>
  <c r="AD34" i="45"/>
  <c r="AE34" i="45" s="1"/>
  <c r="AD32" i="45"/>
  <c r="AE32" i="45" s="1"/>
  <c r="AD23" i="45"/>
  <c r="AE23" i="45" s="1"/>
  <c r="AD21" i="45"/>
  <c r="AE21" i="45" s="1"/>
  <c r="AD19" i="45"/>
  <c r="AE19" i="45" s="1"/>
  <c r="B9" i="45"/>
  <c r="AG10" i="45"/>
  <c r="I26" i="32"/>
  <c r="L39" i="60"/>
  <c r="W39" i="60"/>
  <c r="P18" i="45" l="1"/>
  <c r="AF21" i="45"/>
  <c r="P10" i="45"/>
  <c r="AF206" i="45"/>
  <c r="AF24" i="45"/>
  <c r="AE10" i="45"/>
  <c r="AF144" i="45"/>
  <c r="AF134" i="45" s="1"/>
  <c r="AF218" i="45" s="1"/>
  <c r="AF27" i="45"/>
  <c r="AG166" i="45"/>
  <c r="AF89" i="45"/>
  <c r="AF15" i="45"/>
  <c r="AF135" i="45"/>
  <c r="P166" i="45"/>
  <c r="AG82" i="45"/>
  <c r="AF158" i="45"/>
  <c r="AF104" i="45"/>
  <c r="AF30" i="45"/>
  <c r="AD72" i="45"/>
  <c r="AD126" i="45" s="1"/>
  <c r="K420" i="45"/>
  <c r="AG378" i="45"/>
  <c r="AI358" i="45"/>
  <c r="AE624" i="45"/>
  <c r="AE627" i="45" s="1"/>
  <c r="AD315" i="45"/>
  <c r="AD420" i="45" s="1"/>
  <c r="AG301" i="45"/>
  <c r="AF26" i="45"/>
  <c r="AF20" i="45"/>
  <c r="AF33" i="45"/>
  <c r="O315" i="45"/>
  <c r="AF315" i="45"/>
  <c r="AF420" i="45" s="1"/>
  <c r="AE18" i="45"/>
  <c r="AF18" i="45" s="1"/>
  <c r="AD134" i="45"/>
  <c r="AD218" i="45" s="1"/>
  <c r="P624" i="45"/>
  <c r="P627" i="45" s="1"/>
  <c r="P25" i="45"/>
  <c r="AF34" i="45"/>
  <c r="AF11" i="45"/>
  <c r="AF12" i="45"/>
  <c r="AE144" i="45"/>
  <c r="AF28" i="45"/>
  <c r="AF166" i="45"/>
  <c r="P31" i="45"/>
  <c r="AF32" i="45"/>
  <c r="O134" i="45"/>
  <c r="O218" i="45" s="1"/>
  <c r="AG144" i="45"/>
  <c r="AF151" i="45"/>
  <c r="AF624" i="45"/>
  <c r="P558" i="45"/>
  <c r="AE126" i="45"/>
  <c r="AE358" i="45"/>
  <c r="AE25" i="45"/>
  <c r="P151" i="45"/>
  <c r="P134" i="45" s="1"/>
  <c r="P218" i="45" s="1"/>
  <c r="AG558" i="45"/>
  <c r="P290" i="45"/>
  <c r="AG294" i="45"/>
  <c r="AG290" i="45" s="1"/>
  <c r="AG353" i="45"/>
  <c r="AG352" i="45" s="1"/>
  <c r="P352" i="45"/>
  <c r="AG624" i="45"/>
  <c r="AI298" i="45"/>
  <c r="AI297" i="45" s="1"/>
  <c r="AE297" i="45"/>
  <c r="AG317" i="45"/>
  <c r="AG316" i="45" s="1"/>
  <c r="P316" i="45"/>
  <c r="AE290" i="45"/>
  <c r="AI294" i="45"/>
  <c r="AI290" i="45" s="1"/>
  <c r="P297" i="45"/>
  <c r="AG298" i="45"/>
  <c r="AG297" i="45" s="1"/>
  <c r="O358" i="45"/>
  <c r="AG204" i="45"/>
  <c r="AG202" i="45" s="1"/>
  <c r="AG201" i="45" s="1"/>
  <c r="AE202" i="45"/>
  <c r="AE201" i="45" s="1"/>
  <c r="AF73" i="45"/>
  <c r="O72" i="45"/>
  <c r="AE279" i="45"/>
  <c r="AG227" i="45"/>
  <c r="AG279" i="45" s="1"/>
  <c r="AG105" i="45"/>
  <c r="AG104" i="45" s="1"/>
  <c r="P104" i="45"/>
  <c r="AG209" i="45"/>
  <c r="AG206" i="45" s="1"/>
  <c r="AE206" i="45"/>
  <c r="AG159" i="45"/>
  <c r="AG158" i="45" s="1"/>
  <c r="AE158" i="45"/>
  <c r="P96" i="45"/>
  <c r="AG97" i="45"/>
  <c r="AG96" i="45" s="1"/>
  <c r="P89" i="45"/>
  <c r="AG90" i="45"/>
  <c r="AG89" i="45" s="1"/>
  <c r="P73" i="45"/>
  <c r="AG77" i="45"/>
  <c r="AE151" i="45"/>
  <c r="AG152" i="45"/>
  <c r="AG151" i="45" s="1"/>
  <c r="AF19" i="45"/>
  <c r="AF23" i="45"/>
  <c r="AE31" i="45"/>
  <c r="AF10" i="45" l="1"/>
  <c r="P315" i="45"/>
  <c r="O420" i="45"/>
  <c r="AF72" i="45"/>
  <c r="AF126" i="45" s="1"/>
  <c r="AG134" i="45"/>
  <c r="AG218" i="45" s="1"/>
  <c r="AF31" i="45"/>
  <c r="AE315" i="45"/>
  <c r="AE420" i="45" s="1"/>
  <c r="AG315" i="45"/>
  <c r="P9" i="45"/>
  <c r="P42" i="45"/>
  <c r="AF25" i="45"/>
  <c r="AE42" i="45"/>
  <c r="AE134" i="45"/>
  <c r="AE218" i="45" s="1"/>
  <c r="AI315" i="45"/>
  <c r="AI420" i="45" s="1"/>
  <c r="P358" i="45"/>
  <c r="P420" i="45" s="1"/>
  <c r="AG358" i="45"/>
  <c r="P72" i="45"/>
  <c r="AG72" i="45" s="1"/>
  <c r="AG126" i="45" s="1"/>
  <c r="AG73" i="45"/>
  <c r="O126" i="45"/>
  <c r="AE9" i="45"/>
  <c r="AF42" i="45" l="1"/>
  <c r="AG420" i="45"/>
  <c r="P126" i="45"/>
  <c r="O104" i="21" l="1"/>
  <c r="E100" i="21"/>
  <c r="F96" i="21"/>
  <c r="H96" i="21"/>
  <c r="L96" i="21"/>
  <c r="D96" i="21"/>
  <c r="E92" i="21"/>
  <c r="F92" i="21"/>
  <c r="L92" i="21"/>
  <c r="D92" i="21"/>
  <c r="L88" i="21"/>
  <c r="F88" i="21"/>
  <c r="E84" i="21"/>
  <c r="F84" i="21"/>
  <c r="H84" i="21"/>
  <c r="L84" i="21"/>
  <c r="D84" i="21"/>
  <c r="F80" i="21"/>
  <c r="L80" i="21"/>
  <c r="D80" i="21"/>
  <c r="F76" i="21"/>
  <c r="L76" i="21"/>
  <c r="D76" i="21"/>
  <c r="L72" i="21"/>
  <c r="F72" i="21"/>
  <c r="F64" i="21"/>
  <c r="H64" i="21"/>
  <c r="L64" i="21"/>
  <c r="D64" i="21"/>
  <c r="D60" i="21"/>
  <c r="F52" i="21"/>
  <c r="L52" i="21"/>
  <c r="F48" i="21"/>
  <c r="F44" i="21"/>
  <c r="L44" i="21"/>
  <c r="F40" i="21"/>
  <c r="L40" i="21"/>
  <c r="D52" i="21"/>
  <c r="D48" i="21"/>
  <c r="D44" i="21"/>
  <c r="D40" i="21"/>
  <c r="F36" i="21"/>
  <c r="L36" i="21"/>
  <c r="D36" i="21"/>
  <c r="E32" i="21"/>
  <c r="F32" i="21"/>
  <c r="D32" i="21"/>
  <c r="F24" i="21"/>
  <c r="L24" i="21"/>
  <c r="E24" i="21"/>
  <c r="E16" i="21"/>
  <c r="F16" i="21"/>
  <c r="H16" i="21"/>
  <c r="L16" i="21"/>
  <c r="D16" i="21"/>
  <c r="P101" i="21" l="1"/>
  <c r="Q101" i="21" s="1"/>
  <c r="P102" i="21"/>
  <c r="Q102" i="21" s="1"/>
  <c r="I61" i="21"/>
  <c r="I59" i="21"/>
  <c r="Q59" i="21" s="1"/>
  <c r="N29" i="21"/>
  <c r="D107" i="21"/>
  <c r="E107" i="21"/>
  <c r="F107" i="21"/>
  <c r="H107" i="21"/>
  <c r="L107" i="21"/>
  <c r="O107" i="21"/>
  <c r="E106" i="21"/>
  <c r="F106" i="21"/>
  <c r="H106" i="21"/>
  <c r="L106" i="21"/>
  <c r="O106" i="21"/>
  <c r="P106" i="21"/>
  <c r="D106" i="21"/>
  <c r="E105" i="21"/>
  <c r="F105" i="21"/>
  <c r="H105" i="21"/>
  <c r="L105" i="21"/>
  <c r="O105" i="21"/>
  <c r="P105" i="21"/>
  <c r="D105" i="21"/>
  <c r="I97" i="21"/>
  <c r="Q97" i="21" s="1"/>
  <c r="I98" i="21"/>
  <c r="Q98" i="21" s="1"/>
  <c r="N93" i="21"/>
  <c r="N94" i="21"/>
  <c r="I93" i="21"/>
  <c r="I94" i="21"/>
  <c r="I89" i="21"/>
  <c r="I90" i="21"/>
  <c r="N89" i="21"/>
  <c r="N90" i="21"/>
  <c r="N85" i="21"/>
  <c r="Q85" i="21" s="1"/>
  <c r="N86" i="21"/>
  <c r="Q86" i="21" s="1"/>
  <c r="N77" i="21"/>
  <c r="N78" i="21"/>
  <c r="N73" i="21"/>
  <c r="N74" i="21"/>
  <c r="N69" i="21"/>
  <c r="N70" i="21"/>
  <c r="I77" i="21"/>
  <c r="I78" i="21"/>
  <c r="I73" i="21"/>
  <c r="I74" i="21"/>
  <c r="I69" i="21"/>
  <c r="I70" i="21"/>
  <c r="N61" i="21"/>
  <c r="N62" i="21"/>
  <c r="I62" i="21"/>
  <c r="I57" i="21"/>
  <c r="Q57" i="21" s="1"/>
  <c r="I58" i="21"/>
  <c r="Q58" i="21" s="1"/>
  <c r="I45" i="21"/>
  <c r="Q45" i="21" s="1"/>
  <c r="I46" i="21"/>
  <c r="Q46" i="21" s="1"/>
  <c r="I49" i="21"/>
  <c r="I50" i="21"/>
  <c r="N49" i="21"/>
  <c r="N50" i="21"/>
  <c r="N41" i="21"/>
  <c r="N42" i="21"/>
  <c r="I41" i="21"/>
  <c r="I42" i="21"/>
  <c r="N37" i="21"/>
  <c r="N38" i="21"/>
  <c r="I37" i="21"/>
  <c r="I38" i="21"/>
  <c r="N33" i="21"/>
  <c r="N34" i="21"/>
  <c r="I33" i="21"/>
  <c r="I34" i="21"/>
  <c r="I29" i="21"/>
  <c r="I30" i="21"/>
  <c r="Q30" i="21" s="1"/>
  <c r="N21" i="21"/>
  <c r="N22" i="21"/>
  <c r="I21" i="21"/>
  <c r="I22" i="21"/>
  <c r="N13" i="21"/>
  <c r="N14" i="21"/>
  <c r="I13" i="21"/>
  <c r="I14" i="21"/>
  <c r="P103" i="21"/>
  <c r="N95" i="21"/>
  <c r="N91" i="21"/>
  <c r="N87" i="21"/>
  <c r="N83" i="21"/>
  <c r="N84" i="21" s="1"/>
  <c r="N79" i="21"/>
  <c r="N80" i="21" s="1"/>
  <c r="N75" i="21"/>
  <c r="N76" i="21" s="1"/>
  <c r="N71" i="21"/>
  <c r="N63" i="21"/>
  <c r="N51" i="21"/>
  <c r="N43" i="21"/>
  <c r="N39" i="21"/>
  <c r="N35" i="21"/>
  <c r="N23" i="21"/>
  <c r="N15" i="21"/>
  <c r="I99" i="21"/>
  <c r="I95" i="21"/>
  <c r="I91" i="21"/>
  <c r="I87" i="21"/>
  <c r="I88" i="21" s="1"/>
  <c r="I79" i="21"/>
  <c r="I75" i="21"/>
  <c r="I71" i="21"/>
  <c r="I63" i="21"/>
  <c r="I51" i="21"/>
  <c r="I47" i="21"/>
  <c r="I43" i="21"/>
  <c r="I39" i="21"/>
  <c r="I35" i="21"/>
  <c r="I31" i="21"/>
  <c r="I23" i="21"/>
  <c r="I15" i="21"/>
  <c r="I81" i="21"/>
  <c r="Q81" i="21" s="1"/>
  <c r="I82" i="21"/>
  <c r="Q82" i="21" s="1"/>
  <c r="I83" i="21"/>
  <c r="N24" i="9"/>
  <c r="K24" i="9"/>
  <c r="E24" i="9"/>
  <c r="C24" i="9"/>
  <c r="D24" i="9"/>
  <c r="F24" i="9"/>
  <c r="G24" i="9"/>
  <c r="I24" i="9"/>
  <c r="J24" i="9"/>
  <c r="L24" i="9"/>
  <c r="O15" i="9"/>
  <c r="O24" i="9" s="1"/>
  <c r="M8" i="9"/>
  <c r="M10" i="9"/>
  <c r="M15" i="9"/>
  <c r="M6" i="9"/>
  <c r="H8" i="9"/>
  <c r="H10" i="9"/>
  <c r="H13" i="9"/>
  <c r="P13" i="9" s="1"/>
  <c r="H15" i="9"/>
  <c r="H6" i="9"/>
  <c r="D35" i="70"/>
  <c r="B19" i="73"/>
  <c r="D19" i="73"/>
  <c r="C19" i="73"/>
  <c r="D13" i="73"/>
  <c r="B7" i="73"/>
  <c r="B13" i="73"/>
  <c r="C13" i="73"/>
  <c r="D7" i="73"/>
  <c r="C7" i="73"/>
  <c r="C52" i="70"/>
  <c r="D52" i="70"/>
  <c r="B52" i="70"/>
  <c r="C35" i="70"/>
  <c r="B35" i="70"/>
  <c r="C18" i="70"/>
  <c r="D18" i="70"/>
  <c r="B18" i="70"/>
  <c r="P6" i="9" l="1"/>
  <c r="Q14" i="21"/>
  <c r="L108" i="21"/>
  <c r="N16" i="21"/>
  <c r="Q13" i="21"/>
  <c r="N52" i="21"/>
  <c r="N88" i="21"/>
  <c r="O108" i="21"/>
  <c r="I84" i="21"/>
  <c r="N96" i="21"/>
  <c r="H24" i="9"/>
  <c r="I72" i="21"/>
  <c r="F108" i="21"/>
  <c r="H108" i="21"/>
  <c r="N36" i="21"/>
  <c r="Q33" i="21"/>
  <c r="P10" i="9"/>
  <c r="Q35" i="21"/>
  <c r="P8" i="9"/>
  <c r="I40" i="21"/>
  <c r="N44" i="21"/>
  <c r="Q21" i="21"/>
  <c r="Q61" i="21"/>
  <c r="N24" i="21"/>
  <c r="E108" i="21"/>
  <c r="P15" i="9"/>
  <c r="Q63" i="21"/>
  <c r="I64" i="21"/>
  <c r="Q75" i="21"/>
  <c r="I76" i="21"/>
  <c r="Q79" i="21"/>
  <c r="I80" i="21"/>
  <c r="N92" i="21"/>
  <c r="I44" i="21"/>
  <c r="Q91" i="21"/>
  <c r="I92" i="21"/>
  <c r="Q95" i="21"/>
  <c r="I96" i="21"/>
  <c r="N64" i="21"/>
  <c r="Q103" i="21"/>
  <c r="Q104" i="21" s="1"/>
  <c r="P104" i="21"/>
  <c r="Q78" i="21"/>
  <c r="D108" i="21"/>
  <c r="Q29" i="21"/>
  <c r="Q99" i="21"/>
  <c r="Q100" i="21" s="1"/>
  <c r="I100" i="21"/>
  <c r="N72" i="21"/>
  <c r="Q71" i="21"/>
  <c r="Q77" i="21"/>
  <c r="Q15" i="21"/>
  <c r="I16" i="21"/>
  <c r="I36" i="21"/>
  <c r="N40" i="21"/>
  <c r="Q87" i="21"/>
  <c r="Q88" i="21" s="1"/>
  <c r="Q41" i="21"/>
  <c r="Q39" i="21"/>
  <c r="Q43" i="21"/>
  <c r="I48" i="21"/>
  <c r="Q51" i="21"/>
  <c r="I52" i="21"/>
  <c r="Q47" i="21"/>
  <c r="Q48" i="21" s="1"/>
  <c r="Q31" i="21"/>
  <c r="Q32" i="21" s="1"/>
  <c r="I32" i="21"/>
  <c r="I24" i="21"/>
  <c r="Q23" i="21"/>
  <c r="N107" i="21"/>
  <c r="Q93" i="21"/>
  <c r="Q94" i="21"/>
  <c r="Q90" i="21"/>
  <c r="Q89" i="21"/>
  <c r="Q83" i="21"/>
  <c r="Q84" i="21" s="1"/>
  <c r="Q74" i="21"/>
  <c r="Q73" i="21"/>
  <c r="Q70" i="21"/>
  <c r="Q69" i="21"/>
  <c r="Q62" i="21"/>
  <c r="I107" i="21"/>
  <c r="Q42" i="21"/>
  <c r="N106" i="21"/>
  <c r="Q37" i="21"/>
  <c r="Q38" i="21"/>
  <c r="Q34" i="21"/>
  <c r="Q36" i="21" s="1"/>
  <c r="N105" i="21"/>
  <c r="Q22" i="21"/>
  <c r="I106" i="21"/>
  <c r="M24" i="9"/>
  <c r="Q49" i="21"/>
  <c r="I105" i="21"/>
  <c r="P107" i="21"/>
  <c r="P108" i="21" s="1"/>
  <c r="Q50" i="21"/>
  <c r="P24" i="9" l="1"/>
  <c r="Q24" i="9" s="1"/>
  <c r="Q24" i="21"/>
  <c r="Q96" i="21"/>
  <c r="Q76" i="21"/>
  <c r="Q10" i="9"/>
  <c r="N108" i="21"/>
  <c r="Q105" i="21"/>
  <c r="I108" i="21"/>
  <c r="Q106" i="21"/>
  <c r="Q92" i="21"/>
  <c r="Q107" i="21"/>
  <c r="Q16" i="21"/>
  <c r="Q64" i="21"/>
  <c r="Q72" i="21"/>
  <c r="Q80" i="21"/>
  <c r="Q52" i="21"/>
  <c r="Q44" i="21"/>
  <c r="Q40" i="21"/>
  <c r="Q8" i="9"/>
  <c r="Q13" i="9"/>
  <c r="Q15" i="9"/>
  <c r="Q6" i="9"/>
  <c r="Q108" i="21" l="1"/>
  <c r="D536" i="45"/>
  <c r="D541" i="45"/>
  <c r="D558" i="45"/>
  <c r="D624" i="45"/>
  <c r="S558" i="45"/>
  <c r="S536" i="45"/>
  <c r="S541" i="45"/>
  <c r="S624"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<sst xmlns="http://schemas.openxmlformats.org/spreadsheetml/2006/main" count="21982" uniqueCount="5405">
  <si>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</si>
  <si>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</si>
  <si>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</si>
  <si>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</si>
  <si>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</si>
  <si>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</si>
  <si>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</si>
  <si>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</si>
  <si>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</si>
  <si>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</si>
  <si>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</si>
  <si>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</si>
  <si>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</si>
  <si>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</si>
  <si>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</si>
  <si>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</si>
  <si>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SAA</t>
  </si>
  <si>
    <t>S/.</t>
  </si>
  <si>
    <t>Est. %</t>
  </si>
  <si>
    <t>EST. %</t>
  </si>
  <si>
    <t>GASTOS CORRIENTES */</t>
  </si>
  <si>
    <t>TOTAL (A)</t>
  </si>
  <si>
    <t>OTROS</t>
  </si>
  <si>
    <t>PASAJES Y GASTOS DE TRANSPORTE</t>
  </si>
  <si>
    <t>RUBROS</t>
  </si>
  <si>
    <t>NUEVOS SOLES</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</si>
  <si>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</si>
  <si>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</si>
  <si>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</si>
  <si>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</si>
  <si>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</si>
  <si>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</si>
  <si>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</si>
  <si>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</si>
  <si>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</si>
  <si>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</si>
  <si>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</si>
  <si>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</si>
  <si>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</si>
  <si>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(PIA) = Presupuesto Institucional de Apertura</t>
  </si>
  <si>
    <t>TIPO DE ESTUDIO Y/O INFORME (*)</t>
  </si>
  <si>
    <t>(*) EL PRODUCTO QUE SE ADQUIERE</t>
  </si>
  <si>
    <t>NIVELES REMUNERATIVOS</t>
  </si>
  <si>
    <t>(1)</t>
  </si>
  <si>
    <t>(2)</t>
  </si>
  <si>
    <t>(3)</t>
  </si>
  <si>
    <t>(4)</t>
  </si>
  <si>
    <t>(5)</t>
  </si>
  <si>
    <t>(6)</t>
  </si>
  <si>
    <t>CARRERA ADMINISTRATIVA</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</si>
  <si>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</si>
  <si>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</si>
  <si>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</si>
  <si>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</si>
  <si>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</si>
  <si>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</si>
  <si>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</si>
  <si>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</si>
  <si>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</si>
  <si>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</si>
  <si>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</si>
  <si>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</si>
  <si>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</si>
  <si>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</si>
  <si>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</si>
  <si>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</si>
  <si>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</si>
  <si>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</si>
  <si>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</si>
  <si>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</si>
  <si>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</si>
  <si>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</si>
  <si>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</si>
  <si>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</si>
  <si>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</si>
  <si>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</si>
  <si>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</si>
  <si>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xml:space="preserve"> </t>
  </si>
  <si>
    <t>FAG</t>
  </si>
  <si>
    <t>TIPO DE CONTRATO</t>
  </si>
  <si>
    <t>CAS</t>
  </si>
  <si>
    <t>SNP</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</si>
  <si>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</si>
  <si>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</si>
  <si>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</si>
  <si>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</si>
  <si>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</si>
  <si>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</si>
  <si>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</si>
  <si>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</si>
  <si>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</si>
  <si>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</si>
  <si>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</si>
  <si>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</si>
  <si>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</si>
  <si>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</si>
  <si>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</si>
  <si>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</si>
  <si>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</si>
  <si>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</si>
  <si>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</si>
  <si>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</si>
  <si>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</si>
  <si>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</si>
  <si>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</si>
  <si>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</si>
  <si>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</si>
  <si>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</si>
  <si>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</si>
  <si>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</si>
  <si>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</si>
  <si>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</si>
  <si>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</si>
  <si>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</si>
  <si>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</si>
  <si>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</si>
  <si>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</si>
  <si>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</si>
  <si>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</si>
  <si>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</si>
  <si>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</si>
  <si>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</si>
  <si>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</si>
  <si>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</si>
  <si>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</si>
  <si>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</si>
  <si>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</si>
  <si>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</si>
  <si>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Profesión</t>
  </si>
  <si>
    <t>Grado Academico</t>
  </si>
  <si>
    <t>REMUNERACION MENSUAL (cada persona)</t>
  </si>
  <si>
    <t>CAFAE MENSUL (cada persona)</t>
  </si>
  <si>
    <t>AETA MENSUAL (cada persona)</t>
  </si>
  <si>
    <t>OTROS INGRESOS MENSUAL (cada persona)</t>
  </si>
  <si>
    <t>SUB TOTAL INGRESOS MENSUALES (cada persona)</t>
  </si>
  <si>
    <t>AGUINALDOS, GRAFICACIONES Y ESCOLARIDAD (anual cada persona)</t>
  </si>
  <si>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</si>
  <si>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</si>
  <si>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</si>
  <si>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</si>
  <si>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</si>
  <si>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</si>
  <si>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</si>
  <si>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</si>
  <si>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</si>
  <si>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</si>
  <si>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</si>
  <si>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</si>
  <si>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</si>
  <si>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</si>
  <si>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</si>
  <si>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</si>
  <si>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</si>
  <si>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</si>
  <si>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</si>
  <si>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</si>
  <si>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</si>
  <si>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</si>
  <si>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</si>
  <si>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</si>
  <si>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</si>
  <si>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</si>
  <si>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</si>
  <si>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</si>
  <si>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</si>
  <si>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</si>
  <si>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</si>
  <si>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</si>
  <si>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</si>
  <si>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</si>
  <si>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</si>
  <si>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</si>
  <si>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</si>
  <si>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</si>
  <si>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</si>
  <si>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</si>
  <si>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</si>
  <si>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</si>
  <si>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</si>
  <si>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</si>
  <si>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</si>
  <si>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</si>
  <si>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</si>
  <si>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</si>
  <si>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</si>
  <si>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</si>
  <si>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</si>
  <si>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</si>
  <si>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</si>
  <si>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</si>
  <si>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</si>
  <si>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</si>
  <si>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</si>
  <si>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</si>
  <si>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</si>
  <si>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</si>
  <si>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</si>
  <si>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</si>
  <si>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</si>
  <si>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</si>
  <si>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</si>
  <si>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</si>
  <si>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</si>
  <si>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</si>
  <si>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</si>
  <si>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</si>
  <si>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</si>
  <si>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</si>
  <si>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</si>
  <si>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</si>
  <si>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</si>
  <si>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</si>
  <si>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</si>
  <si>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</si>
  <si>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</si>
  <si>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</si>
  <si>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</si>
  <si>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</si>
  <si>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</si>
  <si>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</si>
  <si>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</si>
  <si>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</si>
  <si>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</si>
  <si>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</si>
  <si>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</si>
  <si>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</si>
  <si>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</si>
  <si>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</si>
  <si>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</si>
  <si>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</si>
  <si>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</si>
  <si>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</si>
  <si>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</si>
  <si>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</si>
  <si>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</si>
  <si>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</si>
  <si>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</si>
  <si>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</si>
  <si>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</si>
  <si>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</si>
  <si>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</si>
  <si>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</si>
  <si>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REPUESTOS Y ACCESORIOS</t>
  </si>
  <si>
    <t>ENSERES</t>
  </si>
  <si>
    <t>CONTRATO ADMINISTRATIVO DE SERVICIOS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</si>
  <si>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</si>
  <si>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</si>
  <si>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</si>
  <si>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</si>
  <si>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</si>
  <si>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</si>
  <si>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</si>
  <si>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</si>
  <si>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</si>
  <si>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</si>
  <si>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</si>
  <si>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</si>
  <si>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</si>
  <si>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</si>
  <si>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</si>
  <si>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</si>
  <si>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</si>
  <si>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</si>
  <si>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</si>
  <si>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</si>
  <si>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</si>
  <si>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</si>
  <si>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</si>
  <si>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</si>
  <si>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</si>
  <si>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</si>
  <si>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</si>
  <si>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</si>
  <si>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</si>
  <si>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</si>
  <si>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</si>
  <si>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</si>
  <si>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</si>
  <si>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</si>
  <si>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</si>
  <si>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</si>
  <si>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</si>
  <si>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</si>
  <si>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</si>
  <si>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</si>
  <si>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</si>
  <si>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</si>
  <si>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</si>
  <si>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</si>
  <si>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</si>
  <si>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</si>
  <si>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</si>
  <si>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</si>
  <si>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</si>
  <si>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</si>
  <si>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</si>
  <si>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</si>
  <si>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</si>
  <si>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</si>
  <si>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</si>
  <si>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</si>
  <si>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</si>
  <si>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</si>
  <si>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</si>
  <si>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</si>
  <si>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</si>
  <si>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</si>
  <si>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</si>
  <si>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</si>
  <si>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</si>
  <si>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</si>
  <si>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</si>
  <si>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</si>
  <si>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SECTOR o GOB. REGIONAL:</t>
  </si>
  <si>
    <t>SECTOR o GOB. REGIONAL (Por Ejemplo SALUD)</t>
  </si>
  <si>
    <r>
      <t xml:space="preserve">PLIEGO: </t>
    </r>
    <r>
      <rPr>
        <sz val="10"/>
        <rFont val="Arial"/>
        <family val="2"/>
      </rPr>
      <t>Todos los pliegos del sector y cada pliego del sector</t>
    </r>
  </si>
  <si>
    <t>Decreto Legislativo 276 (Regimen Público)</t>
  </si>
  <si>
    <r>
      <t xml:space="preserve">PLIEGO: </t>
    </r>
    <r>
      <rPr>
        <sz val="9"/>
        <rFont val="Arial"/>
        <family val="2"/>
      </rPr>
      <t>Todos los pliego del sector y cada pliego del sector</t>
    </r>
  </si>
  <si>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</si>
  <si>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</si>
  <si>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</si>
  <si>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</si>
  <si>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</si>
  <si>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 OTROS (ESPECIFIQUE)</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</si>
  <si>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</si>
  <si>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</si>
  <si>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</si>
  <si>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</si>
  <si>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</si>
  <si>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</si>
  <si>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</si>
  <si>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</si>
  <si>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</si>
  <si>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</si>
  <si>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</si>
  <si>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</si>
  <si>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</si>
  <si>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</si>
  <si>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</si>
  <si>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</si>
  <si>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</si>
  <si>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</si>
  <si>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</si>
  <si>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</si>
  <si>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</si>
  <si>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</si>
  <si>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</si>
  <si>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</si>
  <si>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</si>
  <si>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</si>
  <si>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</si>
  <si>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</si>
  <si>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</si>
  <si>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</si>
  <si>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</si>
  <si>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</si>
  <si>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</si>
  <si>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</si>
  <si>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</si>
  <si>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</si>
  <si>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</si>
  <si>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</si>
  <si>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</si>
  <si>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</si>
  <si>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</si>
  <si>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</si>
  <si>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</si>
  <si>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</si>
  <si>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</si>
  <si>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</si>
  <si>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</si>
  <si>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</si>
  <si>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</si>
  <si>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</si>
  <si>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</si>
  <si>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</si>
  <si>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</si>
  <si>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</si>
  <si>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</si>
  <si>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</si>
  <si>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</si>
  <si>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</si>
  <si>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</si>
  <si>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(PIM)</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</si>
  <si>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</si>
  <si>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</si>
  <si>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</si>
  <si>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</si>
  <si>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</si>
  <si>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</si>
  <si>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</si>
  <si>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</si>
  <si>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</si>
  <si>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</si>
  <si>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</si>
  <si>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 Al 30 de junio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</si>
  <si>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</si>
  <si>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</si>
  <si>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</si>
  <si>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</si>
  <si>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</si>
  <si>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</si>
  <si>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</si>
  <si>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</si>
  <si>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</si>
  <si>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</si>
  <si>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</si>
  <si>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</si>
  <si>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</si>
  <si>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</si>
  <si>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</si>
  <si>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</si>
  <si>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</si>
  <si>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</si>
  <si>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</si>
  <si>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SALDO 2021 (*)</t>
  </si>
  <si>
    <t>PPTO 2020 (AL 31/12)</t>
  </si>
  <si>
    <t>PPTO 2021 (AL 30/06)</t>
  </si>
  <si>
    <t>PPTO 2022 (PROYECCI{ON 31/12)</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</si>
  <si>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</si>
  <si>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</si>
  <si>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</si>
  <si>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</si>
  <si>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</si>
  <si>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</si>
  <si>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</si>
  <si>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</si>
  <si>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</si>
  <si>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</si>
  <si>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</si>
  <si>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PLIEGO 443 - GOBIERNO REGIONAL DEL DEPARTAMENTO DE AREQUIPA</t>
  </si>
  <si>
    <t>OEI.01</t>
  </si>
  <si>
    <t>OEI.01 Mejorar la calidad de vida de la población.</t>
  </si>
  <si>
    <t>Porcentaje promedio de incidencia de pobreza</t>
  </si>
  <si>
    <t>INEI - SIRTOD</t>
  </si>
  <si>
    <t>Gerencia Regional de Desarrollo e Inclusión Social</t>
  </si>
  <si>
    <t>OEI.02</t>
  </si>
  <si>
    <t>OEI.02 Mejorar la calidad educativa de los estudiantes en sus diferentes niveles</t>
  </si>
  <si>
    <t>Porcentaje de estudiantes de segundo grado de primaria con nivel satisfactorio en comprensión lectora.</t>
  </si>
  <si>
    <t>GRE - Prueba ECE Comprensión Lectora</t>
  </si>
  <si>
    <t>Gerencia Regional de Educación</t>
  </si>
  <si>
    <t xml:space="preserve">Porcentaje de estudiantes de segundo grado
de primaria con nivel satisfactorio en
matemática. </t>
  </si>
  <si>
    <t>GRE - Prueba ECE Matemática</t>
  </si>
  <si>
    <t>OEI.03</t>
  </si>
  <si>
    <t>OEI.03 Promover la producción artística, cultural e intelectual y el deporte en la región Arequipa</t>
  </si>
  <si>
    <t>Tasa de variación de visitantes al Complejo Cultural Regional Mario Vargas Llosa</t>
  </si>
  <si>
    <t>AFNE Promoción de la Cultura y Casa Mario Vargas Llosa - Registro de visitantes</t>
  </si>
  <si>
    <t>OEI.04</t>
  </si>
  <si>
    <t>OEI.04 Mejorar la calidad de servicios de salud para la población</t>
  </si>
  <si>
    <t>Porcentaje del fortalecimiento de la autoevaluación del desempeño de las IPRESS para el cumplimiento de los estándares de calidad en la atención de salud</t>
  </si>
  <si>
    <t>GERESA - DESP - Calidad</t>
  </si>
  <si>
    <t>Gerencia Regional de Salud</t>
  </si>
  <si>
    <t>OEI.05</t>
  </si>
  <si>
    <t>OEI.05 Mejorar las condiciones de habitabilidad de la población</t>
  </si>
  <si>
    <t>Porcentaje de la población con al menos una necesidad básica insatisfecha</t>
  </si>
  <si>
    <t>Gerencia Regional de Vivienda, Construcción y Saneamiento</t>
  </si>
  <si>
    <t>OEI.06</t>
  </si>
  <si>
    <t>OEI.06 Fortalecer la gestión institucional del Gobierno Regional de Arequipa</t>
  </si>
  <si>
    <t>Porcentaje de la población que se siente satisfecha con su última experiencia de los servicios públicos brindados por el GRA</t>
  </si>
  <si>
    <t>INEI - Sistema de Monitoreo y Seguimiento de los Indicadores de los Objetivos de Desarrollo Sostenible</t>
  </si>
  <si>
    <t>Oficina de Planeamiento y Desarrollo Institucional</t>
  </si>
  <si>
    <t>OEI.07</t>
  </si>
  <si>
    <t>OEI.07 Promover la implementación de los procesos de la gestión de riesgo de desastres en los gobiernos locales</t>
  </si>
  <si>
    <t>Porcentaje de la población que aplica medidas de gestión del riesgo de desastres sobre la base de información de acceso público</t>
  </si>
  <si>
    <t>Oficina Regional de Defensa Nacional y Defensa Civil del GRA - Aplicativo SINPAD</t>
  </si>
  <si>
    <t>Oficina Regional de Defensa Nacional y Defensa Civil</t>
  </si>
  <si>
    <t>OEI.08</t>
  </si>
  <si>
    <t>OEI.08 Mejorar los niveles de competitividad de los agentes económicos de la región Arequipa</t>
  </si>
  <si>
    <t>Índice de competitividad Regional</t>
  </si>
  <si>
    <t>IPE - INCORE</t>
  </si>
  <si>
    <t>Gerencia Regional de la Producción</t>
  </si>
  <si>
    <t>OEI.09</t>
  </si>
  <si>
    <t>OEI.09 Mejorar la infraestructura de servicios de la región de Arequipa</t>
  </si>
  <si>
    <t>Porcentaje de la Red Vial departamental con superficie de rodadura pavimentada</t>
  </si>
  <si>
    <t>Sub Gerencia de Infraestructura de la GRTC - Inventario de la Red Vial Departamental de Arequipa</t>
  </si>
  <si>
    <t>Gerencia Regional de Transportes y Comunicaciones</t>
  </si>
  <si>
    <t>OEI.10</t>
  </si>
  <si>
    <t>OEI.10 Promover el aprovechamiento sostenible de los recursos naturales en la región</t>
  </si>
  <si>
    <t>Porcentaje de hectáreas conservadas y/o protegidas</t>
  </si>
  <si>
    <t>ARMA - Registro e Inventario de Áreas de Conservación Regional - Proyecto de Conservación Lomas de Atiquipa y Pichu</t>
  </si>
  <si>
    <t>Autoridad Regional Ambiental</t>
  </si>
  <si>
    <t>18 Saneamiento</t>
  </si>
  <si>
    <t>443 GOBIERNO REGIONAL DE AREQUIPA</t>
  </si>
  <si>
    <t>001. SEDE AREQUIPA</t>
  </si>
  <si>
    <t>002. TRABAJO AREQUIPA</t>
  </si>
  <si>
    <t>444 GOBIERNO REGIONAL DE AREQUIPA</t>
  </si>
  <si>
    <t>004. PROYECTO ESPECIAL COPASA</t>
  </si>
  <si>
    <t>445 GOBIERNO REGIONAL DE AREQUIPA</t>
  </si>
  <si>
    <t>005. PROYECTO ESPECIAL MAJES - SIGUAS</t>
  </si>
  <si>
    <t>446 GOBIERNO REGIONAL DE AREQUIPA</t>
  </si>
  <si>
    <t>100. AGRICULTURA AREQUIPA</t>
  </si>
  <si>
    <t>447 GOBIERNO REGIONAL DE AREQUIPA</t>
  </si>
  <si>
    <t>200. TRANSPORTES AREQUIPA</t>
  </si>
  <si>
    <t>448 GOBIERNO REGIONAL DE AREQUIPA</t>
  </si>
  <si>
    <t>300. EDUCACION AREQUIPA</t>
  </si>
  <si>
    <t>449 GOBIERNO REGIONAL DE AREQUIPA</t>
  </si>
  <si>
    <t>301. COLEGIO MILITAR FRANCISCO BOLOGNESI</t>
  </si>
  <si>
    <t>450 GOBIERNO REGIONAL DE AREQUIPA</t>
  </si>
  <si>
    <t>302. EDUCACION AREQUIPA NORTE</t>
  </si>
  <si>
    <t>451 GOBIERNO REGIONAL DE AREQUIPA</t>
  </si>
  <si>
    <t>303. EDUCACION AREQUIPA SUR</t>
  </si>
  <si>
    <t>452 GOBIERNO REGIONAL DE AREQUIPA</t>
  </si>
  <si>
    <t>304. UGEL CAMANÁ</t>
  </si>
  <si>
    <t>453 GOBIERNO REGIONAL DE AREQUIPA</t>
  </si>
  <si>
    <t>305. UGEL CARAVELÍ</t>
  </si>
  <si>
    <t>454 GOBIERNO REGIONAL DE AREQUIPA</t>
  </si>
  <si>
    <t>306. UGEL CASTILLA</t>
  </si>
  <si>
    <t>455 GOBIERNO REGIONAL DE AREQUIPA</t>
  </si>
  <si>
    <t>307. UGEL CONDESUYOS</t>
  </si>
  <si>
    <t>456 GOBIERNO REGIONAL DE AREQUIPA</t>
  </si>
  <si>
    <t>308. UGEL ISLAY</t>
  </si>
  <si>
    <t>457 GOBIERNO REGIONAL DE AREQUIPA</t>
  </si>
  <si>
    <t>309. UGEL LA UNIÓN</t>
  </si>
  <si>
    <t>458 GOBIERNO REGIONAL DE AREQUIPA</t>
  </si>
  <si>
    <t>310. UGEL CAYLLOMA</t>
  </si>
  <si>
    <t>459 GOBIERNO REGIONAL DE AREQUIPA</t>
  </si>
  <si>
    <t>311. UGEL LA JOYA</t>
  </si>
  <si>
    <t>460 GOBIERNO REGIONAL DE AREQUIPA</t>
  </si>
  <si>
    <t>400. SALUD AREQUIPA</t>
  </si>
  <si>
    <t>461 GOBIERNO REGIONAL DE AREQUIPA</t>
  </si>
  <si>
    <t>401. HOSPITAL GOYENECHE</t>
  </si>
  <si>
    <t>462 GOBIERNO REGIONAL DE AREQUIPA</t>
  </si>
  <si>
    <t>402. HOSPITAL REGIONAL HONORIO DELGADO</t>
  </si>
  <si>
    <t>463 GOBIERNO REGIONAL DE AREQUIPA</t>
  </si>
  <si>
    <t>403. SALUD CAMANA</t>
  </si>
  <si>
    <t>464 GOBIERNO REGIONAL DE AREQUIPA</t>
  </si>
  <si>
    <t>404. SALUD APLAO</t>
  </si>
  <si>
    <t>465 GOBIERNO REGIONAL DE AREQUIPA</t>
  </si>
  <si>
    <t>405. SALUD RED PERIFERICA AREQUIPA</t>
  </si>
  <si>
    <t>466 GOBIERNO REGIONAL DE AREQUIPA</t>
  </si>
  <si>
    <t>406. INSTITUTO REGIONAL DE ENFERMEDADES NEOPLÁSICAS DEL SUR (IREN SUR)</t>
  </si>
  <si>
    <t>467 GOBIERNO REGIONAL DE AREQUIPA</t>
  </si>
  <si>
    <t>409. HOSPITAL CENTRAL DE MAJES ING. ANGEL GABRIEL CHURA GALLEGOS</t>
  </si>
  <si>
    <t>0001 PROGRAMA ARTICULADO NUTRICIONAL</t>
  </si>
  <si>
    <t>0002 SALUD MATERNO NEONATAL</t>
  </si>
  <si>
    <t>0016 TBC-VIH/SIDA</t>
  </si>
  <si>
    <t>0017 ENFERMEDADES METAXENICAS Y ZOONOSIS</t>
  </si>
  <si>
    <t>0018 ENFERMEDADES NO TRANSMISIBLES</t>
  </si>
  <si>
    <t>0024 PREVENCION Y CONTROL DEL CANCER</t>
  </si>
  <si>
    <t>0039 MEJORA DE LA SANIDAD ANIMAL</t>
  </si>
  <si>
    <t>0040 MEJORA Y MANTENIMIENTO DE LA SANIDAD VEGETAL</t>
  </si>
  <si>
    <t>0041 MEJORA DE LA INOCUIDAD AGROALIMENTARIA</t>
  </si>
  <si>
    <t>0042 APROVECHAMIENTO DE LOS RECURSOS HIDRICOS PARA USO AGRARIO</t>
  </si>
  <si>
    <t>0046 ACCESO Y USO DE LA ELECTRIFICACION RURAL</t>
  </si>
  <si>
    <t>0051 PREVENCION Y TRATAMIENTO DEL CONSUMO DE DROGAS</t>
  </si>
  <si>
    <t>0057 CONSERVACION DE LA DIVERSIDAD BIOLOGICA Y APROVECHAMIENTO SOSTENIBLE DE LOS RECURSOS NATURALES EN AREA NATURAL PROTEGIDA</t>
  </si>
  <si>
    <t>0068 REDUCCION DE VULNERABILIDAD Y ATENCION DE EMERGENCIAS POR DESASTRES</t>
  </si>
  <si>
    <t>0082 PROGRAMA NACIONAL DE SANEAMIENTO URBANO</t>
  </si>
  <si>
    <t>0083 PROGRAMA NACIONAL DE SANEAMIENTO RURAL</t>
  </si>
  <si>
    <t>0089 REDUCCION DE LA DEGRADACION DE LOS SUELOS AGRARIOS</t>
  </si>
  <si>
    <t>0090 LOGROS DE APRENDIZAJE DE ESTUDIANTES DE LA EDUCACION BASICA REGULAR</t>
  </si>
  <si>
    <t>0093 DESARROLLO PRODUCTIVO DE LAS EMPRESAS</t>
  </si>
  <si>
    <t>0094 ORDENAMIENTO Y DESARROLLO DE LA ACUICULTURA</t>
  </si>
  <si>
    <t>0095 FORTALECIMIENTO DE LA PESCA ARTESANAL</t>
  </si>
  <si>
    <t>0101 INCREMENTO DE LA PRACTICA DE ACTIVIDADES FISICAS, DEPORTIVAS Y RECREATIVAS EN LA POBLACION PERUANA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</si>
  <si>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</si>
  <si>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</si>
  <si>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</si>
  <si>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</si>
  <si>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0109 NUESTRAS CIUDADES</t>
  </si>
  <si>
    <t>0117 ATENCION OPORTUNA DE NIÑAS, NIÑOS Y ADOLESCENTES EN PRESUNTO ESTADO DE ABANDONO</t>
  </si>
  <si>
    <t>0121 MEJORA DE LA ARTICULACION DE PEQUEÑOS PRODUCTORES AL MERCADO</t>
  </si>
  <si>
    <t>0127 MEJORA DE LA COMPETITIVIDAD DE LOS DESTINOS TURISTICOS</t>
  </si>
  <si>
    <t>0129 PREVENCION Y MANEJO DE CONDICIONES SECUNDARIAS DE SALUD EN PERSONAS CON DISCAPACIDAD</t>
  </si>
  <si>
    <t>0131 CONTROL Y PREVENCION EN SALUD MENTAL</t>
  </si>
  <si>
    <t>0138 REDUCCION DEL COSTO, TIEMPO E INSEGURIDAD EN EL SISTEMA DE TRANSPORTE</t>
  </si>
  <si>
    <t>0144 CONSERVACION Y USO SOSTENIBLE DE ECOSISTEMAS PARA LA PROVISION DE SERVICIOS ECOSISTEMICOS</t>
  </si>
  <si>
    <t>0146 ACCESO DE LAS FAMILIAS A VIVIENDA Y ENTORNO URBANO ADECUADO</t>
  </si>
  <si>
    <t>0147 FORTALECIMIENTO DE LA EDUCACION SUPERIOR TECNOLOGICA</t>
  </si>
  <si>
    <t>0148 REDUCCION DEL TIEMPO, INSEGURIDAD Y COSTO AMBIENTAL EN EL TRANSPORTE URBANO</t>
  </si>
  <si>
    <t>0150 INCREMENTO EN EL ACCESO DE LA POBLACION A LOS SERVICIOS EDUCATIVOS PUBLICOS DE LA EDUCACION BASICA</t>
  </si>
  <si>
    <t>1002 PRODUCTOS ESPECIFICOS PARA REDUCCION DE LA VIOLENCIA CONTRA LA MUJER</t>
  </si>
  <si>
    <t>0080 LUCHA CONTRA LA VIOLENCIA FAMILIAR</t>
  </si>
  <si>
    <t>0107 MEJORA DE LA FORMACION EN CARRERAS DOCENTES EN INSTITUTOS DE EDUCACION SUPERIOR NO UNIVERSITARIA</t>
  </si>
  <si>
    <t>0126 FORMALIZACION MINERA DE LA PEQUEÑA MINERIA Y MINERIA ARTESANAL</t>
  </si>
  <si>
    <t>0140 DESARROLLO Y PROMOCION DE LAS ARTES E INDUSTRIAS CULTURALES</t>
  </si>
  <si>
    <t>NO APLICA</t>
  </si>
  <si>
    <t>F-7</t>
  </si>
  <si>
    <t>F-5</t>
  </si>
  <si>
    <t>F-4</t>
  </si>
  <si>
    <t>F-3</t>
  </si>
  <si>
    <t>F-2</t>
  </si>
  <si>
    <t>SPB</t>
  </si>
  <si>
    <t>SPC</t>
  </si>
  <si>
    <t>SPD</t>
  </si>
  <si>
    <t>SPF</t>
  </si>
  <si>
    <t>STB</t>
  </si>
  <si>
    <t>STC</t>
  </si>
  <si>
    <t>STD</t>
  </si>
  <si>
    <t>STF</t>
  </si>
  <si>
    <t>SAB</t>
  </si>
  <si>
    <t>SAC</t>
  </si>
  <si>
    <t>2020 (PIA)</t>
  </si>
  <si>
    <t>2021 (PIA)</t>
  </si>
  <si>
    <t>2022  (PROYECTO)</t>
  </si>
  <si>
    <t>VARIACION 2020-2021</t>
  </si>
  <si>
    <t>PEA / Beneficiarios</t>
  </si>
  <si>
    <t>COSTO ANUAL</t>
  </si>
  <si>
    <t>FUNCIONARIOS ELEGIDOS POR ELECCION POLITICA</t>
  </si>
  <si>
    <t>PERSONAL ADMINISTRATIVO NOMBRADO (REGIMEN PUBLICO)</t>
  </si>
  <si>
    <t>PERSONAL CON CONTRATO A PLAZO FIJO (REGIMEN LABORAL PUBLICO)</t>
  </si>
  <si>
    <t>ASIGNACION A FONDOS PARA PERSONAL</t>
  </si>
  <si>
    <t>OBREROS PERMANENTES</t>
  </si>
  <si>
    <t>OBREROS CON CONTRATO A PLAZO FIJO</t>
  </si>
  <si>
    <t>AGUINALDOS</t>
  </si>
  <si>
    <t>BONIFICACION POR ESCOLARIDAD</t>
  </si>
  <si>
    <t>COMPENSACION POR TIEMPO DE SERVICIOS (CTS)</t>
  </si>
  <si>
    <t>ASIGNACION POR CUMPLIR 25 O 30 AÑOS</t>
  </si>
  <si>
    <t>COMPENSACION VACACIONAL (VACACIONES TRUNCAS)</t>
  </si>
  <si>
    <t>OTROS GASTOS DE PERSONAL (a)</t>
  </si>
  <si>
    <t>OTRAS OCASIONALES</t>
  </si>
  <si>
    <t>DIETAS DE REGIDORES Y CONSEJEROS</t>
  </si>
  <si>
    <t>UNIFORME PERSONAL ADMINISTRATIVO</t>
  </si>
  <si>
    <t>APORTES A LOS FONDOS DE PENSIONES</t>
  </si>
  <si>
    <t>CONTRIBUCIONES A ESSALUD</t>
  </si>
  <si>
    <t>(*) DEBE COINCIDIR CON LOS MONTOS ASIGNADOS EN LA GENERICA 1. PERSONAL Y OBLIGACIONES SOCIALES CONSIDERADAS EN EL PRESUPUESTO</t>
  </si>
  <si>
    <t>(**) PNUD, BONOS, etc.</t>
  </si>
  <si>
    <t>OTROS GASTOS DE PERSONAL</t>
  </si>
  <si>
    <t>APORTE A FONDO DE PENSIONES</t>
  </si>
  <si>
    <r>
      <t xml:space="preserve">LAS COLUMNAS COMO SEAN NECESARIAS, </t>
    </r>
    <r>
      <rPr>
        <sz val="9"/>
        <rFont val="Arial"/>
        <family val="2"/>
      </rPr>
      <t xml:space="preserve">SE CONSIGNARA LOS OTROS BENEFICIOS - ASIGNACIONES MENSUALES PERIODICOS  DE UN SERVIDOR EN CADA NIVEL SEGÚN CORRESPONDA NO CONSIGNADO EN LOS </t>
    </r>
  </si>
  <si>
    <r>
      <t xml:space="preserve">LAS COLUMNAS COMO SEAN NECESARIAS, </t>
    </r>
    <r>
      <rPr>
        <sz val="9"/>
        <rFont val="Arial"/>
        <family val="2"/>
      </rPr>
      <t xml:space="preserve">SE CONSIGNARA LOS OTROS BENEFICIOS - ASIGNACIONES PERIODICOS O NO PERIODICAS DE UN SERVIDOR EN CADA NIVEL SEGÚN CORRESPONDA NO CONSIGNADO EN LOS </t>
    </r>
  </si>
  <si>
    <t>BONIFICACIÓN EXTRAORDINARIA (INACEPTACIÓN DE GRATIFICACIONES)</t>
  </si>
  <si>
    <t>BONOS POR FUNCION JURIDICCIONAL Y FISCAL</t>
  </si>
  <si>
    <t>DIETA DE DIRECTORIO</t>
  </si>
  <si>
    <t>DIETAS</t>
  </si>
  <si>
    <t>ESCOLARIDAD, AGUINALDO Y GRATIFICACIONES</t>
  </si>
  <si>
    <t>GASTOS POR ESTACIONAMIENTO DE VEHICULOS</t>
  </si>
  <si>
    <t>GASTOS VARIABLES Y OCASIONALES</t>
  </si>
  <si>
    <t>MOVILIDAD PARA TRASLADO DE TRABAJADORES</t>
  </si>
  <si>
    <t>OBLIGACIONES DEL EMPLEADOR (CARGAS SOCIALES)</t>
  </si>
  <si>
    <t>PRODUCTIVIDAD</t>
  </si>
  <si>
    <t>RETRIBUCIONES EN BIENES</t>
  </si>
  <si>
    <t>SEGUROS (ESPECIFICAR)</t>
  </si>
  <si>
    <t>TRANSFERENCIAS CAFAE</t>
  </si>
  <si>
    <t>VESTUARIO</t>
  </si>
  <si>
    <t>OTROS (ESPECIFICAR) (**)</t>
  </si>
  <si>
    <t>UNIDAD EJECUTORA: 301 COLEGIO MILITAR FRANCISCO BOLOGNESI</t>
  </si>
  <si>
    <t>COSTO TOTAL EN PLANILLAS (*)</t>
  </si>
  <si>
    <t>UNIDAD EJECUTORA            : 302 EDUCACION AREQUIPA NORTE</t>
  </si>
  <si>
    <t xml:space="preserve">UNIDAD EJECUTORA : 303 UGEL SUR </t>
  </si>
  <si>
    <t>PLIEGO: 443 GOBIERNO REGIONAL DE AREQUIPA</t>
  </si>
  <si>
    <t>U.E : EDUCACION AREQUIPA</t>
  </si>
  <si>
    <t>F-6</t>
  </si>
  <si>
    <t>STE</t>
  </si>
  <si>
    <t>SAD</t>
  </si>
  <si>
    <t>SAE</t>
  </si>
  <si>
    <t>SAF</t>
  </si>
  <si>
    <t>……</t>
  </si>
  <si>
    <t>LEY DEL PROFESORADO</t>
  </si>
  <si>
    <t>5-40</t>
  </si>
  <si>
    <t>4-40</t>
  </si>
  <si>
    <t>4-30</t>
  </si>
  <si>
    <t>3-40</t>
  </si>
  <si>
    <t>1-40</t>
  </si>
  <si>
    <t>C3-40</t>
  </si>
  <si>
    <t>C3-30</t>
  </si>
  <si>
    <t>C2-40</t>
  </si>
  <si>
    <t>C2-30</t>
  </si>
  <si>
    <t>C1-40</t>
  </si>
  <si>
    <t>E-30</t>
  </si>
  <si>
    <t>G-30</t>
  </si>
  <si>
    <t>G-40</t>
  </si>
  <si>
    <t>X1-20</t>
  </si>
  <si>
    <t>X1-30</t>
  </si>
  <si>
    <t>X1-40</t>
  </si>
  <si>
    <t>CARRERA MEDICA Y PROFESIONALES  DE LA SALUD</t>
  </si>
  <si>
    <t>S1</t>
  </si>
  <si>
    <t>U.E.     :  302 EDUCACIÓN AREQUIPA NORTE</t>
  </si>
  <si>
    <t>VI-40</t>
  </si>
  <si>
    <t>VI-30</t>
  </si>
  <si>
    <t>VI-24</t>
  </si>
  <si>
    <t>V-40</t>
  </si>
  <si>
    <t>V-30</t>
  </si>
  <si>
    <t>V-24</t>
  </si>
  <si>
    <t>IV-40</t>
  </si>
  <si>
    <t>IV-30</t>
  </si>
  <si>
    <t>IV-24</t>
  </si>
  <si>
    <t>III-40</t>
  </si>
  <si>
    <t>III-30</t>
  </si>
  <si>
    <t>III-24</t>
  </si>
  <si>
    <t>II-40</t>
  </si>
  <si>
    <t>II-30</t>
  </si>
  <si>
    <t>II-24</t>
  </si>
  <si>
    <t>I-40</t>
  </si>
  <si>
    <t>I-30</t>
  </si>
  <si>
    <t>I-24</t>
  </si>
  <si>
    <t>A-40</t>
  </si>
  <si>
    <t>A-30</t>
  </si>
  <si>
    <t>A-24</t>
  </si>
  <si>
    <t>B-40</t>
  </si>
  <si>
    <t>B-30</t>
  </si>
  <si>
    <t>B-24</t>
  </si>
  <si>
    <t>C-40</t>
  </si>
  <si>
    <t>C-30</t>
  </si>
  <si>
    <t>C-24</t>
  </si>
  <si>
    <t>D-40</t>
  </si>
  <si>
    <t>D-30</t>
  </si>
  <si>
    <t>D-24</t>
  </si>
  <si>
    <t>E-40</t>
  </si>
  <si>
    <t>E-24</t>
  </si>
  <si>
    <t>OTROD. PROF. SALUD.</t>
  </si>
  <si>
    <t>V</t>
  </si>
  <si>
    <t>IV</t>
  </si>
  <si>
    <t xml:space="preserve">     ANIMADORES</t>
  </si>
  <si>
    <t>PROMOTORAS DE PRONOEI</t>
  </si>
  <si>
    <t>Urbana</t>
  </si>
  <si>
    <t>Rural</t>
  </si>
  <si>
    <t xml:space="preserve">    SERVICIOS NO PERSONAL </t>
  </si>
  <si>
    <t>UNIDAD EJECUTORA : 303 UGEL SUR</t>
  </si>
  <si>
    <t>VII-40</t>
  </si>
  <si>
    <t>VII-30</t>
  </si>
  <si>
    <t>V - 40</t>
  </si>
  <si>
    <t>V - 30</t>
  </si>
  <si>
    <t>IV - 40</t>
  </si>
  <si>
    <t>IV - 30</t>
  </si>
  <si>
    <t>III - 40</t>
  </si>
  <si>
    <t>III - 30</t>
  </si>
  <si>
    <t>II- 40</t>
  </si>
  <si>
    <t>II - 30</t>
  </si>
  <si>
    <t>I - 40</t>
  </si>
  <si>
    <t>I - 30</t>
  </si>
  <si>
    <t>P/H</t>
  </si>
  <si>
    <t>URBANA</t>
  </si>
  <si>
    <t>RURAL</t>
  </si>
  <si>
    <t xml:space="preserve">     ………….</t>
  </si>
  <si>
    <t>UE: 401 HOSPITAL III GOYENECHE</t>
  </si>
  <si>
    <t>SEGUROS (ESPECIFICAR) SCTR</t>
  </si>
  <si>
    <t>SECTOR o GOB. REGIONAL: HOSPITAL REGIONAL HONORIO DELGADO</t>
  </si>
  <si>
    <t>U.E.  : 403  SALUD CAMANA</t>
  </si>
  <si>
    <t>SECTOR o GOB. REGIONAL: UNIDAD EJECUTORA: 404 REGION AREQUIPA - SALUD APLAO(000769)</t>
  </si>
  <si>
    <t>...</t>
  </si>
  <si>
    <t>TOTAL ADMINISTRATIVO</t>
  </si>
  <si>
    <t>MEDICOS</t>
  </si>
  <si>
    <t>MC-5</t>
  </si>
  <si>
    <t>MC-4</t>
  </si>
  <si>
    <t>MC-3</t>
  </si>
  <si>
    <t>MC-2</t>
  </si>
  <si>
    <t>MC-1</t>
  </si>
  <si>
    <t>ENFERMERAS</t>
  </si>
  <si>
    <t>OBSTETRICES</t>
  </si>
  <si>
    <t>CIRUJANO DENTISTA</t>
  </si>
  <si>
    <t>III</t>
  </si>
  <si>
    <t>II</t>
  </si>
  <si>
    <t>I</t>
  </si>
  <si>
    <t>PSICOLOGO</t>
  </si>
  <si>
    <t>OT. PROF. DE LA SALUD</t>
  </si>
  <si>
    <t>VIII</t>
  </si>
  <si>
    <t>VII</t>
  </si>
  <si>
    <t>VI</t>
  </si>
  <si>
    <t>PROF. DE LA SALUD TEC. ESPECIALIZADO</t>
  </si>
  <si>
    <t>TOTAL PROF. DE LA SALUD</t>
  </si>
  <si>
    <t>PROF. CATEGORIZADOS ASIST</t>
  </si>
  <si>
    <t>TECNICOS CATEGORIZADOS ASIST</t>
  </si>
  <si>
    <t>AUXILIARES CATEGORIZADOS ASIST</t>
  </si>
  <si>
    <t>TOTAL NO PROF. ASISTENCIAL</t>
  </si>
  <si>
    <t>ASISTENCIALES NO PROFESIONALES DE LA SALUD</t>
  </si>
  <si>
    <t>CARRERA JUDICIAL</t>
  </si>
  <si>
    <t>LEY UNIVERSITARIA</t>
  </si>
  <si>
    <t>LEY DEL SERVICIO DIPLOMATICO</t>
  </si>
  <si>
    <t>PERSONAL MILITAR Y POLICIAL</t>
  </si>
  <si>
    <t xml:space="preserve">OBREROS </t>
  </si>
  <si>
    <t>SERUMISTAS</t>
  </si>
  <si>
    <t xml:space="preserve">    INTERNOS DE MEDICINA HUMANA Y ODONTOLOGIA</t>
  </si>
  <si>
    <t xml:space="preserve">    PROYECTOS DE INVERSION</t>
  </si>
  <si>
    <t>COLUMNA 6 SE REGISTRA MONTO DE GUARDIA HOSPITALARIA</t>
  </si>
  <si>
    <t>COLUMNA 9 REGISTRA Especialidad. Jefatura, Servicio Critico y Bono de soporte</t>
  </si>
  <si>
    <t>COLUMNA 12 REGISTRA Aportaciones</t>
  </si>
  <si>
    <t>SECTOR o GOB. REGIONAL: HOSPITAL GOYENECHE</t>
  </si>
  <si>
    <t>ENFERMERAS / ASIS.SOCIAL</t>
  </si>
  <si>
    <t>ENF-10</t>
  </si>
  <si>
    <t>ENF-11</t>
  </si>
  <si>
    <t>ENF-13</t>
  </si>
  <si>
    <t>ENF-14</t>
  </si>
  <si>
    <t>OBS-I</t>
  </si>
  <si>
    <t>OBS-V</t>
  </si>
  <si>
    <t>OTROS PROF.DE LA SALUD</t>
  </si>
  <si>
    <t>SECTOR o GOB. REGIONAL:  443 GOBIERNO REGIONAL DE AREQUIPA</t>
  </si>
  <si>
    <r>
      <t xml:space="preserve">PLIEGO: </t>
    </r>
    <r>
      <rPr>
        <sz val="9"/>
        <rFont val="Arial"/>
        <family val="2"/>
      </rPr>
      <t>Todos los pliego del sector y cada pliego del sector   UE. 403 SALUD CAMANA</t>
    </r>
  </si>
  <si>
    <t xml:space="preserve">Subtotal auxiliares </t>
  </si>
  <si>
    <t>Sub - Total Admistrativos</t>
  </si>
  <si>
    <t>Tecnicos</t>
  </si>
  <si>
    <t>Auxiliares</t>
  </si>
  <si>
    <t>276- Carreras Especiales</t>
  </si>
  <si>
    <t>ENF-12</t>
  </si>
  <si>
    <t>OBS-1</t>
  </si>
  <si>
    <t>OBS-2</t>
  </si>
  <si>
    <t>OBS-3</t>
  </si>
  <si>
    <t>OBS-4</t>
  </si>
  <si>
    <t>OBS-5</t>
  </si>
  <si>
    <t>CD-1</t>
  </si>
  <si>
    <t>CD-2</t>
  </si>
  <si>
    <t>CD-3</t>
  </si>
  <si>
    <t>CD-4</t>
  </si>
  <si>
    <t>CD-5</t>
  </si>
  <si>
    <t>TM-1</t>
  </si>
  <si>
    <t>TM-2</t>
  </si>
  <si>
    <t>TM-3</t>
  </si>
  <si>
    <t>TM-4</t>
  </si>
  <si>
    <t>TM-5</t>
  </si>
  <si>
    <t>PS-IV</t>
  </si>
  <si>
    <t>PS-V</t>
  </si>
  <si>
    <t>PS-VI</t>
  </si>
  <si>
    <t>PS-VII</t>
  </si>
  <si>
    <t>PS-VIII</t>
  </si>
  <si>
    <r>
      <t xml:space="preserve">PLIEGO: </t>
    </r>
    <r>
      <rPr>
        <sz val="9"/>
        <color indexed="8"/>
        <rFont val="Arial"/>
        <family val="2"/>
      </rPr>
      <t>Todos los pliego del sector y cada pliego del sector</t>
    </r>
  </si>
  <si>
    <t>Directiva Formulaicón de Presupuesto (V 2008)</t>
  </si>
  <si>
    <t>NO NIVELABLES</t>
  </si>
  <si>
    <t>CARRERA MEDICA Y PROFESIONALES DE LA SALUD</t>
  </si>
  <si>
    <t>TECNOLOGOS MEDICOS</t>
  </si>
  <si>
    <t>OBREROS</t>
  </si>
  <si>
    <t>- MEDICOS</t>
  </si>
  <si>
    <t>- OTROS PROF.DE LA SALUD</t>
  </si>
  <si>
    <t>- OTROS</t>
  </si>
  <si>
    <t>1. ANIMADORES</t>
  </si>
  <si>
    <t>2. INTERNOS DE MEDICINA HUMANA Y ODONTOLOGIA</t>
  </si>
  <si>
    <t>3. SERVICIOS NO PERSONALES</t>
  </si>
  <si>
    <t>- PROFESIONALES</t>
  </si>
  <si>
    <t>- TECNICOS</t>
  </si>
  <si>
    <t>- AUXILIARES</t>
  </si>
  <si>
    <t>4. PROYECTOS DE INVERSION</t>
  </si>
  <si>
    <t>5. C.A.S. - D.L. Nº 1057</t>
  </si>
  <si>
    <t>(1) PEA:</t>
  </si>
  <si>
    <t>(2) REMUNERACION:</t>
  </si>
  <si>
    <t>SE CONSIGNARA LA REMUNERACION MENSUAL PROMEDIO DE UN SERVIDOR EN CADA NIVEL DE LA CARRERA PUBLICA SEGUN CORRESPONDA</t>
  </si>
  <si>
    <t>(3) CAFAE:</t>
  </si>
  <si>
    <t>SE CONSIGNARA EL INCENTIVO LABORAL MENSUAL PROMEDIO QUE POR DISPOSICION EXPRESA SE LE OTORGUE A UN SERVIDOR EN CADA NIVEL SEGUN CORRESPONDA</t>
  </si>
  <si>
    <t>(4) AETA:</t>
  </si>
  <si>
    <t>SOLO APLICABLE AL SECTOR SALUD. SE CONSIGNARA LA ASIGNACION EXTRAORDINARIA POR TRABAJO ASISTENCIAL MENSUAL PROMEDIO DE UN SERVIDOR EN CADA NIVEL</t>
  </si>
  <si>
    <t>SEGUN CORRESPONDA</t>
  </si>
  <si>
    <t>(5) OTROS BENEFICIOS - ASIGNACION MENSUAL</t>
  </si>
  <si>
    <t>LAS COLUMNAS COMO SEAN NECESARIAS, SE CONSIGNARA LOS OTROS BENEFICIOS - ASIGNACIONES MENSUALES PERIODICOS DE UN SERVIDOR EN CADA NIVEL SEGÚN CORRESPONDA NO CONSIGNADO EN LOS</t>
  </si>
  <si>
    <t>RUBROS ANTERIORES . EN HOJA INDEPENDIENTES SE DETALLARA CADA CONCEPTO Y MONTO, ASI COMO LA DISPOSICION EXPRESA QUE LOS AUTORICE Y LA PERIODICIDAD CON QUE</t>
  </si>
  <si>
    <t>SE OTORGA . DEBERA DETALLAR POR CADA CONCEPTO ASI COMO LA DISPOSICION EXPRESA QUE LOS AUTORICE Y LA PERIODICIDAD CON QUE SE OTORGA (MENSUAL, BIMENSUAL,</t>
  </si>
  <si>
    <t>LAS COLUMNAS COMO SEAN NECESARIAS, SE CONSIGNARA LOS OTROS BENEFICIOS - ASIGNACIONES PERIODICOS O NO PERIODICAS DE UN SERVIDOR EN CADA NIVEL SEGÚN CORRESPONDA NO CONSIGNADO EN LOS</t>
  </si>
  <si>
    <t>TRIMESTRAL , CUATRIMENSUAL O SIN PERIODICIDAD)</t>
  </si>
  <si>
    <t>MULTIMPLACIÓN DE LA COLUMNA (10) POR 12 (MESES) Y AL RESULTADO SE SUMA LA COLUMNA (13)</t>
  </si>
  <si>
    <t>UNIDAD EJECUTORA 300 EDUCACION AREQUIPA</t>
  </si>
  <si>
    <t>G</t>
  </si>
  <si>
    <t>PROFESIONALES DE LA SALUD</t>
  </si>
  <si>
    <t>M-1</t>
  </si>
  <si>
    <t>E-A</t>
  </si>
  <si>
    <t>LEY PROFESORADO</t>
  </si>
  <si>
    <t>C.A.S.</t>
  </si>
  <si>
    <t>CAS -D.L 1057</t>
  </si>
  <si>
    <t>SECTOR o GOB. REGIONAL: PLIEGO 443 GOBIERNO REGIONAL DE AREQUIPA</t>
  </si>
  <si>
    <t>UNIDAD EJECUTORA: SEDE CENTRAL</t>
  </si>
  <si>
    <t>SECTOR o GOB. REGIONAL: PLIEO 443 GOBIERNO REGIONAL DE AREQUIPA</t>
  </si>
  <si>
    <t>CARRERA ADMINISTRATIVOS</t>
  </si>
  <si>
    <t>OTROS PROFESIONALES DE LA SALUD</t>
  </si>
  <si>
    <t>OPS-I</t>
  </si>
  <si>
    <t>OPS-IV</t>
  </si>
  <si>
    <t>OPS-V</t>
  </si>
  <si>
    <t>OPS-VII</t>
  </si>
  <si>
    <t>OPS-VIII</t>
  </si>
  <si>
    <t xml:space="preserve">SECTOR o GOB. REGIONAL: 443 GOBIERNO REGIONAL DE AREQUIPA </t>
  </si>
  <si>
    <t>UE 403 SALUD CAMANA</t>
  </si>
  <si>
    <r>
      <rPr>
        <b/>
        <sz val="10"/>
        <color theme="1"/>
        <rFont val="Arial"/>
        <family val="2"/>
      </rPr>
      <t xml:space="preserve">PLIEGO: </t>
    </r>
    <r>
      <rPr>
        <sz val="10"/>
        <color theme="1"/>
        <rFont val="Arial"/>
        <family val="2"/>
      </rPr>
      <t>Todos los pliegos del sector y cada pliego del sector</t>
    </r>
  </si>
  <si>
    <t>(***) Detallar el marco legal</t>
  </si>
  <si>
    <t>SECTOR o GOB. REGIONAL: HOSPITAL CENTRAL DE MAJES</t>
  </si>
  <si>
    <t>MC1</t>
  </si>
  <si>
    <t>CD-I</t>
  </si>
  <si>
    <t>PSIV</t>
  </si>
  <si>
    <t>....</t>
  </si>
  <si>
    <t>: 443 GOBIERNO REGIONAL DE AREQUIPA</t>
  </si>
  <si>
    <t>: 200 TRANSPORTES AREQUIPA</t>
  </si>
  <si>
    <t>PRACTICANTES</t>
  </si>
  <si>
    <t>PROYECTO PRESUPUESTO 2022</t>
  </si>
  <si>
    <t>PLIEGO 443-UNIDAD EJECUTORA DE LA SEDE CENTRAL DEL GOBIERNO REGIONAL DE AREQUIPA</t>
  </si>
  <si>
    <t xml:space="preserve"> UNIDAD EJECUTORA 300 EDUCACION AREQUIPA</t>
  </si>
  <si>
    <t>UNIDAD EJECUTORA: HOSPITAL REGIONAL HONORIO DELGADO</t>
  </si>
  <si>
    <t>UNIDAD EJECUTORA: 404 REGION AREQUIPA - SALUD APLAO(000769)</t>
  </si>
  <si>
    <t>UNIDAD EJECUTORA 409 HOSPITAL CENTRAL DE MAJES</t>
  </si>
  <si>
    <t>PROYECTO DE PRESUPUESTO 2022</t>
  </si>
  <si>
    <t>PLIEGO: 443-GOBIERNO REGIONAL DE AREQUIPA</t>
  </si>
  <si>
    <t>001 SEDE AREQUIPA</t>
  </si>
  <si>
    <t>RECURSOS ORDINARIOS</t>
  </si>
  <si>
    <t>Gerente Gral Reg.</t>
  </si>
  <si>
    <t>PALMA FIGUEROA GREGORIO URBANO</t>
  </si>
  <si>
    <t>Ingeniero quimico</t>
  </si>
  <si>
    <t>Maestro en Ciencias : Quimica</t>
  </si>
  <si>
    <t>01-2019-GRA</t>
  </si>
  <si>
    <t>Consultor</t>
  </si>
  <si>
    <t>SANCHEZ FERNANDEZ RICARDO</t>
  </si>
  <si>
    <t>Abogado</t>
  </si>
  <si>
    <t>Bachiller en Derecho</t>
  </si>
  <si>
    <t>02-2019-GRA</t>
  </si>
  <si>
    <t>ABARCA HUANCA JAIME RODOLFO</t>
  </si>
  <si>
    <t>Licenciado en Sociologia</t>
  </si>
  <si>
    <t>Bachiller en Sociologia</t>
  </si>
  <si>
    <t>06-2019-GRA</t>
  </si>
  <si>
    <t>06-2020-GRA</t>
  </si>
  <si>
    <t>G.R.Energia y Minas</t>
  </si>
  <si>
    <t>MUÑIZ  DELGADO JUAN GUALBERTO</t>
  </si>
  <si>
    <t>Ingeniero Quimico</t>
  </si>
  <si>
    <t>BACHILLER EN INGENIERIA QUIMICA</t>
  </si>
  <si>
    <t>15-2019-GRA</t>
  </si>
  <si>
    <t>CARDENAS VERA DAVID MANUEL</t>
  </si>
  <si>
    <t>04-2021-GRA</t>
  </si>
  <si>
    <t>G.R.Promocon Inv. Privada</t>
  </si>
  <si>
    <t>PALACO TORO AUGUSTO</t>
  </si>
  <si>
    <t>10-2019-GRA</t>
  </si>
  <si>
    <t>05-2020-GRA</t>
  </si>
  <si>
    <t>ESQUIVEL ALCAMORA EDWIN WILSON</t>
  </si>
  <si>
    <t>MAESTRO EN DERECHO</t>
  </si>
  <si>
    <t>9-2019-GRA</t>
  </si>
  <si>
    <t>01-2020-GRA</t>
  </si>
  <si>
    <t>Jefe ORAJ</t>
  </si>
  <si>
    <t>PAZ VALDERRAMA WALTHER ANDRES</t>
  </si>
  <si>
    <t>12-2019-GRA</t>
  </si>
  <si>
    <t>G.R.Comercio E. Turismo</t>
  </si>
  <si>
    <t>REVILLA ZEVALLOS PAOLA BERNARDA</t>
  </si>
  <si>
    <t>Lic. Turismo y Hoteleria</t>
  </si>
  <si>
    <t>MAESTRA EN CIENCIAS: CON MENCIÓN EN GESTIÓN DEL TURISMO SOSTENIBLE</t>
  </si>
  <si>
    <t>14-2019-GRA</t>
  </si>
  <si>
    <t xml:space="preserve">VALENCIA CHAVEZ RENZO ELARD </t>
  </si>
  <si>
    <t>LIC. Administracion de Emp.</t>
  </si>
  <si>
    <t>Bachiller en Administracion</t>
  </si>
  <si>
    <t>17-2019-GRA</t>
  </si>
  <si>
    <t>MENDOZA CHOQUEHUANCA JULIO HUGO</t>
  </si>
  <si>
    <t>Lic. C.C.Eespec.Periodismo</t>
  </si>
  <si>
    <t>Bachiller en Periodismo</t>
  </si>
  <si>
    <t>03-2020-GRA</t>
  </si>
  <si>
    <t>VIVIAN PATRICIA JIMENEZ ROJAS</t>
  </si>
  <si>
    <t>ECONOMISTA</t>
  </si>
  <si>
    <t>Bachiller en Economia</t>
  </si>
  <si>
    <t>Economista</t>
  </si>
  <si>
    <t>02-2020-GRA</t>
  </si>
  <si>
    <t>CHIRINOS JANSHEN WALTER MARIO</t>
  </si>
  <si>
    <t>Arquitecto</t>
  </si>
  <si>
    <t>Bachiller en Arquitectura</t>
  </si>
  <si>
    <t>04-2020-GRA</t>
  </si>
  <si>
    <t>TAIÑA TACURI VIRGINIA JACQUELINE</t>
  </si>
  <si>
    <t>02-2021-GRA</t>
  </si>
  <si>
    <t>DIAZ ROBLES IVAN</t>
  </si>
  <si>
    <t>03-2021-GRA</t>
  </si>
  <si>
    <t>RO</t>
  </si>
  <si>
    <t>ESPEC. EN GESTION SOCIAL Y CAPACITACION</t>
  </si>
  <si>
    <t>41957218</t>
  </si>
  <si>
    <t>ALANOCA MAMANI ROGER HERNAN</t>
  </si>
  <si>
    <t>LIC . EN CIENCIAS DE LA COMUNICACIÓN SOCIAL</t>
  </si>
  <si>
    <t>PROFESIONAL</t>
  </si>
  <si>
    <t xml:space="preserve">TECNICO EN ENFERMERIA I </t>
  </si>
  <si>
    <t>ALI TORRES JOSIMAR JUAN</t>
  </si>
  <si>
    <t>EGRESADO EN ENFERMERIA</t>
  </si>
  <si>
    <t>TOPOGRAFO</t>
  </si>
  <si>
    <t>40707077</t>
  </si>
  <si>
    <t>ALLASI BIAMONT JULIO ERNESTO</t>
  </si>
  <si>
    <t>TEC. TOPOGRAFIA</t>
  </si>
  <si>
    <t>ASISTENTE LEGAL</t>
  </si>
  <si>
    <t>74088408</t>
  </si>
  <si>
    <t>ALVAREZ ABRIL MARIELA DEL ROSARIO</t>
  </si>
  <si>
    <t>ABOGADA</t>
  </si>
  <si>
    <t>INSPECTOR</t>
  </si>
  <si>
    <t>30587107</t>
  </si>
  <si>
    <t>ALVAREZ MARQUEZ JESUS ENRIQUE</t>
  </si>
  <si>
    <t>ING. PESQUERO</t>
  </si>
  <si>
    <t>ABOGADO</t>
  </si>
  <si>
    <t>ALVAREZ VITORINO CHRISTIAN NESTOR</t>
  </si>
  <si>
    <t>ASISTENTE ADMINISTRATIVO</t>
  </si>
  <si>
    <t>ALVIS COYLA DALIA INGRID</t>
  </si>
  <si>
    <t>BACH. EN ADMINISTRACION</t>
  </si>
  <si>
    <t>76232800</t>
  </si>
  <si>
    <t>ANCO RAMIREZ LORENA BRIGITTE</t>
  </si>
  <si>
    <t>BACH. ING. MATERIALES</t>
  </si>
  <si>
    <t>ESPECIALISTA MODULO LOGISTICA</t>
  </si>
  <si>
    <t>30674848</t>
  </si>
  <si>
    <t>ANDRADE PACCO DAVID BERNABE</t>
  </si>
  <si>
    <t>BACH. MEDICO VETERINARIO Y ZOOTECNISTA</t>
  </si>
  <si>
    <t>ESPECIALISTA EN PROCESO DE FORMALIZACION MINERA</t>
  </si>
  <si>
    <t>41528967</t>
  </si>
  <si>
    <t>APARICIO TORRES HELEN GELLY</t>
  </si>
  <si>
    <t>TECNICO EN ENFERMERIA II</t>
  </si>
  <si>
    <t>45527981</t>
  </si>
  <si>
    <t>APAZA OROSCO YENNY</t>
  </si>
  <si>
    <t>ENFERMERA</t>
  </si>
  <si>
    <t>LICENCIADA EN ENFERMERIA</t>
  </si>
  <si>
    <t>ASISTENTE SOCIAL</t>
  </si>
  <si>
    <t>29312453</t>
  </si>
  <si>
    <t>APAZA PACHECO ANA BELINDA</t>
  </si>
  <si>
    <t>APUMAYTA FERNANDEZ MARIA ISABEL</t>
  </si>
  <si>
    <t>ENFERMERA TECNICA</t>
  </si>
  <si>
    <t>TECNICA EN ENFERMERIA</t>
  </si>
  <si>
    <t>TECNICO ADMINISTRATIVO</t>
  </si>
  <si>
    <t>40742485</t>
  </si>
  <si>
    <t>ARCE FIGUEROA LUCIO ERNESTO JR</t>
  </si>
  <si>
    <t>BACH. SOCIOLOGIA</t>
  </si>
  <si>
    <t>BACH. EN SOCIOLOGIA</t>
  </si>
  <si>
    <t>PSICOLOGA</t>
  </si>
  <si>
    <t>48346158</t>
  </si>
  <si>
    <t>ARCE LARICO YOSELYN</t>
  </si>
  <si>
    <t>LICENCIADA EN PSICOLOGIA</t>
  </si>
  <si>
    <t>TECNICO 6- DIAGNOSTICO TECNICO PARA ACTOS DE DISPOSICION DE TERRENOS DEL ESTADO</t>
  </si>
  <si>
    <t>44245968</t>
  </si>
  <si>
    <t>ARENAS TALAVERA CHRISTOPHER GUSTAVO</t>
  </si>
  <si>
    <t>ARQUITECTO</t>
  </si>
  <si>
    <t>45500119</t>
  </si>
  <si>
    <t>ARRAYA BRAVO KARLA LUCIA</t>
  </si>
  <si>
    <t>LIC. ADMINISTRACION</t>
  </si>
  <si>
    <t xml:space="preserve">ABOGADO 1: DIAGNÓSTICO LEGAL DE ACTOS DE ADQUISICIÓN DE TERRENOS DEL ESTADO </t>
  </si>
  <si>
    <t>46412728</t>
  </si>
  <si>
    <t>ARTEAGA CARNERO FRANSHESCA AMALIA</t>
  </si>
  <si>
    <t>43566302</t>
  </si>
  <si>
    <t>ASPILCUETA CACERES DIANA SOSIREE</t>
  </si>
  <si>
    <t>INGENIERA</t>
  </si>
  <si>
    <t>72084070</t>
  </si>
  <si>
    <t>ASTACIE MAMANI KAREN LISBETH</t>
  </si>
  <si>
    <t>BACH. DRECHO</t>
  </si>
  <si>
    <t>BACH. DERECHO</t>
  </si>
  <si>
    <t>DIRECTOR DE BIBLIOTECA</t>
  </si>
  <si>
    <t>30571622</t>
  </si>
  <si>
    <t>BARBERENA CACERES JUAN CARLOS</t>
  </si>
  <si>
    <t>LIC. LITERATURA LINGÜÍSTICA</t>
  </si>
  <si>
    <t>ASISTENTE TECNICO</t>
  </si>
  <si>
    <t>72118378</t>
  </si>
  <si>
    <t>BARREDA CHAUPI SADITH ROSARIO</t>
  </si>
  <si>
    <t>BACH. ING. METALURGICA</t>
  </si>
  <si>
    <t>CUIDADORA DE NIÑOS, NIÑAS Y ADOLESCENTES</t>
  </si>
  <si>
    <t>09426076</t>
  </si>
  <si>
    <t>BARRIENTOS PRADO FELICITA</t>
  </si>
  <si>
    <t>SEC. COMPLETA</t>
  </si>
  <si>
    <t>AUXILIAR</t>
  </si>
  <si>
    <t>TÉCNICO 3 – DIAGNÓSTICO TÉCNICO PARA ACTOS DE ADQUISICIÓN DE TERRENOS DEL ESTADO</t>
  </si>
  <si>
    <t>29593965</t>
  </si>
  <si>
    <t>BECERRA RIVERA JULIANA DEL CARMEN</t>
  </si>
  <si>
    <t>ARQUITECTA</t>
  </si>
  <si>
    <t>CUIDADORA DE NIÑOS</t>
  </si>
  <si>
    <t>40559820</t>
  </si>
  <si>
    <t>BENAVENTE QUISPE LILIANA ELIZABETH</t>
  </si>
  <si>
    <t>TECNICO EN ENFERMERIA</t>
  </si>
  <si>
    <t>DIRECTORA</t>
  </si>
  <si>
    <t>29720451</t>
  </si>
  <si>
    <t>BOCANGEL PACHECO ANITA FANNY LUISA</t>
  </si>
  <si>
    <t>LICENCIADA</t>
  </si>
  <si>
    <t>ABOGADO 1</t>
  </si>
  <si>
    <t>46081643</t>
  </si>
  <si>
    <t>BOZA GONZALEZ HEIDY GIANNINA</t>
  </si>
  <si>
    <t xml:space="preserve">PROFESIONAL </t>
  </si>
  <si>
    <t>44833972</t>
  </si>
  <si>
    <t>BUENO FLORES GUILLERMO CESAR</t>
  </si>
  <si>
    <t>BUSTOS GARCIA LORENA</t>
  </si>
  <si>
    <t>71238138</t>
  </si>
  <si>
    <t>CACERES ARENAS ARACELI</t>
  </si>
  <si>
    <t>40267801</t>
  </si>
  <si>
    <t>CAIRA TICONA IGNACIO</t>
  </si>
  <si>
    <t>INGENIERO PESQUERO</t>
  </si>
  <si>
    <t>ESPECIALISTA MODULO DE OPERACIONES</t>
  </si>
  <si>
    <t>40808482</t>
  </si>
  <si>
    <t>CALLE CIÑA JOHN GERARDO</t>
  </si>
  <si>
    <t>BACH. CIENCIAS GEOFISICAS</t>
  </si>
  <si>
    <t>SECRETARIA TECNICA SEGURIDAD CIUDADANA</t>
  </si>
  <si>
    <t>43826896</t>
  </si>
  <si>
    <t>CALLO CUNO CESAR OMAR</t>
  </si>
  <si>
    <t>VIGILANTE</t>
  </si>
  <si>
    <t>30482134</t>
  </si>
  <si>
    <t>CARDENAS FIGUEROA FRANKLIN RODOLFO</t>
  </si>
  <si>
    <t>46869921</t>
  </si>
  <si>
    <t>CARPIO MAMANI LUIS MIGUEL</t>
  </si>
  <si>
    <t xml:space="preserve">CUIDADORA DE NIÑO, NIÑAS Y ADOLESCENTES </t>
  </si>
  <si>
    <t>29699600</t>
  </si>
  <si>
    <t>CCANSAYA CHAMBI YESSENIA ERIKA</t>
  </si>
  <si>
    <t>74383827</t>
  </si>
  <si>
    <t>CHAMBI CACERES BEATRIZ MERY</t>
  </si>
  <si>
    <t>EGRESADO INGENIERIA Y COMPUTACION</t>
  </si>
  <si>
    <t>AUDITOR ASISTENTE DE AUDITORIA</t>
  </si>
  <si>
    <t>45849755</t>
  </si>
  <si>
    <t>CHAMBI PALOMINO MARISOL JOVANA</t>
  </si>
  <si>
    <t>CONTADORA</t>
  </si>
  <si>
    <t>CONTADOR PUBLICO</t>
  </si>
  <si>
    <t>73748720</t>
  </si>
  <si>
    <t>CHUCTAYA CASTRO SLEYTER JULYNO</t>
  </si>
  <si>
    <t>ABOGADO II</t>
  </si>
  <si>
    <t>43638228</t>
  </si>
  <si>
    <t>COA BEGAZO JESUS EDGAR AUGUSTO</t>
  </si>
  <si>
    <t>ABOGADO 5- DIAGNOSTICO LEGAL PARA DEMARCACION TERRITORIAL</t>
  </si>
  <si>
    <t>43883389</t>
  </si>
  <si>
    <t>COLQUE VILLANUEVA XIOMARA VIRGINIA</t>
  </si>
  <si>
    <t>ESPECIALISTA EN GESTION SOCIAL Y CAPACITACION</t>
  </si>
  <si>
    <t>CONDE CCALTA MARCO ANTONIO</t>
  </si>
  <si>
    <t>LICENCIADO EN CIENCIAS DE LA COMUNICACIÓN</t>
  </si>
  <si>
    <t>71851687</t>
  </si>
  <si>
    <t>CONDOR ARZAPALO EMILYN NATALY</t>
  </si>
  <si>
    <t>TÉCNICO 4 – DIAGNÓSTICO TÉCNICO PARA ACTOS DE DISPOSICIÓN DE TERRENOS DEL ESTADO</t>
  </si>
  <si>
    <t>29568753</t>
  </si>
  <si>
    <t>CORNEJO TRIGOSO ALVARO JESUS</t>
  </si>
  <si>
    <t>46706458</t>
  </si>
  <si>
    <t>CORRALES SARMIENTO LIZARDO RAUL</t>
  </si>
  <si>
    <t>ANTROPOLOGO</t>
  </si>
  <si>
    <t>29343728</t>
  </si>
  <si>
    <t>CORRALES VARGAS EDUVIGES</t>
  </si>
  <si>
    <t>DON.TR</t>
  </si>
  <si>
    <t>44564704</t>
  </si>
  <si>
    <t>COSI VILLALVA DE CHIRINOS FIORELLA MELISSA</t>
  </si>
  <si>
    <t xml:space="preserve">ABOGADO III DIAGNOSTICO TECNICO PARA ACTOS DE CAUTELA , CUSTODIA Y RECUPERACION DE TERRENOS DEL ESTADO </t>
  </si>
  <si>
    <t>46393932</t>
  </si>
  <si>
    <t>CUELA GALDOS ALEXANDRA KATHERYNE</t>
  </si>
  <si>
    <t>ASISTENTE LEGAL PRESUPUESTAL Y FINANCIERO</t>
  </si>
  <si>
    <t>45352181</t>
  </si>
  <si>
    <t>CUEVAS MOLLO PAMELA ELVIRA</t>
  </si>
  <si>
    <t>BACH. TURISMO Y HOTELERIA</t>
  </si>
  <si>
    <t>CUPI GALLEGOS SHEYLA JOHANNA</t>
  </si>
  <si>
    <t>TECNICO 2- DIAGNOSTICO TECNICO PARA ACTOS DE CAUTELA, CUSTODIA Y RECUPERACION DE TERRENOS DEL ESTADO</t>
  </si>
  <si>
    <t>DE LA TORRE CAMARGO JOSE ALONSO</t>
  </si>
  <si>
    <t>45076909</t>
  </si>
  <si>
    <t>DEL CARPIO DE LA CRUZ ZENAIDA ELIZABETH</t>
  </si>
  <si>
    <t>LIC. EN PSICOLOGIA</t>
  </si>
  <si>
    <t>TECNICO ADMINISTRATIVO- REGISTRADOR DE VENTANILLA UNICA DEL PROCESO DE FORMALIZACION MINERA INTEGRAL</t>
  </si>
  <si>
    <t>74072747</t>
  </si>
  <si>
    <t>DEL CARPIO ZUÑIGA VANESSA ALEJANDRA</t>
  </si>
  <si>
    <t>ESPECIALISTA EN EVALUACION DE RIESGOS</t>
  </si>
  <si>
    <t>45408678</t>
  </si>
  <si>
    <t>DELGADO VASQUEZ GIULIANNA VANESSA</t>
  </si>
  <si>
    <t>ING. INDUSTRIAL</t>
  </si>
  <si>
    <t>DIAZ LOAYZA ELSA VIVIANA</t>
  </si>
  <si>
    <t>SECUNDARIA CPMPLETA</t>
  </si>
  <si>
    <t xml:space="preserve">ASISTENTE TECNICO 1  </t>
  </si>
  <si>
    <t>73932886</t>
  </si>
  <si>
    <t>DIAZ VALDIVIA VIVIANA ALEJANDRA</t>
  </si>
  <si>
    <t>46924841</t>
  </si>
  <si>
    <t>ESCARZA BARRIOS NELSON MIJAIL</t>
  </si>
  <si>
    <t>74300060</t>
  </si>
  <si>
    <t>ESQUINARILA HUALLPA ANGHY MADELEYNE</t>
  </si>
  <si>
    <t>LIC. RELACIONES INDUSTRIALES</t>
  </si>
  <si>
    <t>ESPECIALISTA GESTION AMBIENTAL</t>
  </si>
  <si>
    <t>43558726</t>
  </si>
  <si>
    <t>FERNANDEZ JARA JUAN GABRIEL</t>
  </si>
  <si>
    <t>ING. AMBIENTAL</t>
  </si>
  <si>
    <t>44203861</t>
  </si>
  <si>
    <t>FERNANDEZ ROJAS EVELYN MADELEINE</t>
  </si>
  <si>
    <t>BACH. EN DERECHO</t>
  </si>
  <si>
    <t>45900438</t>
  </si>
  <si>
    <t>FLORES HAQQUEHUA CARLA ALISON</t>
  </si>
  <si>
    <t>TECNICO EN ENFERMERIA I</t>
  </si>
  <si>
    <t>74721048</t>
  </si>
  <si>
    <t>FLORES MALDONADO WENDY</t>
  </si>
  <si>
    <t>GUARDIAN DE ALMACEN</t>
  </si>
  <si>
    <t>29625165</t>
  </si>
  <si>
    <t>FLORES VIZA EMILIO FREDI</t>
  </si>
  <si>
    <t>TECNICO AGROPECUARIO</t>
  </si>
  <si>
    <t>TÉCNICO 1 –DIAGNÓSTICO TÉCNICO PARA ACTOS DE ADQUISICIÓN DE TERRENOS DEL ESTADO</t>
  </si>
  <si>
    <t>29551021</t>
  </si>
  <si>
    <t>GALDOS OJEDA CESAR OSWALDO</t>
  </si>
  <si>
    <t>30488160</t>
  </si>
  <si>
    <t>GAMERO QUISPE CARMEN JULIA</t>
  </si>
  <si>
    <t>LIC. EDUCACION PRIMARIA</t>
  </si>
  <si>
    <t>CUIDADORA</t>
  </si>
  <si>
    <t>29423383</t>
  </si>
  <si>
    <t>GARCIA CHOQUE MARIA LUISA</t>
  </si>
  <si>
    <t>TECNICO I- ARQUITECTO DIAGNOSTICO TECNICO PARA ACTOS DE DISPOSICION DE TERRENOS DEL ESTADO</t>
  </si>
  <si>
    <t>GARCIA LOPEZ ANNYA CECILIA</t>
  </si>
  <si>
    <t>EDUCADORA</t>
  </si>
  <si>
    <t>29248027</t>
  </si>
  <si>
    <t>GONZALES ELGUERA ALBERTINA YANET</t>
  </si>
  <si>
    <t>LIC. EDUCACION</t>
  </si>
  <si>
    <t>30481322</t>
  </si>
  <si>
    <t>GUERREROS QUISPE ISABEL LUCEANDA</t>
  </si>
  <si>
    <t>SECUNDARIA COMPLETA</t>
  </si>
  <si>
    <t xml:space="preserve">GUTIERREZ GORDILLO JONATHAN JAIME </t>
  </si>
  <si>
    <t>LICENCIADO EN PSICOLOGIA</t>
  </si>
  <si>
    <t>29604965</t>
  </si>
  <si>
    <t>GUTIERREZ OCHOA LIBERTAD GUADALUPE</t>
  </si>
  <si>
    <t>TECNICO SECRETARIADO EJECUTIVO</t>
  </si>
  <si>
    <t>TECNICO EN SERVICIOS</t>
  </si>
  <si>
    <t>30481544</t>
  </si>
  <si>
    <t>GUTIERREZ VASQUEZ SANTOS</t>
  </si>
  <si>
    <t>42810123</t>
  </si>
  <si>
    <t>GUZMAN ANCASI NORMA NOELIA</t>
  </si>
  <si>
    <t>BACH. EDUCACION</t>
  </si>
  <si>
    <t>ENFERMERA I</t>
  </si>
  <si>
    <t>46585660</t>
  </si>
  <si>
    <t>HANCCO SALHUA KATHERIN CLAUDIA</t>
  </si>
  <si>
    <t>07967822</t>
  </si>
  <si>
    <t>HEREDIA SULCA EVA FELICITAS</t>
  </si>
  <si>
    <t>41096853</t>
  </si>
  <si>
    <t>HERNANDEZ LOAYZA JUAN CARLOS</t>
  </si>
  <si>
    <t>ING. GEOGRAFO</t>
  </si>
  <si>
    <t>MEDICO</t>
  </si>
  <si>
    <t>HERRERA MOSTAJO MARIO PEDRO</t>
  </si>
  <si>
    <t>MEDICO CIRUJANO</t>
  </si>
  <si>
    <t>44821124</t>
  </si>
  <si>
    <t>HERRERA YARI CARLOS ERNESTO</t>
  </si>
  <si>
    <t>72578259</t>
  </si>
  <si>
    <t>HITO PARICAHUA MIRIAM VIRGINIA</t>
  </si>
  <si>
    <t>06470464</t>
  </si>
  <si>
    <t>HUAMAN CONDORI ROXANA</t>
  </si>
  <si>
    <t>48322506</t>
  </si>
  <si>
    <t>HUAMANI HUAYHUA MARIA ESTHER</t>
  </si>
  <si>
    <t>TEC. ADMINISTRACION Y NEGOCIOS INTERNACIONALES</t>
  </si>
  <si>
    <t>30480831</t>
  </si>
  <si>
    <t>HUAMANI MUÑUA DIOMEDES AGAPITO</t>
  </si>
  <si>
    <t>AUDITOR SENIOR</t>
  </si>
  <si>
    <t>29717705</t>
  </si>
  <si>
    <t>HUANQUI SOSA SARA LUCINDA</t>
  </si>
  <si>
    <t>ABOGADO 2</t>
  </si>
  <si>
    <t>71216123</t>
  </si>
  <si>
    <t>HUAPAYA RANILLA RODRIGO SEBASTIAN</t>
  </si>
  <si>
    <t xml:space="preserve">CAS </t>
  </si>
  <si>
    <t>CUIDADORA DE NIÑO, NIÑAS Y ADOLESCENTES</t>
  </si>
  <si>
    <t>HUAYNA MENDOZA ERICA GRACIELA</t>
  </si>
  <si>
    <t>72172424</t>
  </si>
  <si>
    <t>HUAYNASI KANA EDER</t>
  </si>
  <si>
    <t>EGRESADO DE ADMINISTRACION</t>
  </si>
  <si>
    <t>ABOGADO II DIAGNOSTICO LEGAL PARA DEMARCACION TERRITORIAL</t>
  </si>
  <si>
    <t>43277199</t>
  </si>
  <si>
    <t>HURTADO FRISANCHO PERCY</t>
  </si>
  <si>
    <t>47652157</t>
  </si>
  <si>
    <t>INCA QUISPE EVELYN TANIA</t>
  </si>
  <si>
    <t>TECNICO EN CONTABILIDAD</t>
  </si>
  <si>
    <t>JUAREZ MOGROVEJO LEDY JUDY</t>
  </si>
  <si>
    <t>ADMINISTRADOR</t>
  </si>
  <si>
    <t>42472801</t>
  </si>
  <si>
    <t>LAJO MONTOYA JENNY LUCIA</t>
  </si>
  <si>
    <t>29607480</t>
  </si>
  <si>
    <t>LAURA OSIS MARIA ESPERANZA</t>
  </si>
  <si>
    <t>C.P.C</t>
  </si>
  <si>
    <t>73366408</t>
  </si>
  <si>
    <t>LAURA QUISPE MILAGROS</t>
  </si>
  <si>
    <t>BACH. ING . METALURGICO</t>
  </si>
  <si>
    <t>ING. METALURGISTA</t>
  </si>
  <si>
    <t>TÉCNICO 7- DIAGNÓSTICO TÉCNICO PARA LA DEMARCACIÓN TERRITORIAL</t>
  </si>
  <si>
    <t>29732837</t>
  </si>
  <si>
    <t>LAUREANO ORIHUELA ANNELIESSE</t>
  </si>
  <si>
    <t>45292832</t>
  </si>
  <si>
    <t>LAZO CHAMPI STEPHANIE MILAGROS</t>
  </si>
  <si>
    <t>LIC. EN ADMINISTRACION</t>
  </si>
  <si>
    <t>LAZO GERONIMO ELIZABETH PAOLA DEL PILAR</t>
  </si>
  <si>
    <t xml:space="preserve">ABOGADO I DIAGNOSTICO TECNICO PARA ACTOS DE CAUTELA,CUSTODIA Y RECUPERACION DE TERRENOS DEL ESTADO </t>
  </si>
  <si>
    <t>70004025</t>
  </si>
  <si>
    <t>LINAREZ SANCHEZ LISSETTE GABRIELA</t>
  </si>
  <si>
    <t xml:space="preserve">GUARDIAN </t>
  </si>
  <si>
    <t>30408277</t>
  </si>
  <si>
    <t>LLANQUIRE CHOCO FELIPE ISAAC</t>
  </si>
  <si>
    <t>AUDITOR</t>
  </si>
  <si>
    <t>43674614</t>
  </si>
  <si>
    <t>LLERENA CARDENAS HUBERT JOSEPH</t>
  </si>
  <si>
    <t>CONTADOR PUBLICO COLEGIADO</t>
  </si>
  <si>
    <t>70360446</t>
  </si>
  <si>
    <t>LOAYZA PAREDES ANNY FIORELA</t>
  </si>
  <si>
    <t>CONTADORA PUBLICA COLEGIADA</t>
  </si>
  <si>
    <t>29731275</t>
  </si>
  <si>
    <t>MAMANI CONDORI ROSALIA</t>
  </si>
  <si>
    <t>TÉCNICO 5 – DIAGNÓSTICO GRÁFICO PARA ACTOS DE ADMINISTRACIÓN Y ADJUDICACIÓN DE TERRENOS DEL ESTADO</t>
  </si>
  <si>
    <t>41460143</t>
  </si>
  <si>
    <t>MAMANI FLORES ELIZABETH</t>
  </si>
  <si>
    <t>72889389</t>
  </si>
  <si>
    <t>MARQUEZ CHAVEZ LUIS ANGEL</t>
  </si>
  <si>
    <t>ING. BIOTECNOLOGO</t>
  </si>
  <si>
    <t>CHOFER</t>
  </si>
  <si>
    <t>29221726</t>
  </si>
  <si>
    <t>MAYORGA NIETO LEONIDAS AMERICO</t>
  </si>
  <si>
    <t>42155730</t>
  </si>
  <si>
    <t>MAYORGA RAYO NELLY MILAGROS</t>
  </si>
  <si>
    <t>BIOLOGA</t>
  </si>
  <si>
    <t>47980280</t>
  </si>
  <si>
    <t>MEDINA ANCASI LEONIDAS ENMANUEL</t>
  </si>
  <si>
    <t>BACH. CIENCIAS ECONOMICO EMPRESARIALES</t>
  </si>
  <si>
    <t>ASISTENTE TECNICO 2</t>
  </si>
  <si>
    <t>46212570</t>
  </si>
  <si>
    <t>MEDINA HUAYHUA LUCERO</t>
  </si>
  <si>
    <t>BACH. ARQUITECTURA</t>
  </si>
  <si>
    <t>29646553</t>
  </si>
  <si>
    <t>MEJIA ZEA MOISES</t>
  </si>
  <si>
    <t>TIA SUSTITUTA</t>
  </si>
  <si>
    <t>80584453</t>
  </si>
  <si>
    <t>MELO CASQUINO NANCY GUMERCINDA</t>
  </si>
  <si>
    <t>29703860</t>
  </si>
  <si>
    <t>MENDEZ VENTURA JOHN ALEJANDRO</t>
  </si>
  <si>
    <t>ING. QUIMICO</t>
  </si>
  <si>
    <t>46107369</t>
  </si>
  <si>
    <t>MENDOZA OSCCO LUIS GUSTAVO</t>
  </si>
  <si>
    <t>BIOLOGO</t>
  </si>
  <si>
    <t>ESPECIALISTA EN MODULO DE COMUNICACION</t>
  </si>
  <si>
    <t>40939170</t>
  </si>
  <si>
    <t>MIRANDA HUERTA VICTOR FORTUNATO</t>
  </si>
  <si>
    <t>LIC. CIENCIAS DE LA COMUNICACIÓN SOCIAL</t>
  </si>
  <si>
    <t>TECNICO INFORMATICO EN PRESUPUESTO PUBLICO</t>
  </si>
  <si>
    <t>43103185</t>
  </si>
  <si>
    <t>MIRANDA RAMOS YOVANA</t>
  </si>
  <si>
    <t>ING. SISTEMAS</t>
  </si>
  <si>
    <t>29628968</t>
  </si>
  <si>
    <t>MONTEAGUDO MESTAS ELIANA MIRYAM</t>
  </si>
  <si>
    <t>LIC. TRABAJO SOCIAL</t>
  </si>
  <si>
    <t>30420933</t>
  </si>
  <si>
    <t>MONTES AMESQUITA LUZ ELENA GREGORIA</t>
  </si>
  <si>
    <t>ESPECIALISTA TECNICO</t>
  </si>
  <si>
    <t>44812293</t>
  </si>
  <si>
    <t>MORAN QUISPE FUHAD CRISTHIAN</t>
  </si>
  <si>
    <t>ING. CIVIL</t>
  </si>
  <si>
    <t>40905390</t>
  </si>
  <si>
    <t>MURILLO RODRIGUEZ JOHN JIMMY</t>
  </si>
  <si>
    <t>72638136</t>
  </si>
  <si>
    <t>MURILLO YUTARI MILAGROS NELLY</t>
  </si>
  <si>
    <t>BACH. ADMINISTRACION Y NEGOCIOS INTERNACIONALES</t>
  </si>
  <si>
    <t>41612630</t>
  </si>
  <si>
    <t>NUÑEZ COILA NATHALY DEYANIRA</t>
  </si>
  <si>
    <t>CUIDADORA DE NIÑOS,NIÑAS Y ADOLESCENTES</t>
  </si>
  <si>
    <t>29695339</t>
  </si>
  <si>
    <t>OCHOCHOQUE MUCHICA ELSA AVIGAIL</t>
  </si>
  <si>
    <t>43085231</t>
  </si>
  <si>
    <t>ORTIZ MARTINEZ WHENDY EILEEN</t>
  </si>
  <si>
    <t>42816742</t>
  </si>
  <si>
    <t>OTAZU HEREDIA MAXIMO FLORENCIO</t>
  </si>
  <si>
    <t>43482286</t>
  </si>
  <si>
    <t>PACHECO QUISPE ALAN</t>
  </si>
  <si>
    <t>29406283</t>
  </si>
  <si>
    <t>PAREDES SANTISTEBAN AURELIO</t>
  </si>
  <si>
    <t>29544792</t>
  </si>
  <si>
    <t>PAUCAR NINA JULIO CESAR</t>
  </si>
  <si>
    <t>70360439</t>
  </si>
  <si>
    <t>PAZ ZEVALLOS CRISTIAN ZENON</t>
  </si>
  <si>
    <t xml:space="preserve">ING. DE MINAS </t>
  </si>
  <si>
    <t xml:space="preserve">ABOGADO I </t>
  </si>
  <si>
    <t>29422243</t>
  </si>
  <si>
    <t>PEREZ ANCO JAVIER FELIX</t>
  </si>
  <si>
    <t>PROFESIONAL ADMINISTRATIVO</t>
  </si>
  <si>
    <t>29633127</t>
  </si>
  <si>
    <t>PEREZ BELLIDO PEDRO JOSE</t>
  </si>
  <si>
    <t>AUDITOR JUNIOR</t>
  </si>
  <si>
    <t>29463298</t>
  </si>
  <si>
    <t>PINEDA SALDIVAR YOLA VICTORIA</t>
  </si>
  <si>
    <t>ALMACENERO</t>
  </si>
  <si>
    <t>29672048</t>
  </si>
  <si>
    <t>PINTO CARBAJAL CESAR</t>
  </si>
  <si>
    <t>AUDITOR II</t>
  </si>
  <si>
    <t>23863943</t>
  </si>
  <si>
    <t>PINTO PAREDES JACQUELINE YSMENA</t>
  </si>
  <si>
    <t>CONTADOR</t>
  </si>
  <si>
    <t>73033484</t>
  </si>
  <si>
    <t>PORTUGAL ARAGON CAMILA GLORIA</t>
  </si>
  <si>
    <t xml:space="preserve">ESPECIALISTA EN EVALUACION Y SUPERVISION DE INSTRUMENTOS DE GESTION AMBIENTAL </t>
  </si>
  <si>
    <t>46919045</t>
  </si>
  <si>
    <t>PRIETO PARISACA ALBERTO</t>
  </si>
  <si>
    <t>44468262</t>
  </si>
  <si>
    <t>QUEZADA QUEZADA ANGEL MARTIN</t>
  </si>
  <si>
    <t>RDR</t>
  </si>
  <si>
    <t>43572410</t>
  </si>
  <si>
    <t>QUINTANILLA HEADRINGTON LUIS ARTURO</t>
  </si>
  <si>
    <t>29706134</t>
  </si>
  <si>
    <t>QUISOCCAPA QUISPE JEANETH GLADYS</t>
  </si>
  <si>
    <t>ESPECIALISTA PARA EL MODULO DE LOGISTICA</t>
  </si>
  <si>
    <t>QUISPE GONZALES GREGORIO</t>
  </si>
  <si>
    <t>CPC</t>
  </si>
  <si>
    <t>46735436</t>
  </si>
  <si>
    <t>QUISPE HUAMAN EDER EDINSON</t>
  </si>
  <si>
    <t>ASISTENTE DE AUDITORIA</t>
  </si>
  <si>
    <t>73627504</t>
  </si>
  <si>
    <t>QUISPE HUAYHUA SANDRA BAUTISTA</t>
  </si>
  <si>
    <t>BACH. CONTABILIDAD</t>
  </si>
  <si>
    <t>42911959</t>
  </si>
  <si>
    <t>QUISPE LARICO JULIO CESAR</t>
  </si>
  <si>
    <t>43292105</t>
  </si>
  <si>
    <t>QUISPE QUISPE MARIBEL</t>
  </si>
  <si>
    <t xml:space="preserve">JEFE ZONAL ATICO PROVINCIA DE CARAVELI </t>
  </si>
  <si>
    <t>29652912</t>
  </si>
  <si>
    <t>QUISPE ROQUE ARTURO CECILIO</t>
  </si>
  <si>
    <t xml:space="preserve">ING PESQUERO </t>
  </si>
  <si>
    <t>47006200</t>
  </si>
  <si>
    <t>RAMOS ALOSILLA CLAUDIA ROSSANA</t>
  </si>
  <si>
    <t>BACH. ADMINISTRACION EN TURISMO, HOTELERIA Y GASTRONOMIA</t>
  </si>
  <si>
    <t>CONSERJE</t>
  </si>
  <si>
    <t>41896809</t>
  </si>
  <si>
    <t>RAMOS ANAHUA WILSON</t>
  </si>
  <si>
    <t xml:space="preserve">CUIDADORA DE NIÑOS Y ADOLESCENTES </t>
  </si>
  <si>
    <t>29676840</t>
  </si>
  <si>
    <t>RAMOS NUÑEZ VERONICA SANDRA</t>
  </si>
  <si>
    <t>40717294</t>
  </si>
  <si>
    <t>RAMOS SURCO LEONARDA</t>
  </si>
  <si>
    <t>29588627</t>
  </si>
  <si>
    <t>REUSCHE LARICO RUTH MARY</t>
  </si>
  <si>
    <t>29426174</t>
  </si>
  <si>
    <t>ROCA CAHUANA GUIDO</t>
  </si>
  <si>
    <t>ING. AGRONOMO</t>
  </si>
  <si>
    <t xml:space="preserve">ABOGADO PARA EL ÁREA DE CONCESIONES MINERA   </t>
  </si>
  <si>
    <t>47040143</t>
  </si>
  <si>
    <t>RODRIGUEZ FIGUEROA TANIA PAULA</t>
  </si>
  <si>
    <t xml:space="preserve">ABOGADA </t>
  </si>
  <si>
    <t>ESPECIALISTA EN TECNOLOGIAS DE LA INFORMACION I</t>
  </si>
  <si>
    <t>RODRIGUEZ LIZARRAGA GONZALO JAVIER</t>
  </si>
  <si>
    <t>INGENIERO DE SISTEMAS</t>
  </si>
  <si>
    <t>ABOGADO 3- DIAGNOSTICO LEGAL DE ACTOS DE ADMNISTRACION DE TERRENOS DEL ESTADO</t>
  </si>
  <si>
    <t>29585374</t>
  </si>
  <si>
    <t>RODRIGUEZ MENESES LITZI VANEZA</t>
  </si>
  <si>
    <t>RODRIGUEZ ROJAS GABRIELA JESUS BERTHA</t>
  </si>
  <si>
    <t>ASESOR AMBIENTAL</t>
  </si>
  <si>
    <t>46613090</t>
  </si>
  <si>
    <t>RODRIGUEZ SOTELO ANA GABRIELA</t>
  </si>
  <si>
    <t>40306173</t>
  </si>
  <si>
    <t>ROJO CCALLOQUISPE ANA</t>
  </si>
  <si>
    <t>42406127</t>
  </si>
  <si>
    <t>ROSAS CHUQUITAYPE YERAL AMARO</t>
  </si>
  <si>
    <t>42137528</t>
  </si>
  <si>
    <t>SALAS SUAREZ EMERSON</t>
  </si>
  <si>
    <t>INGENIERO</t>
  </si>
  <si>
    <t>40348125</t>
  </si>
  <si>
    <t>SANTOS LLERENA EDWIN DANIEL</t>
  </si>
  <si>
    <t>TECNICO 2-ARQUITECTO DIAGNOSTICO</t>
  </si>
  <si>
    <t>29647331</t>
  </si>
  <si>
    <t>SARMIENTO GARRO ELIZABETH VIRGINIA</t>
  </si>
  <si>
    <t>23869724</t>
  </si>
  <si>
    <t>SORIA TTITO LUZ MARINA</t>
  </si>
  <si>
    <t>MGSC</t>
  </si>
  <si>
    <t>48005905</t>
  </si>
  <si>
    <t>SUCSO JARRO CINTHIA CAROLINE</t>
  </si>
  <si>
    <t>29471961</t>
  </si>
  <si>
    <t>TANCAYLLO MAMANI ROCCIO NATALIA</t>
  </si>
  <si>
    <t>OBSTETRIZ</t>
  </si>
  <si>
    <t>LICENCIADA EN OBSTETRICIA</t>
  </si>
  <si>
    <t>TECNICO 6-DIAGNOSTICO TECNICO</t>
  </si>
  <si>
    <t>40698504</t>
  </si>
  <si>
    <t>TERRONES CANO TERESA YNES MILAGROS</t>
  </si>
  <si>
    <t>ANALISTA PROGRAMADOR</t>
  </si>
  <si>
    <t>46387350</t>
  </si>
  <si>
    <t>TEVES ESPINOZA DIEGO ALONSO</t>
  </si>
  <si>
    <t>TECNICO</t>
  </si>
  <si>
    <t>OPERADOR DE RED Y SISTEMAS</t>
  </si>
  <si>
    <t>29577357</t>
  </si>
  <si>
    <t>TITO VERONICA DAVID CESAR</t>
  </si>
  <si>
    <t>BACH. ING. ELECTRONICA</t>
  </si>
  <si>
    <t>29466297</t>
  </si>
  <si>
    <t>TORRES HUARACHE LUDGARDA</t>
  </si>
  <si>
    <t xml:space="preserve">TECNICO INFORMATICO PARA APOYO EN LAS ACTIVIDADES DE VENTANILLA UNICA DEL PROCESO DE FORMALIZACION MINERA INTEGRAL </t>
  </si>
  <si>
    <t>29311168</t>
  </si>
  <si>
    <t>TRUJILLO AÑACATA JACQUELINE MARIA</t>
  </si>
  <si>
    <t>TEC. COMPUTACION</t>
  </si>
  <si>
    <t>ADMINISTRADORA</t>
  </si>
  <si>
    <t>29661814</t>
  </si>
  <si>
    <t>TUBILLA ZUÑIGA LUCILA RAQUEL</t>
  </si>
  <si>
    <t>ASISTENTE ADMINISTRATIVO Y LOGISTICO</t>
  </si>
  <si>
    <t>41917747</t>
  </si>
  <si>
    <t>VALDEZ ALLASI ZARITZA</t>
  </si>
  <si>
    <t>TECNICA</t>
  </si>
  <si>
    <t>ASESOR EN APOYO TECNICO LEGAL</t>
  </si>
  <si>
    <t>46158902</t>
  </si>
  <si>
    <t>VALDIVIA CORRALES LUCIA NAILED DEL PILAR</t>
  </si>
  <si>
    <t>TECNICO II- SECRETARIA</t>
  </si>
  <si>
    <t>VALDIVIA MAMANI KARIN MADELEINE</t>
  </si>
  <si>
    <t>TECNICA EN SECRETARIADO EJECUTIVO</t>
  </si>
  <si>
    <t>23994255</t>
  </si>
  <si>
    <t>VALDIVIA SANTOS GIANNA RAQUEL</t>
  </si>
  <si>
    <t>LIC. EN ENFERMERIA</t>
  </si>
  <si>
    <t>73123895</t>
  </si>
  <si>
    <t>VARGAS CRUZ CLAUDIA MILAGROS</t>
  </si>
  <si>
    <t>30857945</t>
  </si>
  <si>
    <t>VARGAS LLANOS SANDRO WALTER</t>
  </si>
  <si>
    <t>29272202</t>
  </si>
  <si>
    <t>VARGAS MELGAR LELIA ELIZABETH</t>
  </si>
  <si>
    <t xml:space="preserve">ASISTENTE SOCIAL </t>
  </si>
  <si>
    <t>LICENCIADA EN TRABAJO SOCIAL</t>
  </si>
  <si>
    <t>80624996</t>
  </si>
  <si>
    <t>VARGAS NUÑEZ FRANZ SALOMON</t>
  </si>
  <si>
    <t>EGRESADO DE ADMINISTRACION DE NEGOCIOS INTERNACIONALES</t>
  </si>
  <si>
    <t xml:space="preserve">AUDITOR I </t>
  </si>
  <si>
    <t>44890873</t>
  </si>
  <si>
    <t>VELARDE BERNEDO EVELYN CECILIA</t>
  </si>
  <si>
    <t>VENTURA FLORES JAIME TEOFILO</t>
  </si>
  <si>
    <t>BACH. PSICOLOGIA</t>
  </si>
  <si>
    <t>73209697</t>
  </si>
  <si>
    <t>VERGARAY FLORES ASTRID JAZMIN</t>
  </si>
  <si>
    <t>ENCARGADO DEL AREA DE PLANEAMIENTO</t>
  </si>
  <si>
    <t>04641196</t>
  </si>
  <si>
    <t>VILCA MONROY MIRTHA VIRGINIA</t>
  </si>
  <si>
    <t>GUARDIAN DE ALMACEN CENTRAL</t>
  </si>
  <si>
    <t>VILCA PAMPA JUAN FREDY</t>
  </si>
  <si>
    <t>40899372</t>
  </si>
  <si>
    <t>VILCA SUCASAYRE BERTHA ROSALIA</t>
  </si>
  <si>
    <t xml:space="preserve">ASESOR AMBIENTAL ESPECIALISTA EN EVALUACION Y SUPERVISION AMBIENTAL </t>
  </si>
  <si>
    <t>29639839</t>
  </si>
  <si>
    <t>VILLAGRA DE LAS CASAS ZAIDA VALENTINA</t>
  </si>
  <si>
    <t>29327062</t>
  </si>
  <si>
    <t>YAULI CHUQUIPUMA PASCUAL BAILON</t>
  </si>
  <si>
    <t>CUIDADORA DE NINOS,NIÑAS Y ADOLESCENTES</t>
  </si>
  <si>
    <t>29552586</t>
  </si>
  <si>
    <t>YNFA NINA GLORIA PAULINA</t>
  </si>
  <si>
    <t>71723526</t>
  </si>
  <si>
    <t>YUPA VELASCO CANDELARIA</t>
  </si>
  <si>
    <t>BACH. CIENCIAS DE LA COMUNICACIÓN</t>
  </si>
  <si>
    <t>TECNICO ADMINISTRATIVO  EN PRESUPUESTO PUBLICO</t>
  </si>
  <si>
    <t>43192855</t>
  </si>
  <si>
    <t>ZAPANA PACHA INGRIDT MILAGROS</t>
  </si>
  <si>
    <t>29500595</t>
  </si>
  <si>
    <t>ZEGARRA DIAZ GUADALUPE ROXANA</t>
  </si>
  <si>
    <t>SIN CARGO</t>
  </si>
  <si>
    <t>29560898</t>
  </si>
  <si>
    <t>ZEGARRA GUZMAN REBECA CAROLA</t>
  </si>
  <si>
    <t>45649096</t>
  </si>
  <si>
    <t>ZEGARRA LAZO LUISA ELI</t>
  </si>
  <si>
    <t>76950950</t>
  </si>
  <si>
    <t>ZEGARRA MENDOZA JEIDI</t>
  </si>
  <si>
    <t>BACH. EN ECONOMIA</t>
  </si>
  <si>
    <t>200 TRANSPORTES AREQUIPA</t>
  </si>
  <si>
    <t>R.D.R.</t>
  </si>
  <si>
    <t>ANALISTA DE PROGRAMADOR</t>
  </si>
  <si>
    <t>44366247</t>
  </si>
  <si>
    <t>ARANZAMENDI ALVAREZ,  MIGUEL ANGEL</t>
  </si>
  <si>
    <t>INGENIERIA DE SISTEMAS INFORMATICA</t>
  </si>
  <si>
    <t>BACHILLER</t>
  </si>
  <si>
    <t>CAPACITACION</t>
  </si>
  <si>
    <t>TECNICO EN TESORERIA</t>
  </si>
  <si>
    <t>ARENAS MAMANI DE SANCHEZ,  FINA PATRICIA</t>
  </si>
  <si>
    <t>CONTABILIDAD</t>
  </si>
  <si>
    <t>PERSONAL DE LIMPIEZA</t>
  </si>
  <si>
    <t>29462706</t>
  </si>
  <si>
    <t>DELGADO TICONA,  JOSEFINA</t>
  </si>
  <si>
    <t>29616675</t>
  </si>
  <si>
    <t>DURAN ROMAN,  BLANCA MILAGROS</t>
  </si>
  <si>
    <t>AISTENTE ADMINISTRATIVO</t>
  </si>
  <si>
    <t>FUENTES CORAHUA,  ROCIO NATHALY</t>
  </si>
  <si>
    <t>GONZALES REVILLA,  GRACE KATHERINE</t>
  </si>
  <si>
    <t>DERECHO</t>
  </si>
  <si>
    <t>TITULADO</t>
  </si>
  <si>
    <t>41976098</t>
  </si>
  <si>
    <t>LLERENA SALAS,  KAREN PAOLA</t>
  </si>
  <si>
    <t>APOYO A OPERATIVO</t>
  </si>
  <si>
    <t>44655275</t>
  </si>
  <si>
    <t>MAMANI TITO,  ROCIO JESSICA</t>
  </si>
  <si>
    <t>CIENCIAS DE LA COMUNICACIÓN</t>
  </si>
  <si>
    <t>29411232</t>
  </si>
  <si>
    <t>MANCHEGO LLERENA,  CARMEN ANGELICA</t>
  </si>
  <si>
    <t>MARIN HANAMPA,  JOSE FAUSTINO</t>
  </si>
  <si>
    <t>MENDOZA VILLALOBOS,  PATRICIA</t>
  </si>
  <si>
    <t>CORDINADOR</t>
  </si>
  <si>
    <t>MUÑOZ CARDENAS,  ROBERTO CARLOS</t>
  </si>
  <si>
    <t>OJEDA FLORES,  ROXANA MELINA</t>
  </si>
  <si>
    <t>RETAMOZO CHAVEZ,  LIZ</t>
  </si>
  <si>
    <t>AUXILIAR DE CONTABILIDAD</t>
  </si>
  <si>
    <t>45748663</t>
  </si>
  <si>
    <t>REVILLA TORRES,  ALEXANDRA YADIRA</t>
  </si>
  <si>
    <t>FISCALIZADOR</t>
  </si>
  <si>
    <t>29716290</t>
  </si>
  <si>
    <t>RODRIGUEZ RODRIGUEZ,  EVELIN SUSAN</t>
  </si>
  <si>
    <t>ESPECIALISTA EN INFORMATICA</t>
  </si>
  <si>
    <t>40020848</t>
  </si>
  <si>
    <t>VALENCIA CARPIO,  ANDERSON PERCY</t>
  </si>
  <si>
    <t>COMPUTACION E INFORMATICA</t>
  </si>
  <si>
    <t>VILLAFUERTE GOMEZ,  CILENE</t>
  </si>
  <si>
    <t>VILLAVICENCIO ROLANDO,  ANGELO CHRISTIAN</t>
  </si>
  <si>
    <t>ZEGARRA MAYMA,  SHIRLEY GIOVANNA</t>
  </si>
  <si>
    <t>402 HOEPITAL AREGIONAL HONORIO DELGADO</t>
  </si>
  <si>
    <t>ASISTENCIAL</t>
  </si>
  <si>
    <t>44774871</t>
  </si>
  <si>
    <t>AÑAMURO CAHUANA ANGELICA MARTHA</t>
  </si>
  <si>
    <t>TITULO PROFESIONAL</t>
  </si>
  <si>
    <t>PROFESIONAL DE LA SALUD</t>
  </si>
  <si>
    <t>,</t>
  </si>
  <si>
    <t>40027898</t>
  </si>
  <si>
    <t>CHALCO SEGALES CLAUDIA PATRICIA</t>
  </si>
  <si>
    <t>41783781</t>
  </si>
  <si>
    <t>CONDORI CARCASI ELARD LUDIO</t>
  </si>
  <si>
    <t>42191449</t>
  </si>
  <si>
    <t>CORDOVA LAZO JESSICA KARINA</t>
  </si>
  <si>
    <t>29416972</t>
  </si>
  <si>
    <t>CORNEJO GONZALES TANIA</t>
  </si>
  <si>
    <t>41736569</t>
  </si>
  <si>
    <t>CORNEJO MEDINA ERICK MICHAEL</t>
  </si>
  <si>
    <t>41341832</t>
  </si>
  <si>
    <t>DIAZ ZEGARRA ELIANA ELIZABETH</t>
  </si>
  <si>
    <t>42963327</t>
  </si>
  <si>
    <t>MANCHEGO MEDINA RAUL MAYLON</t>
  </si>
  <si>
    <t>42852989</t>
  </si>
  <si>
    <t>MIRANDA CORTEZ ALVARO DAVID</t>
  </si>
  <si>
    <t>41727357</t>
  </si>
  <si>
    <t>PINO MELGAR CHRISTIAN JORGE</t>
  </si>
  <si>
    <t>29464242</t>
  </si>
  <si>
    <t>SANDOVAL CORIMAYTA NANCY LUCRECIA</t>
  </si>
  <si>
    <t>40472509</t>
  </si>
  <si>
    <t>YAFAC SERRANO JENNY ANALI</t>
  </si>
  <si>
    <t>VACANTE</t>
  </si>
  <si>
    <t>41428961</t>
  </si>
  <si>
    <t>DELGADO CONDORI DIANA YULEMY</t>
  </si>
  <si>
    <t>MEDICO ANESTESIOLOGO</t>
  </si>
  <si>
    <t>42315085</t>
  </si>
  <si>
    <t>MARTINEZ QUILCA MARIANELLA LIZBETH</t>
  </si>
  <si>
    <t>29638902</t>
  </si>
  <si>
    <t>BURGOS ENRIQUEZ CARLA GRISELDA</t>
  </si>
  <si>
    <t>MEDICO AUDITOR</t>
  </si>
  <si>
    <t>45247651</t>
  </si>
  <si>
    <t>VERA PORTILLA WALTER ALBERTO</t>
  </si>
  <si>
    <t>MEDICO CIRUJANO PLASTICO</t>
  </si>
  <si>
    <t>42736714</t>
  </si>
  <si>
    <t>HUARANCCA MAYURI DARLY CAROLINE</t>
  </si>
  <si>
    <t>MEDICO GINECO-OBSTETRA</t>
  </si>
  <si>
    <t>42268747</t>
  </si>
  <si>
    <t>RIVERA ARCE GIOVANNI FRANCESCO</t>
  </si>
  <si>
    <t>MEDICO OFTALMOLOGO</t>
  </si>
  <si>
    <t>29658165</t>
  </si>
  <si>
    <t>CARAZAS PORTOCARRERO MILAGROS ALINA</t>
  </si>
  <si>
    <t>MEDICO PATOLOGO</t>
  </si>
  <si>
    <t>40271716</t>
  </si>
  <si>
    <t>LOPEZ MEDINA MARIA GUADALUPE</t>
  </si>
  <si>
    <t>MEDICO PEDIATRA</t>
  </si>
  <si>
    <t>43094564</t>
  </si>
  <si>
    <t>OVIEDO ZEVALLOS SAULO RAFAEL</t>
  </si>
  <si>
    <t>MEDICO UROLOGO</t>
  </si>
  <si>
    <t>45101521</t>
  </si>
  <si>
    <t>BARRENECHEA VILLEGAS MAYRA NATALY</t>
  </si>
  <si>
    <t>ENFERMERA(O)</t>
  </si>
  <si>
    <t>41589359</t>
  </si>
  <si>
    <t>CARI MOGROVEJO MARIA VERONICA</t>
  </si>
  <si>
    <t>44142684</t>
  </si>
  <si>
    <t>COLQUE VELASQUEZ FIORELLA REYNA</t>
  </si>
  <si>
    <t>42241095</t>
  </si>
  <si>
    <t>CORDOVA ROQUE SHIRLEY ROXANA</t>
  </si>
  <si>
    <t>44475013</t>
  </si>
  <si>
    <t>FUENTES URQUIZO KELLY STEPHANY</t>
  </si>
  <si>
    <t>43192807</t>
  </si>
  <si>
    <t>GALINDO BARRIGA ROSA ISABEL</t>
  </si>
  <si>
    <t>42140055</t>
  </si>
  <si>
    <t>LLERENA URQUIZO LIZBETH DEL PILAR</t>
  </si>
  <si>
    <t>01296507</t>
  </si>
  <si>
    <t>NAVIA ORTEGA KETTY YESSENIA</t>
  </si>
  <si>
    <t>44306343</t>
  </si>
  <si>
    <t>PARICOTO CONDORI MARYLIA</t>
  </si>
  <si>
    <t>47124516</t>
  </si>
  <si>
    <t>QUEQUE PARI CARMEN CECILIA</t>
  </si>
  <si>
    <t>46529674</t>
  </si>
  <si>
    <t>RAMOS PAREDES PAOLO FABRIZIO</t>
  </si>
  <si>
    <t>43324484</t>
  </si>
  <si>
    <t>ROJAS CUADROS KARLA VANESSA</t>
  </si>
  <si>
    <t>41453264</t>
  </si>
  <si>
    <t>SALAS CARAZAS CLAUDIA MABEL</t>
  </si>
  <si>
    <t>29542964</t>
  </si>
  <si>
    <t>LOAYZA BORJA SANDRA EDITH</t>
  </si>
  <si>
    <t>ASISTENTA SOCIAL</t>
  </si>
  <si>
    <t>29616682</t>
  </si>
  <si>
    <t>BACA WIESSE PAUL ERNESTO</t>
  </si>
  <si>
    <t>45593338</t>
  </si>
  <si>
    <t>CATERIANO HERNANI HELLEN NARCISA</t>
  </si>
  <si>
    <t>OBSTETRA</t>
  </si>
  <si>
    <t>43975268</t>
  </si>
  <si>
    <t>ESPINAL LLERENA ELISBETH JUANA</t>
  </si>
  <si>
    <t>40892059</t>
  </si>
  <si>
    <t>HUAYLLAPUMA LIMA JUAN NICOLAS</t>
  </si>
  <si>
    <t>ODONTOLOGO(A)</t>
  </si>
  <si>
    <t>43652391</t>
  </si>
  <si>
    <t>CHAVEZ CARAZAS GISELLA</t>
  </si>
  <si>
    <t>PSICOLOGO(A)</t>
  </si>
  <si>
    <t>43460142</t>
  </si>
  <si>
    <t>GONZALES OTOYA BENAVIDES FABIOLA GRACE</t>
  </si>
  <si>
    <t>43277211</t>
  </si>
  <si>
    <t>VILLENA FUENTES FIDEL</t>
  </si>
  <si>
    <t>29646303</t>
  </si>
  <si>
    <t>HUAMAN JARA ELISA ELIZABETH</t>
  </si>
  <si>
    <t>QUIMICO FARMACEUTICO</t>
  </si>
  <si>
    <t>41400621</t>
  </si>
  <si>
    <t>PAREDES CHOQUE JACKELINE MARIA</t>
  </si>
  <si>
    <t>42027398</t>
  </si>
  <si>
    <t>JARA LLAIQUI ENRIQUE</t>
  </si>
  <si>
    <t>TECNOLOGO MEDICO</t>
  </si>
  <si>
    <t>40937916</t>
  </si>
  <si>
    <t>CAHUINA HANCCO RAQUEL RUTH</t>
  </si>
  <si>
    <t>TECNICO DE FARMACIA</t>
  </si>
  <si>
    <t>TECNICO ASISTENCIAL</t>
  </si>
  <si>
    <t>42998206</t>
  </si>
  <si>
    <t>MAMANI TITO KARINA MARISOL</t>
  </si>
  <si>
    <t>40402787</t>
  </si>
  <si>
    <t>MENDOZA FLORES HILDA FRIDA</t>
  </si>
  <si>
    <t>80193851</t>
  </si>
  <si>
    <t>PEREZ PANIAGUA RICHAR PEDRO</t>
  </si>
  <si>
    <t>41371184</t>
  </si>
  <si>
    <t>PHOCCO PACOMPIA MARYSOL</t>
  </si>
  <si>
    <t>42802693</t>
  </si>
  <si>
    <t>TTITO APAZA MARILYN</t>
  </si>
  <si>
    <t>40816733</t>
  </si>
  <si>
    <t>RANILLA HUAMANTUCO BLANCA LUZ</t>
  </si>
  <si>
    <t>TECNICO EN FARMACIA</t>
  </si>
  <si>
    <t>46125554</t>
  </si>
  <si>
    <t>ARANCIVIA PAZ ROXANA SOFIA</t>
  </si>
  <si>
    <t>TECNICO EN LABORATORIO</t>
  </si>
  <si>
    <t>73040342</t>
  </si>
  <si>
    <t>PRIETO GOMEZ MARJORIE LESLY</t>
  </si>
  <si>
    <t>45430895</t>
  </si>
  <si>
    <t>QUISPE CHALCO WLODZIMIERZ NOUREDDINE</t>
  </si>
  <si>
    <t>29277760</t>
  </si>
  <si>
    <t>SARMIENTO CALIZAYA FANNY ROXANA</t>
  </si>
  <si>
    <t>29364549</t>
  </si>
  <si>
    <t>CHIGUAY BARBACHAN ONOFRE PEDRO</t>
  </si>
  <si>
    <t>TECNICO EN MANTENIMIENTO EQUIP</t>
  </si>
  <si>
    <t>72415238</t>
  </si>
  <si>
    <t>PUMA SOTO PERCY LEOMIT</t>
  </si>
  <si>
    <t>TERAPISTA</t>
  </si>
  <si>
    <t>ADMINISTRATIVO</t>
  </si>
  <si>
    <t>29601491</t>
  </si>
  <si>
    <t>HERNANDEZ MAYORI RICHARD</t>
  </si>
  <si>
    <t>DIRECTOR GENERAL</t>
  </si>
  <si>
    <t>DIRECTOR GENREAL</t>
  </si>
  <si>
    <t>42317466</t>
  </si>
  <si>
    <t>BENAVENTE CANO LUZ ANA MARIA</t>
  </si>
  <si>
    <t>ABOGADO(A)</t>
  </si>
  <si>
    <t>70780866</t>
  </si>
  <si>
    <t>ROMERO NAVIA JORDY JESUS</t>
  </si>
  <si>
    <t>41485197</t>
  </si>
  <si>
    <t>CASANI BELLIDO DE AMESQUITA ALICIA ABIGAIL</t>
  </si>
  <si>
    <t>43500613</t>
  </si>
  <si>
    <t>CHIRINOS SALINAS REYNALDO ANTENOR</t>
  </si>
  <si>
    <t>42939109</t>
  </si>
  <si>
    <t>ZAVALETA CHINO DE MONTOYA MARCIA LIZETH</t>
  </si>
  <si>
    <t>43094517</t>
  </si>
  <si>
    <t>ALVAREZ CHINO MELISSA ELIZABETH</t>
  </si>
  <si>
    <t>ESPECIALISTA EN PLANEAMIENTO</t>
  </si>
  <si>
    <t>29719490</t>
  </si>
  <si>
    <t>COACALLA HUAMANI PATRICIA ROSARIO</t>
  </si>
  <si>
    <t>43107979</t>
  </si>
  <si>
    <t>LOAYZA BORJA JAKELINE AURORA</t>
  </si>
  <si>
    <t>29579284</t>
  </si>
  <si>
    <t>MONTES MONTES MIRYAM EDITH</t>
  </si>
  <si>
    <t>LICENCIADO EN ADMINISTRACION</t>
  </si>
  <si>
    <t>29721870</t>
  </si>
  <si>
    <t>BENAVIDES PERALTA LIZ KATIUSKA</t>
  </si>
  <si>
    <t>PROFESIONAL EN EDUCACION</t>
  </si>
  <si>
    <t>43575570</t>
  </si>
  <si>
    <t>CHURATA QUISPE JANETH MARIELA</t>
  </si>
  <si>
    <t>OPERADOR DE CENTRAL TELEFONICA</t>
  </si>
  <si>
    <t>01341419</t>
  </si>
  <si>
    <t>ZEGARRA FUENTES PEDRO ABEL</t>
  </si>
  <si>
    <t>44067318</t>
  </si>
  <si>
    <t>ARIAS FERNANDEZ LUIS ALFREDO</t>
  </si>
  <si>
    <t>OPERADOR DE MAQUINA INDUSTRIAL</t>
  </si>
  <si>
    <t>04743154</t>
  </si>
  <si>
    <t>FLORES CORDOVA TEODORO ROYSER</t>
  </si>
  <si>
    <t>46612533</t>
  </si>
  <si>
    <t>HANCO BONIFACIO EDI LUZ</t>
  </si>
  <si>
    <t>SECRETARIA</t>
  </si>
  <si>
    <t>29429357</t>
  </si>
  <si>
    <t>ACO LAJO FANNY SILVANA</t>
  </si>
  <si>
    <t>29281191</t>
  </si>
  <si>
    <t>AVALOS SUCLLA PATRICIA JANETTE</t>
  </si>
  <si>
    <t>42513449</t>
  </si>
  <si>
    <t>CACERES CORDOVA CARLA ALEJANDRA</t>
  </si>
  <si>
    <t>29263273</t>
  </si>
  <si>
    <t>CACERES QUISPE ROSARIO GRACIELA</t>
  </si>
  <si>
    <t>42380979</t>
  </si>
  <si>
    <t>ESCARCENA QUISPE VICTOR PAUL</t>
  </si>
  <si>
    <t>42467382</t>
  </si>
  <si>
    <t>ESCARCINA QUISPE MARCELA</t>
  </si>
  <si>
    <t>42375046</t>
  </si>
  <si>
    <t>GUTIERREZ VARGAS MARJIORE MILAGROS</t>
  </si>
  <si>
    <t>42955371</t>
  </si>
  <si>
    <t>PICARDO CASTILLO JAVIER ENRIQUE</t>
  </si>
  <si>
    <t>42168277</t>
  </si>
  <si>
    <t>PUMACAYO PUÑO EDWARD WALTER</t>
  </si>
  <si>
    <t>41427425</t>
  </si>
  <si>
    <t>RETAMOZO ENRIQUEZ PERCY ALEXANDER</t>
  </si>
  <si>
    <t>45126929</t>
  </si>
  <si>
    <t>SALAS BEJARANO JULIO FRANCK</t>
  </si>
  <si>
    <t>29633610</t>
  </si>
  <si>
    <t>SALAZAR CARNERO JOSE ALFREDO</t>
  </si>
  <si>
    <t>44181297</t>
  </si>
  <si>
    <t>VERONICA CHAMBI ANA SOFIA</t>
  </si>
  <si>
    <t>29735017</t>
  </si>
  <si>
    <t>YABAR CABRERA NELLY</t>
  </si>
  <si>
    <t>45518316</t>
  </si>
  <si>
    <t>ALVIZ LOPEZ JOHANNA MIREYA</t>
  </si>
  <si>
    <t>TECNICO EN ADQUISICIONES</t>
  </si>
  <si>
    <t>41013939</t>
  </si>
  <si>
    <t>MENDOZA ALFARO JOSE MANUEL</t>
  </si>
  <si>
    <t>43273469</t>
  </si>
  <si>
    <t>CHAVEZ CESPEDES MARIELA</t>
  </si>
  <si>
    <t>TECNICO EN ESTADISTICA</t>
  </si>
  <si>
    <t>40490338</t>
  </si>
  <si>
    <t>GALVEZ GUTIERREZ GINA GIOMARA</t>
  </si>
  <si>
    <t>29294026</t>
  </si>
  <si>
    <t>MEDINA NAIZA AMALIA BEATRIZ</t>
  </si>
  <si>
    <t>AUXILIAR ADMINISTRATIVO</t>
  </si>
  <si>
    <t>29731221</t>
  </si>
  <si>
    <t>MEDINA ZUÑIGA FLOR DE JESUS</t>
  </si>
  <si>
    <t>47736376</t>
  </si>
  <si>
    <t>GONZALES JIMENEZ CHRISTIAN CLEVER</t>
  </si>
  <si>
    <t>46591223</t>
  </si>
  <si>
    <t>DAZA VARGAS JAVIER ANDREE</t>
  </si>
  <si>
    <t>29543281</t>
  </si>
  <si>
    <t>ESCALANTE GUILLEN CARLOS LENY</t>
  </si>
  <si>
    <t>DIGITADOR(A)</t>
  </si>
  <si>
    <t>43213942</t>
  </si>
  <si>
    <t>CUEVA INUMA JANY</t>
  </si>
  <si>
    <t>29621645</t>
  </si>
  <si>
    <t>SALAS BEJAR DE CARPIO JESSICA YVONNE</t>
  </si>
  <si>
    <t>46050867</t>
  </si>
  <si>
    <t>MESTAS PARI YULI PETRI</t>
  </si>
  <si>
    <t>43612505</t>
  </si>
  <si>
    <t>CURSE CCANAHUIRE JACKELINE AURORA</t>
  </si>
  <si>
    <t>40396507</t>
  </si>
  <si>
    <t>MALLMA PRIETO LIBIA MARILU</t>
  </si>
  <si>
    <t>04432924</t>
  </si>
  <si>
    <t>ASENCIO FLORES RUTT IRENE</t>
  </si>
  <si>
    <t>AUXILIAR DE LIMPIEZA</t>
  </si>
  <si>
    <t>AUXILIAR ASISTENCIAL</t>
  </si>
  <si>
    <t>42457173</t>
  </si>
  <si>
    <t>ARQQUE MAMANI AYDE</t>
  </si>
  <si>
    <t>41514436</t>
  </si>
  <si>
    <t>CALCIN QUISPE GLORIA ANGELA</t>
  </si>
  <si>
    <t>45807052</t>
  </si>
  <si>
    <t>CARBAJAL PUMACAYO SUSAN SUGEY</t>
  </si>
  <si>
    <t>72439835</t>
  </si>
  <si>
    <t>PUMA ZEGARRA PAOLA ELIANA</t>
  </si>
  <si>
    <t>45640165</t>
  </si>
  <si>
    <t>NUÑEZ MAMANI KIMBERLY YESSENIA</t>
  </si>
  <si>
    <t>29629448</t>
  </si>
  <si>
    <t>LOAYZA TACO DE NEIRA SILVIA ROXANA</t>
  </si>
  <si>
    <t>45225645</t>
  </si>
  <si>
    <t>MANCHEGO RAMOS KRYSTEL MARIEL</t>
  </si>
  <si>
    <t>42445564</t>
  </si>
  <si>
    <t>ALMANZA CHOQUE JACKELINE</t>
  </si>
  <si>
    <t>44721119</t>
  </si>
  <si>
    <t>PERALTILLA LIMA KATHERINE MAGDA</t>
  </si>
  <si>
    <t>44607030</t>
  </si>
  <si>
    <t>FLOREZ ARQUE ZORAYDA PATRICIA</t>
  </si>
  <si>
    <t>44887285</t>
  </si>
  <si>
    <t>LOPEZ VIZCARRA WENDY NATALIA</t>
  </si>
  <si>
    <t>40506400</t>
  </si>
  <si>
    <t>BOCANGEL FERNANDEZ CESAR DAVID</t>
  </si>
  <si>
    <t>43013501</t>
  </si>
  <si>
    <t>BENAVENTE TALAVERA SUSEL ALEJANDRA</t>
  </si>
  <si>
    <t>41147117</t>
  </si>
  <si>
    <t>HINOSTROZA YANAHUAYA JULIE MIRIAM</t>
  </si>
  <si>
    <t>41590437</t>
  </si>
  <si>
    <t>OCHARAN DIAZ BERLY JAIME</t>
  </si>
  <si>
    <t>45225641</t>
  </si>
  <si>
    <t>PEÑA SANTA CRUZ CLAUDIA ELIZABETH</t>
  </si>
  <si>
    <t>41930888</t>
  </si>
  <si>
    <t>URQUIZA PAZ EVELYN PAOLA AMALIA</t>
  </si>
  <si>
    <t>40587402</t>
  </si>
  <si>
    <t>PORTUGAL VELASQUEZ FRANZ PAUL</t>
  </si>
  <si>
    <t>29420395</t>
  </si>
  <si>
    <t>VENTURA AVILA MIGUEL</t>
  </si>
  <si>
    <t>40526863</t>
  </si>
  <si>
    <t>VELASQUEZ FERIA ANA FABIOLA</t>
  </si>
  <si>
    <t>MEDICO GASTROENTEROLOGO</t>
  </si>
  <si>
    <t>42127659</t>
  </si>
  <si>
    <t>PACHECO PONCE DE ZUÑIGA CARMEN DEL ROSARIO</t>
  </si>
  <si>
    <t>41761331</t>
  </si>
  <si>
    <t>ASILLO ÑAUPA YENY</t>
  </si>
  <si>
    <t>45369137</t>
  </si>
  <si>
    <t>BARRAGAN FLORES THAYRI JAMILETH</t>
  </si>
  <si>
    <t>41564836</t>
  </si>
  <si>
    <t>BARRIOS VELARDE GRASE YOLIZET</t>
  </si>
  <si>
    <t>29611040</t>
  </si>
  <si>
    <t>BEGAZO DE LA TORRE NADIA VERONICA</t>
  </si>
  <si>
    <t>22196504</t>
  </si>
  <si>
    <t>CACERES QUIJANDRIA ROSARIO DEL PILAR</t>
  </si>
  <si>
    <t>45292835</t>
  </si>
  <si>
    <t>CALCINO GALINDO SIHOMARA CLINIA</t>
  </si>
  <si>
    <t>43506889</t>
  </si>
  <si>
    <t>CARPIO CONCHA CHARLES BRONSON</t>
  </si>
  <si>
    <t>29646607</t>
  </si>
  <si>
    <t>CASTRO HANCCO FELIPA</t>
  </si>
  <si>
    <t>80281815</t>
  </si>
  <si>
    <t>FLORES BARRAZA MARIEL</t>
  </si>
  <si>
    <t>45494649</t>
  </si>
  <si>
    <t>GARAY ANCALLA SANDRA BALERYN</t>
  </si>
  <si>
    <t>43240889</t>
  </si>
  <si>
    <t>GUTIERREZ CHAVEZ JULIA VANESSA</t>
  </si>
  <si>
    <t>44008833</t>
  </si>
  <si>
    <t>HERRERA DIAZ KAREN PAMELA</t>
  </si>
  <si>
    <t>29643498</t>
  </si>
  <si>
    <t>HUACASI RUIZ MIRYAM ELVIRA</t>
  </si>
  <si>
    <t>43654992</t>
  </si>
  <si>
    <t>MONTOYA FERNANDEZ LUZ MARINA</t>
  </si>
  <si>
    <t>43107983</t>
  </si>
  <si>
    <t>OJEDA APAZA YULIANA MABEL</t>
  </si>
  <si>
    <t>46270627</t>
  </si>
  <si>
    <t>PAUCAR VALDIVIA KATHERIN YOHANA</t>
  </si>
  <si>
    <t>43437298</t>
  </si>
  <si>
    <t>QUISPITUPAC ROMAN LIZETH ELENA</t>
  </si>
  <si>
    <t>42966174</t>
  </si>
  <si>
    <t>RAMOS GOMEZ MASSHIEL</t>
  </si>
  <si>
    <t>42830643</t>
  </si>
  <si>
    <t>REVILLA ANCASI MAGALY SHIRLEY</t>
  </si>
  <si>
    <t>46013821</t>
  </si>
  <si>
    <t>REVILLA HERACLES EVELYN PAMELA</t>
  </si>
  <si>
    <t>29723727</t>
  </si>
  <si>
    <t>REVILLA ZEVALLOS ERIKA LUPE</t>
  </si>
  <si>
    <t>70041551</t>
  </si>
  <si>
    <t>SARMIENTO CHURA GINA LIZETH</t>
  </si>
  <si>
    <t>45207842</t>
  </si>
  <si>
    <t>TAPIA HERRERA KATIA</t>
  </si>
  <si>
    <t>44142460</t>
  </si>
  <si>
    <t>VILCA VILLANUEVA EVELYN PAOLA</t>
  </si>
  <si>
    <t>45609169</t>
  </si>
  <si>
    <t>LEON URQUIZO ENRIQUE ALONSO</t>
  </si>
  <si>
    <t>ARTESANO</t>
  </si>
  <si>
    <t>42908035</t>
  </si>
  <si>
    <t>LLANLLAYA YNGA YUBER</t>
  </si>
  <si>
    <t>29674635</t>
  </si>
  <si>
    <t>ROMAN LLICA AGUSTIN EDWING</t>
  </si>
  <si>
    <t>43546996</t>
  </si>
  <si>
    <t>HILARIO CRUZ MIGUEL YSIDRO</t>
  </si>
  <si>
    <t>ELECTRICISTA</t>
  </si>
  <si>
    <t>29333783</t>
  </si>
  <si>
    <t>ZEVALLOS ARAUJO EBER JESUS</t>
  </si>
  <si>
    <t>41285617</t>
  </si>
  <si>
    <t>MAYTA CHOQUE HERMINIA</t>
  </si>
  <si>
    <t>OPERADOR DE EQUIPO MEDICO</t>
  </si>
  <si>
    <t>30960767</t>
  </si>
  <si>
    <t>RODRIGUEZ NUÑEZ ERIKA BENITA</t>
  </si>
  <si>
    <t>29272131</t>
  </si>
  <si>
    <t>GONZALES ORTIZ ISIDRO ESTEBAN</t>
  </si>
  <si>
    <t>29683670</t>
  </si>
  <si>
    <t>ARAPA CALLATA VICTOR RAUL</t>
  </si>
  <si>
    <t>SEGURIDAD INTERNA</t>
  </si>
  <si>
    <t>07158952</t>
  </si>
  <si>
    <t>BARRIONUEVO TORRES JUAN PERCY</t>
  </si>
  <si>
    <t>29696509</t>
  </si>
  <si>
    <t>CARPIO FUENTES VICTOR CLAUDIO</t>
  </si>
  <si>
    <t>29563128</t>
  </si>
  <si>
    <t>MACHICAO VALVERDE RENE IVAN</t>
  </si>
  <si>
    <t>29646083</t>
  </si>
  <si>
    <t>PANCA CABRERA CARLOS FRANKLIN</t>
  </si>
  <si>
    <t>29547238</t>
  </si>
  <si>
    <t>TEJADA TEJADA RICHARD DAVID</t>
  </si>
  <si>
    <t>28997344</t>
  </si>
  <si>
    <t>ARONE GASPAR SELEDONIO BETO</t>
  </si>
  <si>
    <t>40728003</t>
  </si>
  <si>
    <t>CHAMPI PECCALAICO JULIA</t>
  </si>
  <si>
    <t>42126319</t>
  </si>
  <si>
    <t>COILLO JAYO ELIZABETH NELLY</t>
  </si>
  <si>
    <t>29650372</t>
  </si>
  <si>
    <t>DEL CARPIO VALDEZ JESSIKA MAGNOLIA</t>
  </si>
  <si>
    <t>44899012</t>
  </si>
  <si>
    <t>ESCOBAR QUISPE FELICITAS LOURDES</t>
  </si>
  <si>
    <t>42577379</t>
  </si>
  <si>
    <t>HUALLPA MAMANI CARMELA</t>
  </si>
  <si>
    <t>29734101</t>
  </si>
  <si>
    <t>HUAYCHO LUPINTA LEONARDA EUSEBIA</t>
  </si>
  <si>
    <t>43237562</t>
  </si>
  <si>
    <t>INCAHUANACO HALLASI ALBERTO PERCY</t>
  </si>
  <si>
    <t>44966410</t>
  </si>
  <si>
    <t>INFANTE UNTIVEROS TANIA</t>
  </si>
  <si>
    <t>47622552</t>
  </si>
  <si>
    <t>LEQQUE MAMANI MARLUBE MARITZA</t>
  </si>
  <si>
    <t>80517913</t>
  </si>
  <si>
    <t>LLAMOCA QUISPE JULIA BENILDA</t>
  </si>
  <si>
    <t>40582390</t>
  </si>
  <si>
    <t>LUQUE QUINA JUDITH SABINA</t>
  </si>
  <si>
    <t>46384366</t>
  </si>
  <si>
    <t>MAMANI QUILLA MERARDO YONY</t>
  </si>
  <si>
    <t>29620987</t>
  </si>
  <si>
    <t>MENDOZA RETAMOZO ELIANA VICENTINA</t>
  </si>
  <si>
    <t>29644827</t>
  </si>
  <si>
    <t>MUJO COSIO ROSA CECILIA</t>
  </si>
  <si>
    <t>29721763</t>
  </si>
  <si>
    <t>PATRICIO ANCO GIOVANNA ELSA</t>
  </si>
  <si>
    <t>46293774</t>
  </si>
  <si>
    <t>PILCO FLORES MAGALI OFELIA</t>
  </si>
  <si>
    <t>46095153</t>
  </si>
  <si>
    <t>QUISPE MANOTUPA BERNARDINA</t>
  </si>
  <si>
    <t>41100270</t>
  </si>
  <si>
    <t>RODRIGUEZ CONDORI JESSICA MARGARITA</t>
  </si>
  <si>
    <t>41918442</t>
  </si>
  <si>
    <t>SANCHEZ SALAS VERONICA FLOR</t>
  </si>
  <si>
    <t>41448208</t>
  </si>
  <si>
    <t>SEGOVIA TAMAYO ROSARIO JUDITH</t>
  </si>
  <si>
    <t>42887426</t>
  </si>
  <si>
    <t>VALERIANO VALERIANO ANYELA GINA</t>
  </si>
  <si>
    <t>47817808</t>
  </si>
  <si>
    <t>VERA ACERO LILA NOELY</t>
  </si>
  <si>
    <t>40634854</t>
  </si>
  <si>
    <t>ALMONTE CARDENAS MICHAEL ELMER</t>
  </si>
  <si>
    <t>TECNICO EN NUTRICION</t>
  </si>
  <si>
    <t>42776216</t>
  </si>
  <si>
    <t>LLANOS LIMACHE EDUARDO RICARDO</t>
  </si>
  <si>
    <t>TECNICO EN SEGURIDAD</t>
  </si>
  <si>
    <t>44655358</t>
  </si>
  <si>
    <t>TEVEZ LIMACHE ALDO FABRICIO</t>
  </si>
  <si>
    <t>41100285</t>
  </si>
  <si>
    <t>YUCRA MORON SUHAN LEONARDO</t>
  </si>
  <si>
    <t>29284034</t>
  </si>
  <si>
    <t>BELLIDO XXX MARTHA</t>
  </si>
  <si>
    <t>SUPERVISOR CONSERVACION Y SERV</t>
  </si>
  <si>
    <t>40292564</t>
  </si>
  <si>
    <t>CALCINA CALCINA CLEMENTE</t>
  </si>
  <si>
    <t>AUXILIAR DE ARTESANIA</t>
  </si>
  <si>
    <t>29737750</t>
  </si>
  <si>
    <t>LANDA HUACASI JULIO</t>
  </si>
  <si>
    <t>42961436</t>
  </si>
  <si>
    <t>ORTIZ PINEDA JORGE ALFREDO</t>
  </si>
  <si>
    <t>29370230</t>
  </si>
  <si>
    <t>CASTRO CHAMBI JESUS RUBEN</t>
  </si>
  <si>
    <t>GASFITERO</t>
  </si>
  <si>
    <t>29571006</t>
  </si>
  <si>
    <t>ALMONTE ALMANZA JEANETTE DAISY</t>
  </si>
  <si>
    <t>TRABAJADOR DE SERVICIO</t>
  </si>
  <si>
    <t>41092831</t>
  </si>
  <si>
    <t>ALVAREZ MAMANI JOSE ANTONIO</t>
  </si>
  <si>
    <t>46713493</t>
  </si>
  <si>
    <t>APAZA CONZA HUGO ANTONIO</t>
  </si>
  <si>
    <t>45948210</t>
  </si>
  <si>
    <t>APAZA CONZA RUDY FROILAN</t>
  </si>
  <si>
    <t>42134431</t>
  </si>
  <si>
    <t>ARONI GUEVARA ERMELINDA YOLANDA</t>
  </si>
  <si>
    <t>43990281</t>
  </si>
  <si>
    <t>BORDA HUAMANI FRIDA SOLEDAD</t>
  </si>
  <si>
    <t>10188413</t>
  </si>
  <si>
    <t>BORDA HUAMANI VILMA CELINA</t>
  </si>
  <si>
    <t>29611536</t>
  </si>
  <si>
    <t>BORNAZ WOLGANG GIOVANNA BEATRIZ</t>
  </si>
  <si>
    <t>73985418</t>
  </si>
  <si>
    <t>CACERES AGUILAR HILARY</t>
  </si>
  <si>
    <t>46105569</t>
  </si>
  <si>
    <t>CAHUINA ALARCON IRMA</t>
  </si>
  <si>
    <t>29704815</t>
  </si>
  <si>
    <t>CASTILLO BARRA NELLY PATRICIA</t>
  </si>
  <si>
    <t>30850757</t>
  </si>
  <si>
    <t>CAYLLAHUA LAGUNA BETTY GRICELDA</t>
  </si>
  <si>
    <t>43000668</t>
  </si>
  <si>
    <t>CAYLLAHUA LAGUNA CINDY FLORA</t>
  </si>
  <si>
    <t>29666525</t>
  </si>
  <si>
    <t>CAYLLAHUA LAGUNA ZENOVIA BERNARDINA</t>
  </si>
  <si>
    <t>41103318</t>
  </si>
  <si>
    <t>CHITE ARIAS ANGELICA KARINA</t>
  </si>
  <si>
    <t>41029429</t>
  </si>
  <si>
    <t>COAGUILA QUISPE SOLEDAD CLEOFE</t>
  </si>
  <si>
    <t>40994403</t>
  </si>
  <si>
    <t>DIAZ CHAHUASONCCO MONICA</t>
  </si>
  <si>
    <t>29655828</t>
  </si>
  <si>
    <t>HINOSTROSA CARCASI NELLY SUSANA</t>
  </si>
  <si>
    <t>29471987</t>
  </si>
  <si>
    <t>HUACO TORRES LEDA YANET</t>
  </si>
  <si>
    <t>29363234</t>
  </si>
  <si>
    <t>KARI CONDORI NESTOR ENRIQUE</t>
  </si>
  <si>
    <t>24886217</t>
  </si>
  <si>
    <t>LLAIQUE PILA JAIME BASILIO</t>
  </si>
  <si>
    <t>41352045</t>
  </si>
  <si>
    <t>MAYTA MAMANI ALICIA</t>
  </si>
  <si>
    <t>29540851</t>
  </si>
  <si>
    <t>PACUALA PAUCARA ERIKA NORMA</t>
  </si>
  <si>
    <t>29403247</t>
  </si>
  <si>
    <t>PARQUE APAZA FELIPE NERY</t>
  </si>
  <si>
    <t>04733416</t>
  </si>
  <si>
    <t>PEREZ PANIAGUA JULIA FRANCISCA</t>
  </si>
  <si>
    <t>29602349</t>
  </si>
  <si>
    <t>PILCO ZARATE VIRGINIA LUCILA</t>
  </si>
  <si>
    <t>42883333</t>
  </si>
  <si>
    <t>PINTO CAMPOS ITALO GONZALO</t>
  </si>
  <si>
    <t>42597682</t>
  </si>
  <si>
    <t>QUISPE ZUÑIGA NATALI</t>
  </si>
  <si>
    <t>41137397</t>
  </si>
  <si>
    <t>RAMOS NUÑEZ ROCIO CELINDA</t>
  </si>
  <si>
    <t>44188008</t>
  </si>
  <si>
    <t>RODRIGUEZ MELGAR ALVARO GIOVANNI</t>
  </si>
  <si>
    <t>41280466</t>
  </si>
  <si>
    <t>SALAZAR CHUQUITAYPE ANAEL</t>
  </si>
  <si>
    <t>41016886</t>
  </si>
  <si>
    <t>SILUPU DEL CARPIO DIANA YASMIN</t>
  </si>
  <si>
    <t>45628637</t>
  </si>
  <si>
    <t>TICONA QUISPE EDER ALEJANDRO</t>
  </si>
  <si>
    <t>40280842</t>
  </si>
  <si>
    <t>YAPU HILPA CARMEN JULIA</t>
  </si>
  <si>
    <t>29558863</t>
  </si>
  <si>
    <t>ZAPATA CHOQUE AMPARO GENOVEVA</t>
  </si>
  <si>
    <t>29570107</t>
  </si>
  <si>
    <t>TOHALINO MEZA ANTONY GUSTAVO</t>
  </si>
  <si>
    <t>DIRECTOR ADJUNTO</t>
  </si>
  <si>
    <t>SUB DIRECTOR</t>
  </si>
  <si>
    <t>42538369</t>
  </si>
  <si>
    <t>ARAPA CHOQUE MARCELA YNES</t>
  </si>
  <si>
    <t>29721000</t>
  </si>
  <si>
    <t>BECERRA VELARDE EDWIN ORLANDO</t>
  </si>
  <si>
    <t>72210033</t>
  </si>
  <si>
    <t>BEDREGAL TICONA MELISSA MILAGROS</t>
  </si>
  <si>
    <t>72892581</t>
  </si>
  <si>
    <t>CACERES SUICO NATHALY MARIA</t>
  </si>
  <si>
    <t>29590372</t>
  </si>
  <si>
    <t>CARRERA BEDOYA LOURDES AMPARO</t>
  </si>
  <si>
    <t>04642486</t>
  </si>
  <si>
    <t>CONCHA AMESQUITA GERARDO ANTONIO</t>
  </si>
  <si>
    <t>30960905</t>
  </si>
  <si>
    <t>CONDORI SUNI ROSA AIME</t>
  </si>
  <si>
    <t>43131088</t>
  </si>
  <si>
    <t>DIAZ TICONA ERIKA ROXANA</t>
  </si>
  <si>
    <t>29723790</t>
  </si>
  <si>
    <t>HERRERA CHOQUE LUCY JOICE</t>
  </si>
  <si>
    <t>40006909</t>
  </si>
  <si>
    <t>MARTINEZ MAMANI HANIA YESSICA</t>
  </si>
  <si>
    <t>29684019</t>
  </si>
  <si>
    <t>MOGROVEJO HERRERA JENNY ROXANA</t>
  </si>
  <si>
    <t>47181941</t>
  </si>
  <si>
    <t>MONZON CARDENAS CLAUDIA ARABELA</t>
  </si>
  <si>
    <t>29354689</t>
  </si>
  <si>
    <t>ORTEGA ACHATA DEYANIRA BETTY</t>
  </si>
  <si>
    <t>40309364</t>
  </si>
  <si>
    <t>OVIEDO RIVERA DILIA EDELMIRA</t>
  </si>
  <si>
    <t>29730665</t>
  </si>
  <si>
    <t>RAMOS SOLORZANO LELIA CELIA</t>
  </si>
  <si>
    <t>29704593</t>
  </si>
  <si>
    <t>REVILLA LLERENA HERMINIA PAULA</t>
  </si>
  <si>
    <t>40270349</t>
  </si>
  <si>
    <t>RODRIGUEZ VILLANUEVA EVELYN JULISSA</t>
  </si>
  <si>
    <t>30833422</t>
  </si>
  <si>
    <t>ROJAS CUBA ANA MARIA</t>
  </si>
  <si>
    <t>29606796</t>
  </si>
  <si>
    <t>ROMAN LLICA CESAR AUGUSTO</t>
  </si>
  <si>
    <t>42618229</t>
  </si>
  <si>
    <t>ROSAS PALOMINO ANGEL RICARDO</t>
  </si>
  <si>
    <t>44850619</t>
  </si>
  <si>
    <t>SANCHEZ DEL POZO NIKE STIVE</t>
  </si>
  <si>
    <t>29387112</t>
  </si>
  <si>
    <t>TORRES BARRIENTOS GLADYS ROXANA</t>
  </si>
  <si>
    <t>40238589</t>
  </si>
  <si>
    <t>VEGA RODRIGUEZ MARIA ELENA</t>
  </si>
  <si>
    <t>46423736</t>
  </si>
  <si>
    <t>CALLA SALAZAR DANNY WILLAM THADAZY</t>
  </si>
  <si>
    <t>70105116</t>
  </si>
  <si>
    <t>PAREDES ANAYA GIULIANA GUISELA</t>
  </si>
  <si>
    <t>29423162</t>
  </si>
  <si>
    <t>RAMOS ABARCA ROSA MARIA</t>
  </si>
  <si>
    <t>45623531</t>
  </si>
  <si>
    <t>BERNEDO ZEGARRA DE BUTRON YAJAIRA IBETH</t>
  </si>
  <si>
    <t>29546780</t>
  </si>
  <si>
    <t>GOMEZ CARPIO GOMEZ CARLINA SONIA</t>
  </si>
  <si>
    <t>41832471</t>
  </si>
  <si>
    <t>HUANCA VILCA AGUEDA VANESSA</t>
  </si>
  <si>
    <t>29719194</t>
  </si>
  <si>
    <t>QUENTA QUILLA ROCIO SOFIA</t>
  </si>
  <si>
    <t>46419407</t>
  </si>
  <si>
    <t>QUISPE MAMANI NELLY BENITA</t>
  </si>
  <si>
    <t>29312412</t>
  </si>
  <si>
    <t>VELASQUEZ MEZA LUISA MARIA DEL CARMEN</t>
  </si>
  <si>
    <t>42533570</t>
  </si>
  <si>
    <t>YUCRA CANDIA ROXANA MEDELINA</t>
  </si>
  <si>
    <t>42704852</t>
  </si>
  <si>
    <t>SEGALES SANTOS FREDDY JAVIER</t>
  </si>
  <si>
    <t>TECNICO EN INFORMATICA</t>
  </si>
  <si>
    <t>40574918</t>
  </si>
  <si>
    <t>NUÑEZ MEDINA DANIA KATHERINE</t>
  </si>
  <si>
    <t>AUXILAIRA ADMINISTRATIVO</t>
  </si>
  <si>
    <t>29711064</t>
  </si>
  <si>
    <t>ROMERO RODRIGUEZ SILVIA YSABEL</t>
  </si>
  <si>
    <t>0766  401</t>
  </si>
  <si>
    <t>LABOR ASISTENCIAL</t>
  </si>
  <si>
    <t>00431322</t>
  </si>
  <si>
    <t>AYALA FERNANDEZ MARCO ANTONIO</t>
  </si>
  <si>
    <t>OPERADOR PAD (TECNICO)</t>
  </si>
  <si>
    <t>01318186</t>
  </si>
  <si>
    <t>HANCO CRUZ RUTH</t>
  </si>
  <si>
    <t>TITULO</t>
  </si>
  <si>
    <t>01335570</t>
  </si>
  <si>
    <t>SUBIA QUISPE LEONARDO WILFREDO</t>
  </si>
  <si>
    <t>LABOR ADMINISTRATIVA</t>
  </si>
  <si>
    <t>04439624</t>
  </si>
  <si>
    <t>HERRERA CHEJO JUAN LUIS</t>
  </si>
  <si>
    <t>07501588</t>
  </si>
  <si>
    <t>KAMIMOTO RODRIGUEZ AUGUSTO MATSUEI</t>
  </si>
  <si>
    <t>09383277</t>
  </si>
  <si>
    <t>ESPINOZA ACERO ROY MARCELINO</t>
  </si>
  <si>
    <t>10428045</t>
  </si>
  <si>
    <t>ESTEBAN QUISPE EDGAR</t>
  </si>
  <si>
    <t>23988038</t>
  </si>
  <si>
    <t>ZEVALLOS MOLLEDA YESICA</t>
  </si>
  <si>
    <t>24813676</t>
  </si>
  <si>
    <t>SALCEDO CHAVEZ MARIA ISABEL</t>
  </si>
  <si>
    <t>25565767</t>
  </si>
  <si>
    <t>COCHON CASTILLO WALTER VICENTE</t>
  </si>
  <si>
    <t>29315831</t>
  </si>
  <si>
    <t>CHACON BARAZORDA FIDELIA</t>
  </si>
  <si>
    <t>29418981</t>
  </si>
  <si>
    <t>FERNANDEZ GUTIERREZ ROSA AZUCENA</t>
  </si>
  <si>
    <t>29480351</t>
  </si>
  <si>
    <t>BUTRON RODRIGUEZ YILMA NOLBINA</t>
  </si>
  <si>
    <t>29481864</t>
  </si>
  <si>
    <t>CCORI APAZA VILMA</t>
  </si>
  <si>
    <t>29500736</t>
  </si>
  <si>
    <t>MAMANI HUAYAPA ROSA NATI</t>
  </si>
  <si>
    <t>29546412</t>
  </si>
  <si>
    <t>ESCOBEDO VELASQUEZ MARIA VICTORIA</t>
  </si>
  <si>
    <t>NUTRICIONISTA</t>
  </si>
  <si>
    <t>29553897</t>
  </si>
  <si>
    <t>FIGUEROA NANCAY MARIA MERCEDES</t>
  </si>
  <si>
    <t>29561713</t>
  </si>
  <si>
    <t>TOVAR PINO ELIZABETH</t>
  </si>
  <si>
    <t>29585391</t>
  </si>
  <si>
    <t>SALINAS ALATRISTA JAIME OSWALDO</t>
  </si>
  <si>
    <t>29592719</t>
  </si>
  <si>
    <t>SALAZAR LAZO MIRTA MARIA</t>
  </si>
  <si>
    <t>29601605</t>
  </si>
  <si>
    <t>SALCEDO SALAS JANET ROCIO</t>
  </si>
  <si>
    <t>29605835</t>
  </si>
  <si>
    <t>NEIRA MESTAS CLARA MARIA</t>
  </si>
  <si>
    <t>29606347</t>
  </si>
  <si>
    <t>SARAZA CAHUANA SILVIA MONICA</t>
  </si>
  <si>
    <t>29626310</t>
  </si>
  <si>
    <t>ALVEZ RUIZ ERIKA ELIZABETH</t>
  </si>
  <si>
    <t>29635297</t>
  </si>
  <si>
    <t>VELA GOMEZ LUIS ALBERTO</t>
  </si>
  <si>
    <t>29652095</t>
  </si>
  <si>
    <t>MURILLO BEGAZO DANIEL BENJAMIN</t>
  </si>
  <si>
    <t>29652513</t>
  </si>
  <si>
    <t>ZEGARRA ZEGARRA KARIM VICTORIA</t>
  </si>
  <si>
    <t>29654943</t>
  </si>
  <si>
    <t>NEYRA BARRERA ERIKA LILIAN</t>
  </si>
  <si>
    <t>29658278</t>
  </si>
  <si>
    <t>CHAVEZ LOPEZ GINA IVONIA</t>
  </si>
  <si>
    <t>29664425</t>
  </si>
  <si>
    <t>RAMOS ALEJO URSULA GRACIELA</t>
  </si>
  <si>
    <t>29695533</t>
  </si>
  <si>
    <t>ESCOBEDO CALDERON EDDY JOE</t>
  </si>
  <si>
    <t>TECNICO EN COMPUTACION E INFOR</t>
  </si>
  <si>
    <t>29707057</t>
  </si>
  <si>
    <t>RECABARREN POSTIGO MARTIN</t>
  </si>
  <si>
    <t>29716419</t>
  </si>
  <si>
    <t>CUTIPA ROJAS AMPARO ROSARIO</t>
  </si>
  <si>
    <t>29717904</t>
  </si>
  <si>
    <t>ESCALANTE TORRES LADY ELIZABETH</t>
  </si>
  <si>
    <t>29719971</t>
  </si>
  <si>
    <t>ROQUE LENES SIMONA MARY</t>
  </si>
  <si>
    <t>29733907</t>
  </si>
  <si>
    <t>SUNI YUCRA ANA MARIA</t>
  </si>
  <si>
    <t>30858563</t>
  </si>
  <si>
    <t>GARCIA CONDORI BERTHA PAOLA</t>
  </si>
  <si>
    <t>40184735</t>
  </si>
  <si>
    <t>MERCADO MENDOZA VICTOR ARTURO</t>
  </si>
  <si>
    <t>40198752</t>
  </si>
  <si>
    <t>PARI SALAS JUAN CARLOS</t>
  </si>
  <si>
    <t>40350872</t>
  </si>
  <si>
    <t>CORRALES ALEGRE LUIS FERNANDO</t>
  </si>
  <si>
    <t>40366689</t>
  </si>
  <si>
    <t>RIVEROS PRADO ZARALY NOEMI</t>
  </si>
  <si>
    <t>40385481</t>
  </si>
  <si>
    <t>PINTO REINOSO PAUL HENRY</t>
  </si>
  <si>
    <t>40431150</t>
  </si>
  <si>
    <t>HANCCO HILARI NELIDA NATALIA</t>
  </si>
  <si>
    <t>40551726</t>
  </si>
  <si>
    <t>HANCCO APAZA OLGA MELISA</t>
  </si>
  <si>
    <t>40657240</t>
  </si>
  <si>
    <t>CCAÑA YAURI LUISA</t>
  </si>
  <si>
    <t>40736571</t>
  </si>
  <si>
    <t>JIMENEZ CALLATA KARINA MARIBEL</t>
  </si>
  <si>
    <t>40800071</t>
  </si>
  <si>
    <t>APARICIO LOAIZA GARDENIA</t>
  </si>
  <si>
    <t>41009425</t>
  </si>
  <si>
    <t>QUISPE SOLIS MARGARITA LOURDES</t>
  </si>
  <si>
    <t>41041269</t>
  </si>
  <si>
    <t>ZUÑIGA VELASQUEZ LISSET AMBAR</t>
  </si>
  <si>
    <t>41071308</t>
  </si>
  <si>
    <t>HUAYAPA AGUILAR YULET LILIANA</t>
  </si>
  <si>
    <t>41189510</t>
  </si>
  <si>
    <t>CARBAJAL GUZMAN MANUEL MAURO</t>
  </si>
  <si>
    <t>41190306</t>
  </si>
  <si>
    <t>AGUIRRE GUTIERREZ LILLY FLOR DE MARIA</t>
  </si>
  <si>
    <t>41235697</t>
  </si>
  <si>
    <t>CUNO MEDINA LOURDES GIULIANA</t>
  </si>
  <si>
    <t>41258035</t>
  </si>
  <si>
    <t>CHUQUIPALLA ZAMALLOA MARIBEL HILDA</t>
  </si>
  <si>
    <t>MEDICO PSIQUIATRA</t>
  </si>
  <si>
    <t>41326944</t>
  </si>
  <si>
    <t>ROMERO JACOBO CARLOS ANDRES</t>
  </si>
  <si>
    <t>41377842</t>
  </si>
  <si>
    <t>MIRANDA HERENCIA JIMMY ANIBAL</t>
  </si>
  <si>
    <t>41443266</t>
  </si>
  <si>
    <t>CORRALES PINO ELIZABETH</t>
  </si>
  <si>
    <t>TECNICO COMPUTACION  INFORMATI</t>
  </si>
  <si>
    <t>41538375</t>
  </si>
  <si>
    <t>NEIRA MESTAS ERICKA MARIA</t>
  </si>
  <si>
    <t>41540310</t>
  </si>
  <si>
    <t>LOPEZ CORNEJO LUIS ANGEL</t>
  </si>
  <si>
    <t>41544119</t>
  </si>
  <si>
    <t>BENAVENTE CANO ANGEL ENRIQUE</t>
  </si>
  <si>
    <t>41580412</t>
  </si>
  <si>
    <t>CCAMA CEREZO LUZ MARINA</t>
  </si>
  <si>
    <t>41593401</t>
  </si>
  <si>
    <t>CANO GALLEGOS GIANNINA FRANCESSCA</t>
  </si>
  <si>
    <t>BIOLOGO(A)</t>
  </si>
  <si>
    <t>41611325</t>
  </si>
  <si>
    <t>REVILLA ABRIGO MIRELLA ALICIA</t>
  </si>
  <si>
    <t>41650743</t>
  </si>
  <si>
    <t>FUENTES CARRILLO JUAN ALBERTO</t>
  </si>
  <si>
    <t>ESPEC. EN AUDICION Y LENGUAJE</t>
  </si>
  <si>
    <t>41663957</t>
  </si>
  <si>
    <t>PINTO PORTUGAL JOSE ROBERTO</t>
  </si>
  <si>
    <t>41827574</t>
  </si>
  <si>
    <t>DIAZ CHIPANA LIZETH VANESSA</t>
  </si>
  <si>
    <t>41834002</t>
  </si>
  <si>
    <t>CARRERA CARDENAS ALEXANDRA VERONICA</t>
  </si>
  <si>
    <t>41953440</t>
  </si>
  <si>
    <t>DAVILA ALVAREZ DARWIN JONATHAN</t>
  </si>
  <si>
    <t>42118016</t>
  </si>
  <si>
    <t>QUISPE APAZA PAOLA AMELIA</t>
  </si>
  <si>
    <t>42235218</t>
  </si>
  <si>
    <t>FONSECA CCALLUCO JOSE LUIS</t>
  </si>
  <si>
    <t>42299391</t>
  </si>
  <si>
    <t>ZEA APAZA ELSA</t>
  </si>
  <si>
    <t>42430721</t>
  </si>
  <si>
    <t>SALAS ACHIRCANA TEOFILO</t>
  </si>
  <si>
    <t>42497530</t>
  </si>
  <si>
    <t>SALAS CHOQUE MARIBEL EUGENIA</t>
  </si>
  <si>
    <t>42691320</t>
  </si>
  <si>
    <t>ZEGARRA MARQUINA JOSE ALONSO</t>
  </si>
  <si>
    <t>42776210</t>
  </si>
  <si>
    <t>TACO QUISPE DANNY EMANUEL</t>
  </si>
  <si>
    <t>42783022</t>
  </si>
  <si>
    <t>ALVAREZ HUANCA DE DIAZ MARIA DENISSE</t>
  </si>
  <si>
    <t>42851972</t>
  </si>
  <si>
    <t>VEGA CHOQUEHUANCA MILTON</t>
  </si>
  <si>
    <t>43041051</t>
  </si>
  <si>
    <t>ZEGARRA CHAVEZ KAROLINA YOLANDA</t>
  </si>
  <si>
    <t>43069231</t>
  </si>
  <si>
    <t>MACCAPA MACHACA FELIPE</t>
  </si>
  <si>
    <t>43071315</t>
  </si>
  <si>
    <t>PERLACIO QUISPE MAGALY LUCIA</t>
  </si>
  <si>
    <t>43073820</t>
  </si>
  <si>
    <t>MEZA MARTINEZ GRACIELA JUANA</t>
  </si>
  <si>
    <t>43291827</t>
  </si>
  <si>
    <t>GONZALES VALDIVIA LESLIE NATALIE</t>
  </si>
  <si>
    <t>43300229</t>
  </si>
  <si>
    <t>CALLO MANRIQUE LILIANA</t>
  </si>
  <si>
    <t>43351854</t>
  </si>
  <si>
    <t>HANCCO FLORES MARY LUZ MONICA</t>
  </si>
  <si>
    <t>43387431</t>
  </si>
  <si>
    <t>PONCE CHOQUE RITA AMPARO</t>
  </si>
  <si>
    <t>43412860</t>
  </si>
  <si>
    <t>CANO MEDINA GIANCARLO ALEXIS</t>
  </si>
  <si>
    <t>43448807</t>
  </si>
  <si>
    <t>LLAVILLA ACROTA ELIZABETH</t>
  </si>
  <si>
    <t>43502649</t>
  </si>
  <si>
    <t>YAÑEZ ROMANI ANGELA ROSARIO</t>
  </si>
  <si>
    <t>43638417</t>
  </si>
  <si>
    <t>RODRIGUEZ TOVAR CATHERINE JOHANNA</t>
  </si>
  <si>
    <t>43714968</t>
  </si>
  <si>
    <t>RIVERA CASTILLO JACK ALBERT</t>
  </si>
  <si>
    <t>43816394</t>
  </si>
  <si>
    <t>BEGAZO SALAS GUSTAVO ALONZO</t>
  </si>
  <si>
    <t>43830875</t>
  </si>
  <si>
    <t>TICONA QUISOCALA GUILLERMINA</t>
  </si>
  <si>
    <t>43994058</t>
  </si>
  <si>
    <t>ARAMAYO HUSNAYO LUIS ENRIQUE</t>
  </si>
  <si>
    <t>44079519</t>
  </si>
  <si>
    <t>FUENTES LOAIZA NADDIA EUGENIA</t>
  </si>
  <si>
    <t>44205435</t>
  </si>
  <si>
    <t>ROJAS SANZ CARMEN MARIA</t>
  </si>
  <si>
    <t>44261105</t>
  </si>
  <si>
    <t>MEDINA PACO DANITZA XIOMARA</t>
  </si>
  <si>
    <t>44286984</t>
  </si>
  <si>
    <t>YUCRA HUAMAN MARIA YSABEL</t>
  </si>
  <si>
    <t>44362785</t>
  </si>
  <si>
    <t>VALDEIGLESIAS HERNANI ANTHONY YRAN</t>
  </si>
  <si>
    <t>45135713</t>
  </si>
  <si>
    <t>MENDOZA UGARTE ANNY LOURDES</t>
  </si>
  <si>
    <t>45159834</t>
  </si>
  <si>
    <t>ALDAZABAL TORRES MARIA ALEJANDRA</t>
  </si>
  <si>
    <t>45340176</t>
  </si>
  <si>
    <t>QUISPE CHARAJA VERONICA DEL ROSARIO</t>
  </si>
  <si>
    <t>45375147</t>
  </si>
  <si>
    <t>ESCALANTE ORDOÑEZ ANGELA MARIA</t>
  </si>
  <si>
    <t>45527789</t>
  </si>
  <si>
    <t>LARICO FLORES ADELAIDA ELISA</t>
  </si>
  <si>
    <t>45789308</t>
  </si>
  <si>
    <t>PALMA QUENTA BRIGITTE MAYRA</t>
  </si>
  <si>
    <t>46061129</t>
  </si>
  <si>
    <t>TACO PURGUAYA MARIA CONCEPCION</t>
  </si>
  <si>
    <t>46082500</t>
  </si>
  <si>
    <t>MAQUERHUA ARIAS CINTHIA GRABIELA</t>
  </si>
  <si>
    <t>46486405</t>
  </si>
  <si>
    <t>CUENTAS QUISPECONDORI AARON JOEL</t>
  </si>
  <si>
    <t>47160412</t>
  </si>
  <si>
    <t>HUAMANGUILLAS CHAMPI RUTH MERY</t>
  </si>
  <si>
    <t>70431794</t>
  </si>
  <si>
    <t>ABANTO ESTRADA GIOVANA DEL PILAR</t>
  </si>
  <si>
    <t>71597290</t>
  </si>
  <si>
    <t>COAGUILA GUZMAN DUVIXSA ARALI</t>
  </si>
  <si>
    <t>EGRESADO</t>
  </si>
  <si>
    <t>72233294</t>
  </si>
  <si>
    <t>GARCIA BAUTISTA NAIDI</t>
  </si>
  <si>
    <t>80312620</t>
  </si>
  <si>
    <t>JAÑO LUNA JESUS ELEUTERIO</t>
  </si>
  <si>
    <t>80315291</t>
  </si>
  <si>
    <t>CCALLATA ARIZACA JUAN ALBERTO</t>
  </si>
  <si>
    <t>29227879</t>
  </si>
  <si>
    <t>OPORTO VARGAS MIRTA NELIDA</t>
  </si>
  <si>
    <t>DIRECTOR EJECUTIVO</t>
  </si>
  <si>
    <t>45562381</t>
  </si>
  <si>
    <t>RAMOS SMITH FRANK LUIS</t>
  </si>
  <si>
    <t>29653835</t>
  </si>
  <si>
    <t>TOVAR PINO FREDDY</t>
  </si>
  <si>
    <t>72177547</t>
  </si>
  <si>
    <t>JORDAN ALATRISTA PERCY JAMIR</t>
  </si>
  <si>
    <t>45239469</t>
  </si>
  <si>
    <t>TORO VALENCIA MADELEY LINDA</t>
  </si>
  <si>
    <t>46334133</t>
  </si>
  <si>
    <t>ZEVALLOS RIVEROS JORGE DAVID</t>
  </si>
  <si>
    <t>46763166</t>
  </si>
  <si>
    <t>ARIAS APAZA FIORELLA LIZETH</t>
  </si>
  <si>
    <t>29655418</t>
  </si>
  <si>
    <t>ZUÑIGA GONZALES ADA PILAR</t>
  </si>
  <si>
    <t>ESPECIALISTA ADMINISTRATIVO</t>
  </si>
  <si>
    <t>45520722</t>
  </si>
  <si>
    <t>ARAGON MAMANI RONALD BALDOMERO</t>
  </si>
  <si>
    <t>46754661</t>
  </si>
  <si>
    <t>RAMIREZ PAUCAR KEVIN ARNOLD</t>
  </si>
  <si>
    <t>46266472</t>
  </si>
  <si>
    <t>VALENCIA YUCRA CARLOS RICARDO</t>
  </si>
  <si>
    <t>29376916</t>
  </si>
  <si>
    <t>CHAVEZ OCHOA DANIEL ERNESTO</t>
  </si>
  <si>
    <t>72463045</t>
  </si>
  <si>
    <t>DEL CARPIO PORTUGAL LETICIA SHIOMARA</t>
  </si>
  <si>
    <t>41037451</t>
  </si>
  <si>
    <t>GALLEGOS ANGULO ISRAEL REIS</t>
  </si>
  <si>
    <t>29559131</t>
  </si>
  <si>
    <t>HERMOZA VARGAS SHEILA MILUZKA</t>
  </si>
  <si>
    <t>42152030</t>
  </si>
  <si>
    <t>LEANDERAS RODRIGUEZ EDWARD ELIEZER</t>
  </si>
  <si>
    <t>62756417</t>
  </si>
  <si>
    <t>ARMEJO PALACIOS FELIPE</t>
  </si>
  <si>
    <t>44597153</t>
  </si>
  <si>
    <t>CUEVAS MAYTA EDSON RENE</t>
  </si>
  <si>
    <t>02291071</t>
  </si>
  <si>
    <t>CHOQUEHUAYTA CCOA MARIA</t>
  </si>
  <si>
    <t>29419882</t>
  </si>
  <si>
    <t>VILCAPE HUAHUALA CARMEN</t>
  </si>
  <si>
    <t>SANIZ LLAVILLA ALFREDO LINO</t>
  </si>
  <si>
    <t>TORRES PANDO JESUS</t>
  </si>
  <si>
    <t>ANCO LLASA CINTHIA KARINA</t>
  </si>
  <si>
    <t>BEDREGAL CRUZ ALBERT</t>
  </si>
  <si>
    <t>TECNICO EN RADIOLOGIA</t>
  </si>
  <si>
    <t>BEGAZO VELASQUEZ CLAUDIA CAROLINA</t>
  </si>
  <si>
    <t>CHOQUE SANCHEZ AMPARO</t>
  </si>
  <si>
    <t>CRUZ BUSTAMANTE LIDIA AURORA</t>
  </si>
  <si>
    <t>CRUZ QUISPE JANET BETTY</t>
  </si>
  <si>
    <t>ESTEBA FLORES LOURDES BETZABET</t>
  </si>
  <si>
    <t>GUILLEN BALDARRAGO MILAGROS GLADYS</t>
  </si>
  <si>
    <t>HILAQUITA QUISPE SOFIA VALERIA</t>
  </si>
  <si>
    <t>HUARSAYA HUARSAYA JEANETH</t>
  </si>
  <si>
    <t>HUILLCA APAZA JOSE MIGUEL</t>
  </si>
  <si>
    <t>JUSTO CERVANTES ANGELA PATRICIA</t>
  </si>
  <si>
    <t>LIZARRAGA QUISPE EVELYN DANITZA</t>
  </si>
  <si>
    <t>LUQUE SALAZAR MAGALY MILAGROS</t>
  </si>
  <si>
    <t>MAMANI CUBA SILVIA JEANETH</t>
  </si>
  <si>
    <t>MOLINA FLORES GIOVANA ANNETTE</t>
  </si>
  <si>
    <t>MORA LOPEZ CRISTIAN CARLOS</t>
  </si>
  <si>
    <t>MORALES DIAZ LOURDES MILAGROS</t>
  </si>
  <si>
    <t>PACHECO HOLZ ESTEFANIA MARGOT</t>
  </si>
  <si>
    <t>PALOMINO CISNEROS KARELIA</t>
  </si>
  <si>
    <t>PAMO HERRERA CLAUDIA ESPERANZA</t>
  </si>
  <si>
    <t>PARICELA CACERES REGINA ISABEL</t>
  </si>
  <si>
    <t>QUISPE YNQUILLA HUGO FERNANDO</t>
  </si>
  <si>
    <t>SANTOS FLORES DIGNA CRISTINA</t>
  </si>
  <si>
    <t>MEDICO CENARUE</t>
  </si>
  <si>
    <t>TEJADA PINTO CESAR LEONARDO</t>
  </si>
  <si>
    <t>TORRES LAZARTE ROSMERY URSULA</t>
  </si>
  <si>
    <t>URDAY ARAMAYO JESSICA MAGNOLIA</t>
  </si>
  <si>
    <t>ZEBALLOS VILLALOBOS MAY-LING PAOLA</t>
  </si>
  <si>
    <t>ZUÐIGA VILCA PAMELA IRIS</t>
  </si>
  <si>
    <t>ANCO HERRERA DAVID MARIANO</t>
  </si>
  <si>
    <t>AÑAMURO QUISPE RISENIA PAOLA</t>
  </si>
  <si>
    <t>COA LOPEZ LUZ YOVANNA</t>
  </si>
  <si>
    <t>ESCALANTE PAREDES ELIZABETH LIDA</t>
  </si>
  <si>
    <t>HANCCO CCUNO MARIO OCTAVIO</t>
  </si>
  <si>
    <t>HERRERA VILLANUEVA PALMIRA FORTUNATA</t>
  </si>
  <si>
    <t>LEON CCONSILLA ROSARIO</t>
  </si>
  <si>
    <t>AUXILIAR DE NUTRICION</t>
  </si>
  <si>
    <t>MAMANI QUISPE JUAN CARLOS</t>
  </si>
  <si>
    <t>MANRIQUE ALMENARA GABRIELA SOFIA</t>
  </si>
  <si>
    <t>MOLINA VEGA MARTIN ALEXANDER</t>
  </si>
  <si>
    <t>TECNICO AUXILIAR DE LABORATORI</t>
  </si>
  <si>
    <t>PUMA ALVAREZ RUTH MARY</t>
  </si>
  <si>
    <t>SUPERVISOR TECNICO</t>
  </si>
  <si>
    <t>QUISPE JIMENEZ FELICITAS FORTUNATA</t>
  </si>
  <si>
    <t>RAMOS AQUISE RITA DELMIRA</t>
  </si>
  <si>
    <t>RIVERA ACOSTA ANGELICA DANIELA</t>
  </si>
  <si>
    <t>SALINAS LEIVA GIULIANA FANY</t>
  </si>
  <si>
    <t>TONE GOMEZ PATRICIA</t>
  </si>
  <si>
    <t>ACERO SERRANO MIDWAR WILLIAM</t>
  </si>
  <si>
    <t>ACHIRCANA PAREDES FANNY SUSANA</t>
  </si>
  <si>
    <t>ALARCON VALDIVIA ELVIS MANUEL</t>
  </si>
  <si>
    <t>ALEMAN GUTIERREZ DENISSE LUCIA</t>
  </si>
  <si>
    <t>ANCO TORRES LIZ CAROLINA</t>
  </si>
  <si>
    <t>APAZA CONDO CANDY</t>
  </si>
  <si>
    <t>AQUINO SUCASACA SINDY RUTH</t>
  </si>
  <si>
    <t>ARANIBAR CACERES CINTYA GISSELA</t>
  </si>
  <si>
    <t>ARMENGOD CARDENAS CLAUDIA MARIA</t>
  </si>
  <si>
    <t>BENAVENTE CANO ENRIQUE ANTONIO</t>
  </si>
  <si>
    <t>BENAVENTE ZEGARRA MARIA DEL CARMEN</t>
  </si>
  <si>
    <t>BENDEZU PONCE ADRIANA CECILIA</t>
  </si>
  <si>
    <t>BENGOA URIZAR CLAUDIA PATRICIA</t>
  </si>
  <si>
    <t>BLANCO RAMOS BIIRNA RUTH</t>
  </si>
  <si>
    <t>BOBADILLA BERROCAL MARIA ELENA</t>
  </si>
  <si>
    <t>CABRERA HUAYLINOS VANESSA</t>
  </si>
  <si>
    <t>CACERES GUTIERREZ ANASUSAN TERE</t>
  </si>
  <si>
    <t>CAIRA MACHACA MERCEDES</t>
  </si>
  <si>
    <t>CAMINO SURCO KATHERIN MAGALI</t>
  </si>
  <si>
    <t>CANDIA MEDINA MILUSKA CAROLINA</t>
  </si>
  <si>
    <t>CARPIO DEL CARPIO JOHN DANIEL</t>
  </si>
  <si>
    <t>CARPIO GALVEZ BRENDA ISABEL</t>
  </si>
  <si>
    <t>CASTILLO MOREANO JHONNY JOSE</t>
  </si>
  <si>
    <t>CAYRO APAZA MARIBEL HEIDY</t>
  </si>
  <si>
    <t>CCORI CUTIPA NELLY</t>
  </si>
  <si>
    <t>CHALCO LLERENA SHEILA MARIA</t>
  </si>
  <si>
    <t>CHAMBI CANAZA WALTER HERNAN</t>
  </si>
  <si>
    <t>CHINO HERENCIA GLORIA FRANCISCA</t>
  </si>
  <si>
    <t>CHIPANA PAREDES WALTER ROLANDO</t>
  </si>
  <si>
    <t>CHOQUE QUISPE MELISSA MERY</t>
  </si>
  <si>
    <t>CHOQUEHUANCA HILASACA REMO EUCLIDES</t>
  </si>
  <si>
    <t>COAQUIRA CUSI ROSA</t>
  </si>
  <si>
    <t>CONDORI ADUVIRI ALICIA LAURA</t>
  </si>
  <si>
    <t>CONISLLA TEJADA MARIELA KATHERINE</t>
  </si>
  <si>
    <t>CORRALES ZAMATA MILUSKA</t>
  </si>
  <si>
    <t>DAVILA LAZO KAREN DORILA</t>
  </si>
  <si>
    <t>DIAZ MOLLEAPAZA ROXANA MAGDALENA</t>
  </si>
  <si>
    <t>DIAZ REINOSO ROSA MARYORI</t>
  </si>
  <si>
    <t>DIAZ ZARAUZ SONIA NELLY</t>
  </si>
  <si>
    <t>DONGO CHIRA RAHYSA</t>
  </si>
  <si>
    <t>ESCALANTE SALAS MARILIA DEL CARMEN</t>
  </si>
  <si>
    <t>ESQUIVEL FLORES LADY CRISTINA</t>
  </si>
  <si>
    <t>FARFAN PACHECO LUZ ALEJANDRA</t>
  </si>
  <si>
    <t>FARRO ANGELES PIARINA ROMMI</t>
  </si>
  <si>
    <t>FLORES ANGULO KARLA ESTEFANY</t>
  </si>
  <si>
    <t>FLORES CARPIO ERLINDA ELVIRA</t>
  </si>
  <si>
    <t>FLORES CHAVEZ SHARON YESENIA</t>
  </si>
  <si>
    <t>FLORES OJEDA MARIA DEL PILAR</t>
  </si>
  <si>
    <t>FUENTES ESQUIVEL MARIA DEL ROSARIO</t>
  </si>
  <si>
    <t>GALLEGOS GUILLEN CHARLES JOSEPH</t>
  </si>
  <si>
    <t>GALLEGOS POLANCO ROCIO PAOLA</t>
  </si>
  <si>
    <t>GIL SALAS PATRICIA XIMENA</t>
  </si>
  <si>
    <t>GIRALDO JIMENEZ ALDO JORDAN</t>
  </si>
  <si>
    <t>GOMEZ MACHACA NELY</t>
  </si>
  <si>
    <t>GONZALES VALDIVIA MARIE ALESSANDRA</t>
  </si>
  <si>
    <t>GUERRA YUPANQUI VERONICA FABIOLA</t>
  </si>
  <si>
    <t>GUILLEN HUANQUI MARTIE RAMON</t>
  </si>
  <si>
    <t>GUILLEN VIZCARRA KARLA PAMELA</t>
  </si>
  <si>
    <t>HINOJOSA DELGADO DE GARATE GIULIANA</t>
  </si>
  <si>
    <t>HINOJOSA OBANDO DIANA JULISSA</t>
  </si>
  <si>
    <t>HUAMANI ZEBALLOS GABY MARCELA</t>
  </si>
  <si>
    <t>HUANCA MENDOZA GLENDA</t>
  </si>
  <si>
    <t>JARA TERRAZAS IRIS JAIDY</t>
  </si>
  <si>
    <t>JOVE MAYTA YENCY</t>
  </si>
  <si>
    <t>LAZO CORZO YAMALI SOLANCHS</t>
  </si>
  <si>
    <t>LEON RAMOS YUBICA ALLISON</t>
  </si>
  <si>
    <t>LINARES LINARES DANIEL ALEXANDER</t>
  </si>
  <si>
    <t>LIZARME FERNANDEZ ELVA</t>
  </si>
  <si>
    <t>LLERENA CONCHA CARMEN GIZEL</t>
  </si>
  <si>
    <t>LOPEZ TICONA REYNALDO RAUL</t>
  </si>
  <si>
    <t>MACHACA BELLIDO KARINA ROCIO</t>
  </si>
  <si>
    <t>MACHICAO OLAZABAL FIORELLA NATALY</t>
  </si>
  <si>
    <t>MAMANI HUAMAN JOHANNY KATHERINE</t>
  </si>
  <si>
    <t>MANRIQUE MAMANI LIZETH EVELYN</t>
  </si>
  <si>
    <t>MARES TALAVERA CLAUDIA EMILIA</t>
  </si>
  <si>
    <t>MEDINA APAZA KATHERINE FIORELLA</t>
  </si>
  <si>
    <t>MEDINA BEJAR JOEL JESUS</t>
  </si>
  <si>
    <t>MEDINA VERA LADY ANGELICA</t>
  </si>
  <si>
    <t>MELGAR ALMIRON MERCEDES JULIANA</t>
  </si>
  <si>
    <t>MENDIZABAL MOROTE EDUARDO</t>
  </si>
  <si>
    <t>MERMA BARAZORDA YURY NABU</t>
  </si>
  <si>
    <t>MIRANDA GARCIA EDY FELIX</t>
  </si>
  <si>
    <t>MURILLO AYALA NOELIA DIDERET</t>
  </si>
  <si>
    <t>NEYRA MAMANI EVELIN FABIOLA</t>
  </si>
  <si>
    <t>NINA COAGUILA NELBA ANA</t>
  </si>
  <si>
    <t>NUÑEZ ROJAS ANA LUCIA</t>
  </si>
  <si>
    <t>ORDOÑO FERNANDEZ SADIE ANGELA</t>
  </si>
  <si>
    <t>PACHECO GOMEZ DE VIÑA ASTRY SOLLANG</t>
  </si>
  <si>
    <t>PACHECO ZUEL EDSON MARCOS</t>
  </si>
  <si>
    <t>PAREDES ACUÑA LESLIE</t>
  </si>
  <si>
    <t>PAREDES TICONA INES LUZMILA</t>
  </si>
  <si>
    <t>PARI TORRES ROMNY DANIEL</t>
  </si>
  <si>
    <t>PAZ GUILLEN PEDRO JAVIER</t>
  </si>
  <si>
    <t>PEDEMONTE RAMOS URSULA JUDITH</t>
  </si>
  <si>
    <t>PEREZ LOPINTA GLENDA MILAGROS</t>
  </si>
  <si>
    <t>PILCO APAZA JENNIFER DANILA</t>
  </si>
  <si>
    <t>POBLETE MENDOZA MARDELI AMALIA</t>
  </si>
  <si>
    <t>PORTILLA CUTIRE ELSA</t>
  </si>
  <si>
    <t>QUISPE ANCCASI JOSUE ISAAC</t>
  </si>
  <si>
    <t>QUISPE CHURAPA MARUJA</t>
  </si>
  <si>
    <t>QUISPE MAMANI GABRIELA OLGA</t>
  </si>
  <si>
    <t>RAMOS ALVAREZ MARIA ELENA</t>
  </si>
  <si>
    <t>RAMOS PACHECO ELIZABETH CONNIE</t>
  </si>
  <si>
    <t>REVILLA LAMPA DENISSE MAGALY</t>
  </si>
  <si>
    <t>RIVEROS JIHUAÑA SUSANA DE LOS ANGELES</t>
  </si>
  <si>
    <t>RODRIGO AGUILAR LIZ BETZABETH</t>
  </si>
  <si>
    <t>RODRIGUEZ HUISA JULY GRACIELA</t>
  </si>
  <si>
    <t>RODRIGUEZ RAMOS PATRICIA ROSARIO</t>
  </si>
  <si>
    <t>ROMAN MENESES RHAYSSA HADIYA</t>
  </si>
  <si>
    <t>RUBATTINO VELARDE FIORELLA RAQUEL</t>
  </si>
  <si>
    <t>RUIZ PACHECO MARIA ANGELA</t>
  </si>
  <si>
    <t>SALAS CERVANTES MARIA AMPARO</t>
  </si>
  <si>
    <t>SMITH BENAVIDES DE CORDOVA PAOLA CINTHYA</t>
  </si>
  <si>
    <t>SONCCO GUTIERREZ AURELIO</t>
  </si>
  <si>
    <t>SOTO ITURRIAGA ROMINA YAMELIT</t>
  </si>
  <si>
    <t>SUBIA LAZARTE JOSE MARIA</t>
  </si>
  <si>
    <t>TITO PATIÐO CHRISTIAN JONATHAN</t>
  </si>
  <si>
    <t>TORRES TAPIA CLAVER ARMANDO</t>
  </si>
  <si>
    <t>URQUIZO VILCA YOSIMAR GILBERT</t>
  </si>
  <si>
    <t>USCAMAYTA PEREZ EDITH CAMILA</t>
  </si>
  <si>
    <t>VALDIVIA SILVA ROSA</t>
  </si>
  <si>
    <t>VALERA CORNEJO RUBEN HUMBERTO</t>
  </si>
  <si>
    <t>VANEGAS QUISPE LIZBETH YANINA</t>
  </si>
  <si>
    <t>VASQUEZ BOLAÑOS CLAUDIA BEATRIZ</t>
  </si>
  <si>
    <t>VELASQUEZ ONQUE GUADALUPE DEL PILAR</t>
  </si>
  <si>
    <t>VILLANUEVA CARDENAS YERIXA XIMENA</t>
  </si>
  <si>
    <t>VIZCARRA VIZCARRA CRISTHIAN ADOLFO</t>
  </si>
  <si>
    <t>YAÑEZ CHOQUE GISEL VIRGINIA</t>
  </si>
  <si>
    <t>YEPEZ PACHECO YAMILY VERONICA</t>
  </si>
  <si>
    <t>YERBA VILCA FLOR YOLANDA</t>
  </si>
  <si>
    <t>ZELA PARILLO BETZABETH MILENA</t>
  </si>
  <si>
    <t>ZUZUNAGA IQUIAPAZA JOHANNA PAOLA</t>
  </si>
  <si>
    <t>ALIAGA MONRROY DEVORAH IDALIA</t>
  </si>
  <si>
    <t>ARAPA SALAS ANA CRISTINA</t>
  </si>
  <si>
    <t>AROQUIPA VELASQUEZ JHON ENRIQUE</t>
  </si>
  <si>
    <t>ARQQUE MACHACA MERY MAGDA</t>
  </si>
  <si>
    <t>ARRATIA GOMEL MILDER KATHERINE</t>
  </si>
  <si>
    <t>ARREDONDO ARREDONDO JOANA ANGELICA</t>
  </si>
  <si>
    <t>ASCUÑA RONDON ROLF JORGE</t>
  </si>
  <si>
    <t>BACA RAMOS PATRICIA HAYDEE</t>
  </si>
  <si>
    <t>BEJARANO VALDIVIA ERIBERTO WILTON</t>
  </si>
  <si>
    <t>BOLAÑOS SUMA AYDE</t>
  </si>
  <si>
    <t>CACERES CASTRO BETTY YOLANDA</t>
  </si>
  <si>
    <t>CALCINA FERNANDEZ DAYSI ROCIO</t>
  </si>
  <si>
    <t>CALCINA MEZA SILVIA ROXANA</t>
  </si>
  <si>
    <t>CAMA MACHACA MARIA DEL PILAR</t>
  </si>
  <si>
    <t>CARAZAS VALLE NORMA</t>
  </si>
  <si>
    <t>CARCAUSTO CUCHO ADOLFO</t>
  </si>
  <si>
    <t>CARPIO APAZA JAVIER GUILLERMO</t>
  </si>
  <si>
    <t>CARPIO ZELA JOSUE RANDY</t>
  </si>
  <si>
    <t>CASTRO BARRIOS JUDITH MARILU</t>
  </si>
  <si>
    <t>CCOYA CUBA SANDRA JANET</t>
  </si>
  <si>
    <t>CENTENO MONTAÑEZ REYNA ISABEL</t>
  </si>
  <si>
    <t>CERPA RODRIGUEZ CLAUDIA DANITZA</t>
  </si>
  <si>
    <t>CHAMBI BARRIONUEVO KARINA MILAGROS</t>
  </si>
  <si>
    <t>CHAMBI QUISPE LUZ MARGOTH</t>
  </si>
  <si>
    <t>CHAMBILLA VALERO MARIA INES</t>
  </si>
  <si>
    <t>CHOQUELUQUE MAMANI ROCIO VIRGINIA</t>
  </si>
  <si>
    <t>CHOQUETICO ARCE EFRAIN CARLOS</t>
  </si>
  <si>
    <t>CHUQUICONDOR RODRIGUEZ ELSA SANDRA</t>
  </si>
  <si>
    <t>CJUNO GONZALES VERONICA CARMEN</t>
  </si>
  <si>
    <t>COPARA LLANOS MARIELA ELIZABETH</t>
  </si>
  <si>
    <t>COSACANI CARBAJAL DE SURCO LUZ ROSARIO</t>
  </si>
  <si>
    <t>CRUZ CHAVEZ GIOVANNA FLOR DE MARIA</t>
  </si>
  <si>
    <t>ESCALANTE HUARACA YESSICA</t>
  </si>
  <si>
    <t>ESPINOZA DAZA FIORELLA BIANCA</t>
  </si>
  <si>
    <t>FLORES VILCA EDWIN</t>
  </si>
  <si>
    <t>GOMEZ ASCONA MILWAR VIDAL</t>
  </si>
  <si>
    <t>TECNICO OPERADOR DE EQUIPOS ME</t>
  </si>
  <si>
    <t>GONZALES CASTILLO JUDITH</t>
  </si>
  <si>
    <t>GONZALES CUENTAS JUAN CARLOS</t>
  </si>
  <si>
    <t>GUTIERREZ PILCO KATIA MERCY</t>
  </si>
  <si>
    <t>GUTIERREZ VILLEGAS YURY YESID</t>
  </si>
  <si>
    <t>GUZMAN DE LA TORRE GIANELLA DEL CARMEN</t>
  </si>
  <si>
    <t>HILASACA HANCCO JOHNNY JESUS</t>
  </si>
  <si>
    <t>HINOJOSA RAMIREZ TATIANA ELICENA</t>
  </si>
  <si>
    <t>HUANCA CUNO MARIA TERESA</t>
  </si>
  <si>
    <t>INFANTES DE APAZA VIANCA VANESSA</t>
  </si>
  <si>
    <t>JARA COA DALIA LAURA</t>
  </si>
  <si>
    <t>JIHUALLANCA MACEDO VERONICA</t>
  </si>
  <si>
    <t>LLAZA HUAMAN EVELYN GIULIANA</t>
  </si>
  <si>
    <t>LOPE HUAYLLANI ISABEL</t>
  </si>
  <si>
    <t>MALAGA VALDIVIA WALTER FABIAN</t>
  </si>
  <si>
    <t>MAMANI MAMANI LEONATO</t>
  </si>
  <si>
    <t>MAMANI QUEA NARCISO NOEL</t>
  </si>
  <si>
    <t>MAMANI TTURO JOSE LUIS</t>
  </si>
  <si>
    <t>MAMANI YUCRA YOLANDA</t>
  </si>
  <si>
    <t>MANCHEGO DE LA CRUZ MAYRA MILAGROS</t>
  </si>
  <si>
    <t>OBLITAS ALVAREZ HELBERT CHRISTIAN</t>
  </si>
  <si>
    <t>PACHECO ARAMBULO LYLIA LOURDES</t>
  </si>
  <si>
    <t>PALOMINO BURGOS ANTONIA HERMELINDA</t>
  </si>
  <si>
    <t>PAREDES QUISPE DARWIN JOSE</t>
  </si>
  <si>
    <t>PEREZ DUEÑAS INES VIOLETA</t>
  </si>
  <si>
    <t>PINTO CASTILLO DENISSE GUISELLA</t>
  </si>
  <si>
    <t>PORTILLA GUILLEN ROSEMARY</t>
  </si>
  <si>
    <t>PUMA LUQUE MARIA SOLEDAD</t>
  </si>
  <si>
    <t>PURACA ARPI CELIA MAYOMI</t>
  </si>
  <si>
    <t>QUILLI FERNANDEZ DANIEL ALEJANDRO</t>
  </si>
  <si>
    <t>QUISPE HUAMANI LEANDRA</t>
  </si>
  <si>
    <t>RODRIGUEZ CJUNO ROSA LIZBET</t>
  </si>
  <si>
    <t>RODRIGUEZ LIMACHI MARCELINO PEDRO</t>
  </si>
  <si>
    <t>TECNICO MECANICO</t>
  </si>
  <si>
    <t>ROMAN HANCCO NORMA CECILIA</t>
  </si>
  <si>
    <t>RUELAS JUSTO WILLIAN OSCAR</t>
  </si>
  <si>
    <t>RULES ANDRADE MARIA LOURDES</t>
  </si>
  <si>
    <t>RULES QUISPE MILAGROS MARICRUZ</t>
  </si>
  <si>
    <t>SALHUA ANCCASI FLORA</t>
  </si>
  <si>
    <t>SUCAPUCA QUISPE GIULIANA EDITH</t>
  </si>
  <si>
    <t>SUYO PRIETO FIORELLA NAYDU</t>
  </si>
  <si>
    <t>UBALDE MAMANI MISSHELL DEYHANIRA</t>
  </si>
  <si>
    <t>UGARTE VALDIVIA BRIGITTE KATHERINE</t>
  </si>
  <si>
    <t>VARGAS QUISPE ALEXIS GONZALO</t>
  </si>
  <si>
    <t>VERA PONCE IVAN NEVELCO</t>
  </si>
  <si>
    <t>VILCA QUISPE GENESIS LUCIA</t>
  </si>
  <si>
    <t>VILLAMARIN SILVA BIANCA ELIZABETH</t>
  </si>
  <si>
    <t>VILLENA MEDINA SUSAN SYLMA</t>
  </si>
  <si>
    <t>RECURSOS POR OPERACIONES OFICIALES DE CREDITO</t>
  </si>
  <si>
    <t>71992200</t>
  </si>
  <si>
    <t>42965853</t>
  </si>
  <si>
    <t>46940179</t>
  </si>
  <si>
    <t>29427770</t>
  </si>
  <si>
    <t>73898074</t>
  </si>
  <si>
    <t>42056451</t>
  </si>
  <si>
    <t>72682647</t>
  </si>
  <si>
    <t>43292130</t>
  </si>
  <si>
    <t>42951066</t>
  </si>
  <si>
    <t>44475672</t>
  </si>
  <si>
    <t>MARINO COLLADO JEAN PIERRE</t>
  </si>
  <si>
    <t>70365448</t>
  </si>
  <si>
    <t>45213796</t>
  </si>
  <si>
    <t>MAMANI MENDOZA ROCIO ARCELIA</t>
  </si>
  <si>
    <t>44027569</t>
  </si>
  <si>
    <t>01310839</t>
  </si>
  <si>
    <t>44168707</t>
  </si>
  <si>
    <t>AGUILAR CONSUELO ANA MARIELA</t>
  </si>
  <si>
    <t>45858456</t>
  </si>
  <si>
    <t>BERNAL SALAS ANALIZ CHRISTIEL</t>
  </si>
  <si>
    <t>46590582</t>
  </si>
  <si>
    <t>CAYRO GUTIERREZ YUVITZA FABIOLA</t>
  </si>
  <si>
    <t>47407536</t>
  </si>
  <si>
    <t>41280768</t>
  </si>
  <si>
    <t>CUBA CUTIRI ERICA</t>
  </si>
  <si>
    <t>71250631</t>
  </si>
  <si>
    <t>DIAZ HUAMANI CARLOS ENRIQUE</t>
  </si>
  <si>
    <t>73272606</t>
  </si>
  <si>
    <t>DURAND HANCO DANIEL JOSEPH</t>
  </si>
  <si>
    <t>43107998</t>
  </si>
  <si>
    <t>04433588</t>
  </si>
  <si>
    <t>FLORES QUENAYA VILMA JUDITH</t>
  </si>
  <si>
    <t>22099513</t>
  </si>
  <si>
    <t>GUILLEN CASTAÐEDA LUIS ALBERTO</t>
  </si>
  <si>
    <t>43024967</t>
  </si>
  <si>
    <t>JARA COA ZAIDA FIORELLA</t>
  </si>
  <si>
    <t>29354592</t>
  </si>
  <si>
    <t>43170583</t>
  </si>
  <si>
    <t>MORALES GONZALES CHRISTIAN RONALD</t>
  </si>
  <si>
    <t>29657051</t>
  </si>
  <si>
    <t>PINTO APAZA LUZ MARINA</t>
  </si>
  <si>
    <t>74225241</t>
  </si>
  <si>
    <t>QUISPE ANCASI MERCEDES</t>
  </si>
  <si>
    <t>29593938</t>
  </si>
  <si>
    <t>QUISPE CHACOLLA TERESA GUADALUPE</t>
  </si>
  <si>
    <t>73206073</t>
  </si>
  <si>
    <t>QUISPE ESPINOZA JOSE JOEL</t>
  </si>
  <si>
    <t>44601928</t>
  </si>
  <si>
    <t>QUISPE GOYCOCHEA ROSA AMERICA</t>
  </si>
  <si>
    <t>29724122</t>
  </si>
  <si>
    <t>QUISPE VARGAS NORMA</t>
  </si>
  <si>
    <t>61047811</t>
  </si>
  <si>
    <t>RIVERA SALINAS BRUNO JOSE</t>
  </si>
  <si>
    <t>72851682</t>
  </si>
  <si>
    <t>42646990</t>
  </si>
  <si>
    <t>72672848</t>
  </si>
  <si>
    <t>73026933</t>
  </si>
  <si>
    <t>VARGAS ZUÐIGA VARINIA CANDELARIA</t>
  </si>
  <si>
    <t>73078161</t>
  </si>
  <si>
    <t>OPORTO VARGAS MIRTHA NELIDA</t>
  </si>
  <si>
    <t xml:space="preserve">NU¥EZ ARAUJO CARLOS BORIS                    </t>
  </si>
  <si>
    <t xml:space="preserve">RUIZ DAZA EVELYN BEDITH                      </t>
  </si>
  <si>
    <t xml:space="preserve">PRADO CARPIO EDGARD PAUL                     </t>
  </si>
  <si>
    <t xml:space="preserve">ALEJO CHUQUITAYPE MINERVA                    </t>
  </si>
  <si>
    <t xml:space="preserve">DIAZ FLORES AGATON ANDRES                    </t>
  </si>
  <si>
    <t>INGENIERO EN HIGIENE Y SEGURID</t>
  </si>
  <si>
    <t xml:space="preserve">PUMA CONDORI SERGIO CARLOS                   </t>
  </si>
  <si>
    <t xml:space="preserve">MONTES GAMARRA CELLYN ADRIANA                </t>
  </si>
  <si>
    <t xml:space="preserve">SOTAYA GOMEZ ANN LIZBETH                     </t>
  </si>
  <si>
    <t>0768</t>
  </si>
  <si>
    <t>CAS REGULAR</t>
  </si>
  <si>
    <t>46203464</t>
  </si>
  <si>
    <t>MAVILA JANAMPA JULIO CESAR</t>
  </si>
  <si>
    <t>01</t>
  </si>
  <si>
    <t>12</t>
  </si>
  <si>
    <t>40489971</t>
  </si>
  <si>
    <t>CHAVEZ VIZCARRA YESSICA LEONOR</t>
  </si>
  <si>
    <t>TITULO TECNICO</t>
  </si>
  <si>
    <t>ADMINISTRATIVA</t>
  </si>
  <si>
    <t>43861091</t>
  </si>
  <si>
    <t>PUMA ANCO ELENA</t>
  </si>
  <si>
    <t>TECNICO SOPORTE INFORMATICO</t>
  </si>
  <si>
    <t>43418986</t>
  </si>
  <si>
    <t>DIAZ QUISPE JOSE MANUEL</t>
  </si>
  <si>
    <t>30427210</t>
  </si>
  <si>
    <t>LUPACA CARPIO FRANKLIN OBANDO</t>
  </si>
  <si>
    <t>PILOTO DE AMBULANCIA</t>
  </si>
  <si>
    <t>TECNICO TITULO</t>
  </si>
  <si>
    <t>30405583</t>
  </si>
  <si>
    <t>PINTO YABAR FAUSTO ALDO JESUS</t>
  </si>
  <si>
    <t>43223263</t>
  </si>
  <si>
    <t>CARPIO GUTIERREZ VICENTE MANUEL</t>
  </si>
  <si>
    <t>46773153</t>
  </si>
  <si>
    <t>GONZALES CATUNTA KATHERINE PAOLA</t>
  </si>
  <si>
    <t>45561466</t>
  </si>
  <si>
    <t>HANCCO BARREDA VANESSA</t>
  </si>
  <si>
    <t>70793531</t>
  </si>
  <si>
    <t>CHAMANA CARRASCO FLOR YURY</t>
  </si>
  <si>
    <t>45495498</t>
  </si>
  <si>
    <t>LEVANO MENDOZA REBECA MARICEL</t>
  </si>
  <si>
    <t>45861988</t>
  </si>
  <si>
    <t>NUÑEZ WALDE DANIELA SOLEDAD</t>
  </si>
  <si>
    <t>42854503</t>
  </si>
  <si>
    <t>REVILLA GRANDA HELEN MARIA</t>
  </si>
  <si>
    <t>44865802</t>
  </si>
  <si>
    <t>VALERA TAMAYO FREDERICK JOEL</t>
  </si>
  <si>
    <t>40551143</t>
  </si>
  <si>
    <t>HERRERA FLORES MONICA ELIZABETH</t>
  </si>
  <si>
    <t>40956256</t>
  </si>
  <si>
    <t>COLQUE BELLIDO SILVIA ROXANA</t>
  </si>
  <si>
    <t>71423595</t>
  </si>
  <si>
    <t>AVILA RODRIGUEZ ERICKSON GENARO</t>
  </si>
  <si>
    <t>40045376</t>
  </si>
  <si>
    <t>PIZARRO FUENTES VICTOR HERNAN</t>
  </si>
  <si>
    <t>44831621</t>
  </si>
  <si>
    <t>SIVINCHA SIHUINTA JOSE LUIS</t>
  </si>
  <si>
    <t>42664906</t>
  </si>
  <si>
    <t>CARPIO CHANINE CECILIA</t>
  </si>
  <si>
    <t>47272476</t>
  </si>
  <si>
    <t>MONTAÑEZ LOAYZA KATHERINE MERY</t>
  </si>
  <si>
    <t>42455051</t>
  </si>
  <si>
    <t>GOMEZ ALVAREZ DENYS ROCIO</t>
  </si>
  <si>
    <t>30834679</t>
  </si>
  <si>
    <t>BRICEÑO UGAZ ROSA LUZ</t>
  </si>
  <si>
    <t>46479135</t>
  </si>
  <si>
    <t>COILA AQUISE SANDY ESTEFANI</t>
  </si>
  <si>
    <t>45670095</t>
  </si>
  <si>
    <t>PUERTA CORI KRISTEL PAOLA</t>
  </si>
  <si>
    <t>72455375</t>
  </si>
  <si>
    <t>HUAMANI LLAZA DIANA CAROLINA KATTIXA</t>
  </si>
  <si>
    <t>41377670</t>
  </si>
  <si>
    <t>LEON TTITO EVERTSON AGUSTIN RICARDO</t>
  </si>
  <si>
    <t>70241698</t>
  </si>
  <si>
    <t>LOBON LIMA STEPHANIE ANANI</t>
  </si>
  <si>
    <t>30423875</t>
  </si>
  <si>
    <t>NICHO RAMIREZ CARLOS</t>
  </si>
  <si>
    <t>30431864</t>
  </si>
  <si>
    <t>PARI VILLENA ALEJANDRO OMAR</t>
  </si>
  <si>
    <t>70023295</t>
  </si>
  <si>
    <t>VALDIVIA MOSCOSO DAYANA GABRIELA</t>
  </si>
  <si>
    <t>46425363</t>
  </si>
  <si>
    <t>VARGAS SALAZAR KATIA JASMIN</t>
  </si>
  <si>
    <t>40449183</t>
  </si>
  <si>
    <t>BRICEÑO LEVANO FIORELLA YAHAYRA</t>
  </si>
  <si>
    <t>45075495</t>
  </si>
  <si>
    <t>CHOQUE AVILES ANA LUZ</t>
  </si>
  <si>
    <t>30424768</t>
  </si>
  <si>
    <t>COLQUEHUANCA PUMA DE SALAZAR LUZ MARY</t>
  </si>
  <si>
    <t>45656499</t>
  </si>
  <si>
    <t>EQUIÑO CHAVEZ IRENE EXMENA</t>
  </si>
  <si>
    <t>44123670</t>
  </si>
  <si>
    <t>GALLEGOS PORTUGAL FELIX ABEL</t>
  </si>
  <si>
    <t>43609180</t>
  </si>
  <si>
    <t>GRANDA MUÑOZ FIORELLA LIZETH</t>
  </si>
  <si>
    <t>47191366</t>
  </si>
  <si>
    <t>ILLANES QUISPE CANDY CLOTILDE</t>
  </si>
  <si>
    <t>43132419</t>
  </si>
  <si>
    <t>SOTELO SOTELO ELVIRA ANGELICA</t>
  </si>
  <si>
    <t>44797374</t>
  </si>
  <si>
    <t>VERA GRANDA YANAIRA ANGELICA</t>
  </si>
  <si>
    <t>42794381</t>
  </si>
  <si>
    <t>YAPO HUAMAN EDWIN MARTIN</t>
  </si>
  <si>
    <t>45930767</t>
  </si>
  <si>
    <t>ORTIZ FERNANDEZ MELCI RAQUEL DEL ROSARIO</t>
  </si>
  <si>
    <t>42104271</t>
  </si>
  <si>
    <t>VIZA VASQUEZ BLANCA MILAGROS</t>
  </si>
  <si>
    <t>30425322</t>
  </si>
  <si>
    <t>BUSTINZA JARA MILAGROS ASUNTA</t>
  </si>
  <si>
    <t>41039164</t>
  </si>
  <si>
    <t>MACHACA DELGADO YENY MARIBEL</t>
  </si>
  <si>
    <t>42488067</t>
  </si>
  <si>
    <t>NEYRA SALCEDO JORGE LUIS</t>
  </si>
  <si>
    <t>40743305</t>
  </si>
  <si>
    <t>SALAZAR HERRERA JOSE RENAU</t>
  </si>
  <si>
    <t>40259297</t>
  </si>
  <si>
    <t>GOMEZ GALLEGOS GLIZETH GLADYS</t>
  </si>
  <si>
    <t>45159881</t>
  </si>
  <si>
    <t>LIMACHE CHOQUE VERONICA</t>
  </si>
  <si>
    <t>46472296</t>
  </si>
  <si>
    <t>MAMANI HUAMANI PABLO CESAR</t>
  </si>
  <si>
    <t>41608344</t>
  </si>
  <si>
    <t>MOLLO YUPANQUI ALVARO DAVID</t>
  </si>
  <si>
    <t>80266495</t>
  </si>
  <si>
    <t>ORE CANALES WILLY ALEX</t>
  </si>
  <si>
    <t>42452510</t>
  </si>
  <si>
    <t>ROJAS HONDA ELIZABETH SOLEDAD</t>
  </si>
  <si>
    <t>41915507</t>
  </si>
  <si>
    <t>YAUCE SALAZAR JESSICA DAYANA</t>
  </si>
  <si>
    <t>47872502</t>
  </si>
  <si>
    <t>RAMOS CHAVEZ DENNIS HELBERT</t>
  </si>
  <si>
    <t>44351856</t>
  </si>
  <si>
    <t>MOLLO YAÑEZ MARTA VERONICA</t>
  </si>
  <si>
    <t>41608328</t>
  </si>
  <si>
    <t>PARDO ROSAS ELVIS JACINTO</t>
  </si>
  <si>
    <t>41225140</t>
  </si>
  <si>
    <t>GARATE APAZA OSWALDO EDWIN</t>
  </si>
  <si>
    <t>09085544</t>
  </si>
  <si>
    <t>RUIZ ROJAS RICARDO NESTOR</t>
  </si>
  <si>
    <t>42584708</t>
  </si>
  <si>
    <t>LLAMOCA VILLAR ODALIS YANET</t>
  </si>
  <si>
    <t>41222251</t>
  </si>
  <si>
    <t>HALLASI ARISACA NELY MARIA</t>
  </si>
  <si>
    <t>46184983</t>
  </si>
  <si>
    <t>MAMANI PERALTA GISELA</t>
  </si>
  <si>
    <t>45334344</t>
  </si>
  <si>
    <t>GUERRA SANCHEZ SULMA SENAIDA</t>
  </si>
  <si>
    <t>46220468</t>
  </si>
  <si>
    <t>PALACIOS VENTURA TATIANA YURIKO</t>
  </si>
  <si>
    <t>45506874</t>
  </si>
  <si>
    <t>VILLALOBOS ESPINOZA DIANA CANDELARIA</t>
  </si>
  <si>
    <t>41682624</t>
  </si>
  <si>
    <t>FERNANDEZ ANDIA NEYDEE ANTONIETA</t>
  </si>
  <si>
    <t>72742523</t>
  </si>
  <si>
    <t>SOLIS CHAVEZ MILAGROS SUJAY</t>
  </si>
  <si>
    <t>46486975</t>
  </si>
  <si>
    <t>VARGAS AGUILAR VANNESA NELLY</t>
  </si>
  <si>
    <t>43056442</t>
  </si>
  <si>
    <t>VASQUEZ FONTELA ALFONSO RENATO</t>
  </si>
  <si>
    <t>73011169</t>
  </si>
  <si>
    <t>DELGADO CRUCES JHOBER AGUSTIN</t>
  </si>
  <si>
    <t>30415780</t>
  </si>
  <si>
    <t>DONGO BASAURI CLAUDINA</t>
  </si>
  <si>
    <t>TECNICO CONTABLE</t>
  </si>
  <si>
    <t>76561048</t>
  </si>
  <si>
    <t>MAMANI HUAMANI KARELIA LIZZIE</t>
  </si>
  <si>
    <t>72521439</t>
  </si>
  <si>
    <t>EGUILUZ ROSAS YAJAIRA YASMIRA</t>
  </si>
  <si>
    <t>30430883</t>
  </si>
  <si>
    <t>SARAVIA TALAVERA MILAGROS SOLEDAD</t>
  </si>
  <si>
    <t>70927705</t>
  </si>
  <si>
    <t>SEJE BENAVENTE MARYCARMEN</t>
  </si>
  <si>
    <t>41425226</t>
  </si>
  <si>
    <t>GARCIA HILAZACA HAYDEE BETTY</t>
  </si>
  <si>
    <t>46852833</t>
  </si>
  <si>
    <t>SALAS CARNERO YADIRA ANALY</t>
  </si>
  <si>
    <t>71639725</t>
  </si>
  <si>
    <t>SURI YANQUI ANA PATRICIA</t>
  </si>
  <si>
    <t>43739412</t>
  </si>
  <si>
    <t>MAMANI MENDOZA MATILDE</t>
  </si>
  <si>
    <t>73273640</t>
  </si>
  <si>
    <t>MONTES DE OCA ARENAS PAOLA</t>
  </si>
  <si>
    <t>75844546</t>
  </si>
  <si>
    <t>SILVA BARREDA KELLY</t>
  </si>
  <si>
    <t>41320654</t>
  </si>
  <si>
    <t>YUGRA CARDENAS ANTONIO VITALIANO</t>
  </si>
  <si>
    <t>73197848</t>
  </si>
  <si>
    <t>GONZALES PALOMINO NADIA MARISELA</t>
  </si>
  <si>
    <t>43037085</t>
  </si>
  <si>
    <t>SUTTA HUARCA JOSE LUIS</t>
  </si>
  <si>
    <t>30408650</t>
  </si>
  <si>
    <t>ZUÑIGA MACHADO GILMA ELENA</t>
  </si>
  <si>
    <t>45210025</t>
  </si>
  <si>
    <t>RAZURI RUIZ OLGA MARIA</t>
  </si>
  <si>
    <t>45649006</t>
  </si>
  <si>
    <t>RODRIGUEZ . JOHANA GISELLA CARMEN</t>
  </si>
  <si>
    <t>47254798</t>
  </si>
  <si>
    <t>CAMPOS TRUJILLO YESSENIA ESTEFANY</t>
  </si>
  <si>
    <t>45208837</t>
  </si>
  <si>
    <t>ATAHUALPA HUARCA EDWARD SABINO</t>
  </si>
  <si>
    <t>72800123</t>
  </si>
  <si>
    <t>HUANCA DURAND MILDRED GIANNINA</t>
  </si>
  <si>
    <t>43049123</t>
  </si>
  <si>
    <t>MOLLOCAHUANA YANA YOLANDA</t>
  </si>
  <si>
    <t>41335480</t>
  </si>
  <si>
    <t>CACERES TALAVERA DAYANA KATHERINE</t>
  </si>
  <si>
    <t>29285201</t>
  </si>
  <si>
    <t>CARPIO VERA MARIA ELENA</t>
  </si>
  <si>
    <t>46627795</t>
  </si>
  <si>
    <t>LEONARDO HUAMANI LINDAURA SONIA</t>
  </si>
  <si>
    <t>71194130</t>
  </si>
  <si>
    <t>MARCOS LAZO CAMILA ALEJANDRA</t>
  </si>
  <si>
    <t>70198858</t>
  </si>
  <si>
    <t>ARRATIA HUAMAN MILIAM LIZBETH</t>
  </si>
  <si>
    <t>43390449</t>
  </si>
  <si>
    <t>CHAPARRO FALCON ALEXANDRA MERCEDES</t>
  </si>
  <si>
    <t>RECURSOS DIRECTAMENTE RECAUDADOS</t>
  </si>
  <si>
    <t>43140317</t>
  </si>
  <si>
    <t>ILACHOQUE KANA EVERTH EMILIANO</t>
  </si>
  <si>
    <t>73887138</t>
  </si>
  <si>
    <t>CONDO BENAVENTE ANTHONY KOSHUGUI</t>
  </si>
  <si>
    <t>46328349</t>
  </si>
  <si>
    <t>SALAS CANALES CRISTHIAN LUISIÑO</t>
  </si>
  <si>
    <t>47191408</t>
  </si>
  <si>
    <t>TAYPE YAURI LUZ ANGELICA</t>
  </si>
  <si>
    <t>43712684</t>
  </si>
  <si>
    <t>VILCHEZ LLAMOCA ALAN RAMON</t>
  </si>
  <si>
    <t>40635723</t>
  </si>
  <si>
    <t>BUSTINZA JARA MIRIAM LUZ</t>
  </si>
  <si>
    <t>41748625</t>
  </si>
  <si>
    <t>VALENCIA SUAREZ CYNTHIA EVELYN</t>
  </si>
  <si>
    <t>41748432</t>
  </si>
  <si>
    <t>BELTRAN VILLANUEVA CINTHIA RITA</t>
  </si>
  <si>
    <t>44510692</t>
  </si>
  <si>
    <t>ASTO ZELA DANIEL JOSE</t>
  </si>
  <si>
    <t>BACHILLER ADMINISTRACION</t>
  </si>
  <si>
    <t>45567401</t>
  </si>
  <si>
    <t>VALDEZ CLAVIJO MARTIN FERNANDO</t>
  </si>
  <si>
    <t>OPERACIONES OFICIALES DE CREDITO</t>
  </si>
  <si>
    <t>CAS COVID</t>
  </si>
  <si>
    <t>47215805</t>
  </si>
  <si>
    <t>PAREDES RAFAEL EVELIN ANDREA</t>
  </si>
  <si>
    <t>06</t>
  </si>
  <si>
    <t>09</t>
  </si>
  <si>
    <t>40068436</t>
  </si>
  <si>
    <t>ALLAIN VALDEZ MILAGROS</t>
  </si>
  <si>
    <t>42012514</t>
  </si>
  <si>
    <t>BARRIENTOS CENTENO MANUEL ANIBAL</t>
  </si>
  <si>
    <t>71125046</t>
  </si>
  <si>
    <t>CERVANTES NIETO JHON ALESSANDER</t>
  </si>
  <si>
    <t>45762984</t>
  </si>
  <si>
    <t>CHURA VELO EVERTH JUAN</t>
  </si>
  <si>
    <t>74301006</t>
  </si>
  <si>
    <t>ESPINOZA FLORES WALTER JOEL</t>
  </si>
  <si>
    <t>48190782</t>
  </si>
  <si>
    <t>IQUIAPAZA PERALTA FANNY GIOVANA</t>
  </si>
  <si>
    <t>30407383</t>
  </si>
  <si>
    <t>MEDINA ROSAS YLDEFONSO MANUEL</t>
  </si>
  <si>
    <t>43147731</t>
  </si>
  <si>
    <t>MOLINA MEZA RULO</t>
  </si>
  <si>
    <t>42549012</t>
  </si>
  <si>
    <t>PALOMINO CARBAJAL FABRICIO HUMBERTO</t>
  </si>
  <si>
    <t>71921818</t>
  </si>
  <si>
    <t>QUISPE FLORES CESAR LUIS</t>
  </si>
  <si>
    <t>41477427</t>
  </si>
  <si>
    <t>RANILLA PASTOR EDITH SUGHEY</t>
  </si>
  <si>
    <t>47918937</t>
  </si>
  <si>
    <t>SALAS CARNERO JAIRO OSNAR</t>
  </si>
  <si>
    <t>30426288</t>
  </si>
  <si>
    <t>SALAZAR CANO LEYDI CANDELARIA</t>
  </si>
  <si>
    <t>30425006</t>
  </si>
  <si>
    <t>TORRES SALAZAR DANTE ELIAS</t>
  </si>
  <si>
    <t>76431806</t>
  </si>
  <si>
    <t>ACO CAMINO GHEYNER ALBERTO</t>
  </si>
  <si>
    <t>77147254</t>
  </si>
  <si>
    <t>CATUNTA MONJE EDITH MARISOL</t>
  </si>
  <si>
    <t>60686645</t>
  </si>
  <si>
    <t>HUAYCHO RANILLA YUDY YENI</t>
  </si>
  <si>
    <t>45586535</t>
  </si>
  <si>
    <t>LAZARO RANILLA CARMEN ROSA</t>
  </si>
  <si>
    <t>44831619</t>
  </si>
  <si>
    <t>LAZARTE HUAMANI TANIA ELIZABETH</t>
  </si>
  <si>
    <t>46924154</t>
  </si>
  <si>
    <t>MANRIQUE HUAYHUA CLARISA MELINA</t>
  </si>
  <si>
    <t>40937468</t>
  </si>
  <si>
    <t>MAYER SALAS JACQUELINE ROSSI</t>
  </si>
  <si>
    <t>30431822</t>
  </si>
  <si>
    <t>PINTO CHAVEZ FLORA MARILYN</t>
  </si>
  <si>
    <t>42346719</t>
  </si>
  <si>
    <t>PONCE TACO EZTER MONICA</t>
  </si>
  <si>
    <t>43993544</t>
  </si>
  <si>
    <t>ROMERO MAMANI YOVANA MICAELA</t>
  </si>
  <si>
    <t>42452509</t>
  </si>
  <si>
    <t>SALAS HERRERA NIVIA LORENA</t>
  </si>
  <si>
    <t>29531119</t>
  </si>
  <si>
    <t>SANCHEZ DE LA CRUZ JENNY ROXANA</t>
  </si>
  <si>
    <t>30407677</t>
  </si>
  <si>
    <t>VERA CUTIPA JOSE LUIS</t>
  </si>
  <si>
    <t>TECNICO ELECTRONICO</t>
  </si>
  <si>
    <t>44819835</t>
  </si>
  <si>
    <t>YANA VILCA CARMEN TANIA</t>
  </si>
  <si>
    <t>47570804</t>
  </si>
  <si>
    <t>CACERES PILARES WILLY WILSON</t>
  </si>
  <si>
    <t>41105584</t>
  </si>
  <si>
    <t>LOPEZ CESPEDES JACK WILDER</t>
  </si>
  <si>
    <t>44606947</t>
  </si>
  <si>
    <t>NINA CUTIPA MARCOS MARTIN</t>
  </si>
  <si>
    <t>42489194</t>
  </si>
  <si>
    <t>APAZA MAMANI MARIA LUCY</t>
  </si>
  <si>
    <t>71690227</t>
  </si>
  <si>
    <t>ARAGON BERLANGA DIANA LIZ</t>
  </si>
  <si>
    <t>43597724</t>
  </si>
  <si>
    <t>AYALA TUERO JUDITH MARGARET</t>
  </si>
  <si>
    <t>70842537</t>
  </si>
  <si>
    <t>CORDOVA GAMBOA CARLA STEFFANY</t>
  </si>
  <si>
    <t>47181906</t>
  </si>
  <si>
    <t>FLORES ALVAREZ DALIA PAMELA</t>
  </si>
  <si>
    <t>45699216</t>
  </si>
  <si>
    <t>LIZARRAGA CONTRERAS ESMILDA MARIBEL</t>
  </si>
  <si>
    <t>29662296</t>
  </si>
  <si>
    <t>LLERENA JAUREGUI RENZO ALEXANDER</t>
  </si>
  <si>
    <t>46950331</t>
  </si>
  <si>
    <t>PAREDES SALAZAR MIKE GREGORY</t>
  </si>
  <si>
    <t>45808253</t>
  </si>
  <si>
    <t>QUISPE BUSTINZA DARELLY LUZ</t>
  </si>
  <si>
    <t>72650221</t>
  </si>
  <si>
    <t>ROMAN CORONADO RITA YESSENIA</t>
  </si>
  <si>
    <t>45079743</t>
  </si>
  <si>
    <t>VEGA MEDINA YESSENIA ZERELY</t>
  </si>
  <si>
    <t>70553356</t>
  </si>
  <si>
    <t>VIZA VASQUEZ CARMEN LIZETH</t>
  </si>
  <si>
    <t>70750935</t>
  </si>
  <si>
    <t>ALVA JARA PEDRO MARCELO</t>
  </si>
  <si>
    <t>71624712</t>
  </si>
  <si>
    <t>AMAO VALLE KAREN MILAGROS</t>
  </si>
  <si>
    <t>44856109</t>
  </si>
  <si>
    <t>CACERES COLQUEHUANCA JUAN JOSE</t>
  </si>
  <si>
    <t>73669018</t>
  </si>
  <si>
    <t>CAHUAPAZA CHURASACARI YOORK WINDER</t>
  </si>
  <si>
    <t>74023455</t>
  </si>
  <si>
    <t>PALOMINO CUTIRI IVEET MILAGROS</t>
  </si>
  <si>
    <t>41009407</t>
  </si>
  <si>
    <t>RAMIREZ PANIAGUA FABIOLA ERISH</t>
  </si>
  <si>
    <t>71408338</t>
  </si>
  <si>
    <t>ALVARADO FERNANDEZ ANA LUZ</t>
  </si>
  <si>
    <t>70174352</t>
  </si>
  <si>
    <t>HUILLCA MENDOZA KATHERINE MILAGROS</t>
  </si>
  <si>
    <t>70511601</t>
  </si>
  <si>
    <t>VALDIVIA BUSTINZA MILAGROS ANALUCIA</t>
  </si>
  <si>
    <t>47313746</t>
  </si>
  <si>
    <t>NEYRA PALOMINO YVAN LUIS</t>
  </si>
  <si>
    <t>46934231</t>
  </si>
  <si>
    <t>TORO VALENCIA MIREYA ELIZABETH</t>
  </si>
  <si>
    <t>72851656</t>
  </si>
  <si>
    <t>TORRES JARA PAMELA MELANIE</t>
  </si>
  <si>
    <t>41990130</t>
  </si>
  <si>
    <t>REVILLA HUARACHA ANA MARIA</t>
  </si>
  <si>
    <t>43175345</t>
  </si>
  <si>
    <t>HUAYNA RAMIREZ MARY YSABEL</t>
  </si>
  <si>
    <t>42745776</t>
  </si>
  <si>
    <t>APFATA CHACO WALTER ALFREDO</t>
  </si>
  <si>
    <t xml:space="preserve">TITULO PROFESIONAL </t>
  </si>
  <si>
    <t>40597613</t>
  </si>
  <si>
    <t>JARA MAMANI ALBERTO</t>
  </si>
  <si>
    <t>44644723</t>
  </si>
  <si>
    <t>SISA ASTACI ANDREA MILAGROS</t>
  </si>
  <si>
    <t>42127137</t>
  </si>
  <si>
    <t>SALAS MORALES GONZALO AUGUSTO</t>
  </si>
  <si>
    <t>29404928</t>
  </si>
  <si>
    <t>QUISPE MAMANI ROBERTO HERMILIO</t>
  </si>
  <si>
    <t>40889305</t>
  </si>
  <si>
    <t>LLERENA CALDERON EZEQUIEL LUIS</t>
  </si>
  <si>
    <t>04</t>
  </si>
  <si>
    <t>44935236</t>
  </si>
  <si>
    <t>ALVARADO LLERENA IMELDA ZUGEY</t>
  </si>
  <si>
    <t>76769361</t>
  </si>
  <si>
    <t>ANCO ZURCO ELIZABETH FLOR DE MARGARITA</t>
  </si>
  <si>
    <t>41785667</t>
  </si>
  <si>
    <t>CANAZA PAUCARA MARCELINO</t>
  </si>
  <si>
    <t>45895676</t>
  </si>
  <si>
    <t>CHUQUIMIA VARGAS ANTHONY POLL</t>
  </si>
  <si>
    <t>80261814</t>
  </si>
  <si>
    <t>DEZA ARISMENDI KATHERINE SOFIA</t>
  </si>
  <si>
    <t>40713249</t>
  </si>
  <si>
    <t>GUTIERREZ MOLINA JOICE NOEDIG</t>
  </si>
  <si>
    <t>02693576</t>
  </si>
  <si>
    <t>PAREJO MATA JULIAN ANTONIO</t>
  </si>
  <si>
    <t>72198239</t>
  </si>
  <si>
    <t>QUISPE GUZMAN ANTONIO ALEXIS</t>
  </si>
  <si>
    <t>41512638</t>
  </si>
  <si>
    <t>RODRIGUEZ SOLIS ANITA LIZETH</t>
  </si>
  <si>
    <t>70805690</t>
  </si>
  <si>
    <t>SAAVEDRA SALAZAR KENJO CESAR</t>
  </si>
  <si>
    <t>42068516</t>
  </si>
  <si>
    <t>AMORIN SALAZAR MAGALLI GLORIA</t>
  </si>
  <si>
    <t>75617989</t>
  </si>
  <si>
    <t>CESPEDES AYAMAMANI GLENDA ALEXANDRA</t>
  </si>
  <si>
    <t>72118926</t>
  </si>
  <si>
    <t>DIAZ RAMOS KRIZIA JAHAYDA</t>
  </si>
  <si>
    <t>45831003</t>
  </si>
  <si>
    <t>GORDILLO NIETO PAOLA YULISSA</t>
  </si>
  <si>
    <t>42684582</t>
  </si>
  <si>
    <t>LLAZA FUNES MONICA MAYRA</t>
  </si>
  <si>
    <t>46080004</t>
  </si>
  <si>
    <t>PALACIOS DELGADO BETSY PAOLA</t>
  </si>
  <si>
    <t>43028024</t>
  </si>
  <si>
    <t>QUISPE SANCHEZ VANESSA JANEY</t>
  </si>
  <si>
    <t>46603578</t>
  </si>
  <si>
    <t>ROMERO PURHUAYA FIORELA GIOVANNA</t>
  </si>
  <si>
    <t>46559035</t>
  </si>
  <si>
    <t>ZAMUDIO CACERES DENIS YODALIA</t>
  </si>
  <si>
    <t>47489517</t>
  </si>
  <si>
    <t>ORTIZ BUSTAMANTE EMILY ESTEFANY</t>
  </si>
  <si>
    <t>45898007</t>
  </si>
  <si>
    <t>COLQQUE TTITO YOVANA</t>
  </si>
  <si>
    <t>75275851</t>
  </si>
  <si>
    <t>COLQUEHUANCA TANTALEAN SARA ELIZABETH</t>
  </si>
  <si>
    <t>70348777</t>
  </si>
  <si>
    <t>NINASIVINCHA MENDOZA FIORELA VICKY</t>
  </si>
  <si>
    <t>71921795</t>
  </si>
  <si>
    <t>QUEVEDO ABARCA FRYDA ZARELA</t>
  </si>
  <si>
    <t>72872000</t>
  </si>
  <si>
    <t>RAMOS HALANOCA ROSA LUZ VANESA</t>
  </si>
  <si>
    <t>70514230</t>
  </si>
  <si>
    <t>TORREBLANCA CAHUANA CINDY ARIANA</t>
  </si>
  <si>
    <t>46699214</t>
  </si>
  <si>
    <t>ZAMUDIO CANALES PRISCILLA MISHAN</t>
  </si>
  <si>
    <t>70664368</t>
  </si>
  <si>
    <t>ZUÑIGA ANCO OLENKA ALEXANDRA</t>
  </si>
  <si>
    <t>73770970</t>
  </si>
  <si>
    <t>ARAUJO LOAYZA LEYDI SAYDA</t>
  </si>
  <si>
    <t>70765581</t>
  </si>
  <si>
    <t>CONDORI CALCINA LEIBNIZ STALIN</t>
  </si>
  <si>
    <t>46625357</t>
  </si>
  <si>
    <t>IDME CALDERON ROMEL BRYANTH</t>
  </si>
  <si>
    <t>72213054</t>
  </si>
  <si>
    <t>LOAYZA TORRES CRISTIAN GIANMARCO</t>
  </si>
  <si>
    <t>76375618</t>
  </si>
  <si>
    <t>TORRES SUMARI ANA SOL PAOLA</t>
  </si>
  <si>
    <t>74216905</t>
  </si>
  <si>
    <t>VELASQUEZ CHIPANA KEWIN JUBERHT</t>
  </si>
  <si>
    <t>47112352</t>
  </si>
  <si>
    <t>ZUÑIGA CORDOVA YELSI MILAGROS</t>
  </si>
  <si>
    <t>42497563</t>
  </si>
  <si>
    <t>MAMANI QUISPEPACHARI DE MORENO CLAUDIA</t>
  </si>
  <si>
    <t>45216807</t>
  </si>
  <si>
    <t>RAMOS NUÑEZ JONATHAN FELIX</t>
  </si>
  <si>
    <t>47181832</t>
  </si>
  <si>
    <t>ANCO QUICANA MIGUEL ANGEL</t>
  </si>
  <si>
    <t>40184160</t>
  </si>
  <si>
    <t>PALOMINO CONDO YONY HENRRY</t>
  </si>
  <si>
    <t>75904273</t>
  </si>
  <si>
    <t>APAZA HURTADO DEYSI DEL PILAR</t>
  </si>
  <si>
    <t>74038335</t>
  </si>
  <si>
    <t>ARIAS DIAZ DIANA ELIZABETH</t>
  </si>
  <si>
    <t>72039926</t>
  </si>
  <si>
    <t>FLORES CHIRINOS STEPHANY ANDREA CAROLINA</t>
  </si>
  <si>
    <t>48816723</t>
  </si>
  <si>
    <t>LUQUE MAMANI MIRIAM GUADALUPE</t>
  </si>
  <si>
    <t>47400548</t>
  </si>
  <si>
    <t>MAMANI CAMPOS MARTHA</t>
  </si>
  <si>
    <t>48307177</t>
  </si>
  <si>
    <t>PAREDES HUANCA ANGELICA ADELA</t>
  </si>
  <si>
    <t>42102968</t>
  </si>
  <si>
    <t>CARPIO ZUÑIGA CINTYA MASSIEL</t>
  </si>
  <si>
    <t>46663104</t>
  </si>
  <si>
    <t>COYLA TTITO DANITZA NIRA</t>
  </si>
  <si>
    <t>46435234</t>
  </si>
  <si>
    <t>FLORES CHILE EDHER MOISES</t>
  </si>
  <si>
    <t>70331027</t>
  </si>
  <si>
    <t>HUANCOLLO CARRIZALES ALDO ROEL</t>
  </si>
  <si>
    <t>47591004</t>
  </si>
  <si>
    <t>JOVE VILDOSO WALTER ALEXANDER</t>
  </si>
  <si>
    <t>70061728</t>
  </si>
  <si>
    <t>LAURA CAHUAPAZA MILET MILAGROS</t>
  </si>
  <si>
    <t>45496464</t>
  </si>
  <si>
    <t>SIFUENTES CASO LUIS ENRIQUE</t>
  </si>
  <si>
    <t>BONO COVID</t>
  </si>
  <si>
    <t>47125220</t>
  </si>
  <si>
    <t>MENDOZA SALAZAR YASMINA MEDALI</t>
  </si>
  <si>
    <t>BACHILLER EN ADMINISTRACION</t>
  </si>
  <si>
    <t>404-SALUD APLAO</t>
  </si>
  <si>
    <t>R. ORDINARIOS</t>
  </si>
  <si>
    <t>2239.00</t>
  </si>
  <si>
    <t>ALVAREZ CRUZ MIRIAM MARITZA</t>
  </si>
  <si>
    <t>26868.00</t>
  </si>
  <si>
    <t>145R</t>
  </si>
  <si>
    <t>13434.00</t>
  </si>
  <si>
    <t>ALVAREZ MENDOZA DE VARGAS MACHUCA JOSSELYNE M</t>
  </si>
  <si>
    <t>105R</t>
  </si>
  <si>
    <t>2931.00</t>
  </si>
  <si>
    <t>BEDREGAL VERA EDWIN STEVEN</t>
  </si>
  <si>
    <t>35172.00</t>
  </si>
  <si>
    <t>169R</t>
  </si>
  <si>
    <t>17586.00</t>
  </si>
  <si>
    <t>BOLAÑOS ARIAS PAOLA</t>
  </si>
  <si>
    <t>152R</t>
  </si>
  <si>
    <t>CALDERON CALDERON ANA CAROLINA</t>
  </si>
  <si>
    <t>CARLOS CUYO YOBANA IRMA</t>
  </si>
  <si>
    <t>110R</t>
  </si>
  <si>
    <t>CCACYA MAMANI CANDY VIRGINIA</t>
  </si>
  <si>
    <t>134R</t>
  </si>
  <si>
    <t>COAQUIRA CONDORI NANCY ASUNCION</t>
  </si>
  <si>
    <t>COLQUE CHARA AMBAR JOHANA</t>
  </si>
  <si>
    <t>COMUNICADOR SOCIAL</t>
  </si>
  <si>
    <t>128R</t>
  </si>
  <si>
    <t>2836.45</t>
  </si>
  <si>
    <t>CONCHA PEREIRA ROMY MARION</t>
  </si>
  <si>
    <t>34037.40</t>
  </si>
  <si>
    <t>13R</t>
  </si>
  <si>
    <t>17018.70</t>
  </si>
  <si>
    <t>2559.00</t>
  </si>
  <si>
    <t>CONTRERAS GOMEZ INES FELICIANA</t>
  </si>
  <si>
    <t>30708.00</t>
  </si>
  <si>
    <t>15354.00</t>
  </si>
  <si>
    <t>2539.00</t>
  </si>
  <si>
    <t>ESCOBEDO PACHECO PATRICIA</t>
  </si>
  <si>
    <t>30468.00</t>
  </si>
  <si>
    <t>15234.00</t>
  </si>
  <si>
    <t>ESPINOZA ABAD CARLOS ALBERTO</t>
  </si>
  <si>
    <t>141R</t>
  </si>
  <si>
    <t>4568.00</t>
  </si>
  <si>
    <t>FAYA RENDON ELIZABETH</t>
  </si>
  <si>
    <t>54816.00</t>
  </si>
  <si>
    <t>27408.00</t>
  </si>
  <si>
    <t>2369.00</t>
  </si>
  <si>
    <t>GUEVARA JALLO ALICIA ROSARIO</t>
  </si>
  <si>
    <t>28428.00</t>
  </si>
  <si>
    <t>132R-183</t>
  </si>
  <si>
    <t>14214.00</t>
  </si>
  <si>
    <t>VILLANUEVA YAVE VANIA MILAGROS</t>
  </si>
  <si>
    <t>15673.00</t>
  </si>
  <si>
    <t>165R</t>
  </si>
  <si>
    <t>LIU VIGIL ANDREA MILAGROS</t>
  </si>
  <si>
    <t>115R</t>
  </si>
  <si>
    <t>LUNA CHOQUE SABY ENNY</t>
  </si>
  <si>
    <t>142R</t>
  </si>
  <si>
    <t>MENDOZA FERNANDEZ ARTURO SEGUNDO</t>
  </si>
  <si>
    <t>126R</t>
  </si>
  <si>
    <t>MOLINA ALVAREZ ELIZENI YERALDINE</t>
  </si>
  <si>
    <t>17R</t>
  </si>
  <si>
    <t>NUÑURE LOPEZ KATIA MILAGROS</t>
  </si>
  <si>
    <t>136R</t>
  </si>
  <si>
    <t>ÑAUPA QUISPE ALICIA BEATRIZ</t>
  </si>
  <si>
    <t>33R</t>
  </si>
  <si>
    <t>OCHOA CASTILLO ANA CECILIA</t>
  </si>
  <si>
    <t>148R</t>
  </si>
  <si>
    <t>OSORIO JANAMPA MARISOL HAYDEE</t>
  </si>
  <si>
    <t>31R</t>
  </si>
  <si>
    <t>PASTOR MONJE MARIO FRANCISCO</t>
  </si>
  <si>
    <t>113R</t>
  </si>
  <si>
    <t>PINTO MEDINA NATHALY VILMA</t>
  </si>
  <si>
    <t>146R</t>
  </si>
  <si>
    <t>QUISPE CHIRI CLAUDIA MILAGROS</t>
  </si>
  <si>
    <t>147R</t>
  </si>
  <si>
    <t>2400.00</t>
  </si>
  <si>
    <t>QUISPE CUEVA MIRIAM ELIZABETH</t>
  </si>
  <si>
    <t>28800.00</t>
  </si>
  <si>
    <t>127R</t>
  </si>
  <si>
    <t>14400.00</t>
  </si>
  <si>
    <t>QUISPE MAMANI YESSICA JAQUELIN</t>
  </si>
  <si>
    <t>RAMOS FLORES CARLA CAROLINA</t>
  </si>
  <si>
    <t>8793.00</t>
  </si>
  <si>
    <t>ROJAS TACUSI JOHEL</t>
  </si>
  <si>
    <t>143R</t>
  </si>
  <si>
    <t>2439.00</t>
  </si>
  <si>
    <t>SEGOVIA TORVISCO VILILMINA</t>
  </si>
  <si>
    <t>29268.00</t>
  </si>
  <si>
    <t>149R</t>
  </si>
  <si>
    <t>14634.00</t>
  </si>
  <si>
    <t>SIERRA CASTRO LUISA GIOVANNA</t>
  </si>
  <si>
    <t>106R</t>
  </si>
  <si>
    <t>TALAVERA SALAS MARIA DEL CARMEN</t>
  </si>
  <si>
    <t>112R</t>
  </si>
  <si>
    <t>TEJADA LLACHO FLOR</t>
  </si>
  <si>
    <t>140R</t>
  </si>
  <si>
    <t>TICONA URA CECILIA MILAGROS</t>
  </si>
  <si>
    <t>114R</t>
  </si>
  <si>
    <t>TITO NOVA DANITZA DIANA</t>
  </si>
  <si>
    <t>138R</t>
  </si>
  <si>
    <t>VALENCIA YUCRA JAVIER OSCAR</t>
  </si>
  <si>
    <t>34R</t>
  </si>
  <si>
    <t>ZARATE TORRES ELIZABETH</t>
  </si>
  <si>
    <t>135R</t>
  </si>
  <si>
    <t>ZEA RANILLA KARLA ADELINE</t>
  </si>
  <si>
    <t>139R</t>
  </si>
  <si>
    <t>ZUÐIGA MENDOZA GABRIELA ELIZABETH</t>
  </si>
  <si>
    <t>131R-191</t>
  </si>
  <si>
    <t>ZUÑIGA DAVILA MANUEL DAVID</t>
  </si>
  <si>
    <t>111R</t>
  </si>
  <si>
    <t>1732.00</t>
  </si>
  <si>
    <t>CHUQUICONDOR RODRIGUEZ WALTER MARTIN</t>
  </si>
  <si>
    <t>TECNICO ESPECIALIZADO</t>
  </si>
  <si>
    <t>20784.00</t>
  </si>
  <si>
    <t>162R</t>
  </si>
  <si>
    <t>10392.00</t>
  </si>
  <si>
    <t>1200.00</t>
  </si>
  <si>
    <t>FERNANDEZ TOVAR PERCY ALBERTO</t>
  </si>
  <si>
    <t>AUXILIAR DE OFICINA</t>
  </si>
  <si>
    <t>11R</t>
  </si>
  <si>
    <t>7200.00</t>
  </si>
  <si>
    <t>HUARANCA MAMANI NESTOR HUGO</t>
  </si>
  <si>
    <t>133R</t>
  </si>
  <si>
    <t>MONTES VEGA JESSICA VERONICA</t>
  </si>
  <si>
    <t>129R</t>
  </si>
  <si>
    <t>RANILLA ARIAS MISAEL ALFREDO</t>
  </si>
  <si>
    <t>39R</t>
  </si>
  <si>
    <t>TACO GONZALES RUBI JACQUELINE</t>
  </si>
  <si>
    <t>107R</t>
  </si>
  <si>
    <t>TACO PEÑA LUZ LEYDI</t>
  </si>
  <si>
    <t>40R</t>
  </si>
  <si>
    <t>1440.00</t>
  </si>
  <si>
    <t>VEGA YUCRA PATRICK WILFREDO</t>
  </si>
  <si>
    <t>17280.00</t>
  </si>
  <si>
    <t>41R</t>
  </si>
  <si>
    <t>8640.00</t>
  </si>
  <si>
    <t>BERNAL SANCHEZ ALEX REYNALDO</t>
  </si>
  <si>
    <t>42R</t>
  </si>
  <si>
    <t>CHACNAMA VASQUEZ ADOLFO RAUL</t>
  </si>
  <si>
    <t>43R</t>
  </si>
  <si>
    <t>CHUQUICAÑA MOLLO CINADELIA VITALIA</t>
  </si>
  <si>
    <t>44R</t>
  </si>
  <si>
    <t>COAQUIRA CHOQUE LUCIA NELLY</t>
  </si>
  <si>
    <t>45R</t>
  </si>
  <si>
    <t>CONDORI NAVENTA YMELDA SATURNINA</t>
  </si>
  <si>
    <t>46R</t>
  </si>
  <si>
    <t>DEL CARPIO VIGIL VICTORIA ELIZABETH</t>
  </si>
  <si>
    <t>C17</t>
  </si>
  <si>
    <t>DIAZ BARRIOS CHRISTIAN ANTONIO</t>
  </si>
  <si>
    <t>124R</t>
  </si>
  <si>
    <t>FIGUEROA GUTIERREZ ROBERT GILBERTO</t>
  </si>
  <si>
    <t>47R</t>
  </si>
  <si>
    <t>GONZALES NIETO MARIA YSABEL</t>
  </si>
  <si>
    <t>48R</t>
  </si>
  <si>
    <t>GUTIERREZ HUAMANI IRENE</t>
  </si>
  <si>
    <t>153R</t>
  </si>
  <si>
    <t>HUAMANI HUARCAYA GLENDY ESPERANZA</t>
  </si>
  <si>
    <t>49R</t>
  </si>
  <si>
    <t>LIZARBE MEDINA YENI MARCELA</t>
  </si>
  <si>
    <t>50R</t>
  </si>
  <si>
    <t>PACCHA CORNEJO TERESA ROCIO</t>
  </si>
  <si>
    <t>52R</t>
  </si>
  <si>
    <t>QUISPE CASQUINA GERMAN</t>
  </si>
  <si>
    <t>53R</t>
  </si>
  <si>
    <t>SOTO BARRIOS ENGHELBERT ANDRES</t>
  </si>
  <si>
    <t>55R</t>
  </si>
  <si>
    <t>SUPA MOLLO CRISTHIAN PITTER</t>
  </si>
  <si>
    <t>56R</t>
  </si>
  <si>
    <t>2141.00</t>
  </si>
  <si>
    <t>VERA ZAPATA MIRELY</t>
  </si>
  <si>
    <t>TECNICO EN REHABIL. Y FISIOT.</t>
  </si>
  <si>
    <t>25692.00</t>
  </si>
  <si>
    <t>C20-253</t>
  </si>
  <si>
    <t>12846.00</t>
  </si>
  <si>
    <t>ZUÑIGA HUAMANI ORBEGAZO ROMAN</t>
  </si>
  <si>
    <t>57R</t>
  </si>
  <si>
    <t>ZUÐIGA SALAS LUIS OCTAVIO</t>
  </si>
  <si>
    <t>58R</t>
  </si>
  <si>
    <t>1923.20</t>
  </si>
  <si>
    <t>ARIAS QUISPE PIERINA FRANCESCA</t>
  </si>
  <si>
    <t>23078.40</t>
  </si>
  <si>
    <t>167R</t>
  </si>
  <si>
    <t>11539.20</t>
  </si>
  <si>
    <t>LLACMA GUTIERREZ AYLIN BETZY</t>
  </si>
  <si>
    <t>168R</t>
  </si>
  <si>
    <t>SANCHEZ MELGAR YIMY FRANS</t>
  </si>
  <si>
    <t>170R</t>
  </si>
  <si>
    <t>AYQUE CABANA MYRIAM DELIA</t>
  </si>
  <si>
    <t>123R</t>
  </si>
  <si>
    <t>CHELIN MOGOLLON FIORELLA KAREN</t>
  </si>
  <si>
    <t>65R-221</t>
  </si>
  <si>
    <t>APAZA ESTRADA MARILUZ</t>
  </si>
  <si>
    <t>C47</t>
  </si>
  <si>
    <t>CORNEJO MARROQUIN ANYELA</t>
  </si>
  <si>
    <t>125R</t>
  </si>
  <si>
    <t>1300.00</t>
  </si>
  <si>
    <t>QUISPE FLORES DENISS YOHANS</t>
  </si>
  <si>
    <t>15600.00</t>
  </si>
  <si>
    <t>29R</t>
  </si>
  <si>
    <t>7800.00</t>
  </si>
  <si>
    <t>SOLIS CORNEJO ROBER HERNAN</t>
  </si>
  <si>
    <t>LAURA QUISPE IRVIN</t>
  </si>
  <si>
    <t>15R</t>
  </si>
  <si>
    <t>AZA MAYNA ROCIO MARLENE</t>
  </si>
  <si>
    <t>36R</t>
  </si>
  <si>
    <t>HUARCAYA QUISPE MIRIAM ROSARIO</t>
  </si>
  <si>
    <t>37R</t>
  </si>
  <si>
    <t>MONTERO BEGAZO TANIA VIDALIA</t>
  </si>
  <si>
    <t>38R</t>
  </si>
  <si>
    <t>TALLA CONDE NORMA IVONNE</t>
  </si>
  <si>
    <t>108R</t>
  </si>
  <si>
    <t>2000.00</t>
  </si>
  <si>
    <t>TAPIA MARTINEZ VICTOR ENRIQUE</t>
  </si>
  <si>
    <t>6000.00</t>
  </si>
  <si>
    <t>23R</t>
  </si>
  <si>
    <t>12000.00</t>
  </si>
  <si>
    <t>TICLLA LAYME REYNALDO</t>
  </si>
  <si>
    <t>35R</t>
  </si>
  <si>
    <t>URQUIZO LURITA RAIZA ZERLUVY</t>
  </si>
  <si>
    <t>154R</t>
  </si>
  <si>
    <t>2500.00</t>
  </si>
  <si>
    <t>LIMA CCORA PATRICIA</t>
  </si>
  <si>
    <t>17500.00</t>
  </si>
  <si>
    <t>164R</t>
  </si>
  <si>
    <t>15000.00</t>
  </si>
  <si>
    <t>MELENDREZ ARIAS ELBER ELARD</t>
  </si>
  <si>
    <t>TECNICO PRENSISTA</t>
  </si>
  <si>
    <t>30000.00</t>
  </si>
  <si>
    <t>PANDURO PUYO ADELA</t>
  </si>
  <si>
    <t>163R</t>
  </si>
  <si>
    <t>QUIROZ RAMIREZ JIMENA PAOLA</t>
  </si>
  <si>
    <t>160R</t>
  </si>
  <si>
    <t>VILCA MACHACA LUCY</t>
  </si>
  <si>
    <t>161R</t>
  </si>
  <si>
    <t>1400.00</t>
  </si>
  <si>
    <t>CHUQUICAÑA MOLLO ROSALY MILAGROS</t>
  </si>
  <si>
    <t>9800.00</t>
  </si>
  <si>
    <t>155R</t>
  </si>
  <si>
    <t>8400.00</t>
  </si>
  <si>
    <t>BEGAZO QUISPE CINTIA MAGALY</t>
  </si>
  <si>
    <t>27R</t>
  </si>
  <si>
    <t>CHUQUICONDOR RODRIGUEZ SARITA CELIA</t>
  </si>
  <si>
    <t>16000.00</t>
  </si>
  <si>
    <t>C21-254</t>
  </si>
  <si>
    <t>CORNELIO ZAIRA GLADYS</t>
  </si>
  <si>
    <t>18R</t>
  </si>
  <si>
    <t>CUADROS VILCA WALDIR ALONSO</t>
  </si>
  <si>
    <t>28R</t>
  </si>
  <si>
    <t>GUTIERREZ ATAHUALPA EDICA SOLEDAD</t>
  </si>
  <si>
    <t>26R</t>
  </si>
  <si>
    <t>PANTIGOSO GASPAR CLARA LUZ</t>
  </si>
  <si>
    <t>24R</t>
  </si>
  <si>
    <t>REVILLA RODRIGUEZ YOVANA ROSIO</t>
  </si>
  <si>
    <t>25R</t>
  </si>
  <si>
    <t>4000.00</t>
  </si>
  <si>
    <t>GARCIA MENDOZA KARLA GERALDINE</t>
  </si>
  <si>
    <t>70R-213</t>
  </si>
  <si>
    <t>24000.00</t>
  </si>
  <si>
    <t>QUISPE TTICA GRESCIA EBELIA</t>
  </si>
  <si>
    <t>78R-223</t>
  </si>
  <si>
    <t>8000.00</t>
  </si>
  <si>
    <t>REYES VELASQUEZ INGRID CELESTE</t>
  </si>
  <si>
    <t>69R-227</t>
  </si>
  <si>
    <t>48000.00</t>
  </si>
  <si>
    <t>VASQUEZ CHOTA JULIA ROSA</t>
  </si>
  <si>
    <t>82R-217</t>
  </si>
  <si>
    <t>BORDA TORIBIO REYNA LUZ</t>
  </si>
  <si>
    <t>109R</t>
  </si>
  <si>
    <t>1350.00</t>
  </si>
  <si>
    <t>CRUZ MUSAJA MARITHZA</t>
  </si>
  <si>
    <t>5400.00</t>
  </si>
  <si>
    <t>C54</t>
  </si>
  <si>
    <t>8100.00</t>
  </si>
  <si>
    <t>GARCIA GONZALES XIOMARA BETTINA</t>
  </si>
  <si>
    <t>166R</t>
  </si>
  <si>
    <t>CARBAJAL ZEBALLOS MARION DAYARINNE</t>
  </si>
  <si>
    <t>68R-212</t>
  </si>
  <si>
    <t>CHANCAHUAÐA FLORES RONY BONIFACIO</t>
  </si>
  <si>
    <t>5R</t>
  </si>
  <si>
    <t>LOAYZA DE PAUCARA MARIA ISABEL</t>
  </si>
  <si>
    <t>51R</t>
  </si>
  <si>
    <t>RENDON ZUNIGA ARIANNYS VIOLETA</t>
  </si>
  <si>
    <t>12R</t>
  </si>
  <si>
    <t>BARREDA LINARES KATIA MARGARETT IVETT</t>
  </si>
  <si>
    <t>116R</t>
  </si>
  <si>
    <t>HERNANI RIVERA ANGELINA ADELA</t>
  </si>
  <si>
    <t>157R</t>
  </si>
  <si>
    <t>HUAMANI VALDIVIA CARIDAD GABRIELA</t>
  </si>
  <si>
    <t>6717.00</t>
  </si>
  <si>
    <t>120R</t>
  </si>
  <si>
    <t>ZEGARRA ORMACHEA JUANA LEONOR</t>
  </si>
  <si>
    <t>63R-220</t>
  </si>
  <si>
    <t>OLLACHICA ARCE JUNG SMITH</t>
  </si>
  <si>
    <t>103R</t>
  </si>
  <si>
    <t>ANCO CHOQUE YESIVEL KATERIN</t>
  </si>
  <si>
    <t>4R</t>
  </si>
  <si>
    <t>FERIA ESPINOZA LIBIA MARILUZ</t>
  </si>
  <si>
    <t>156R</t>
  </si>
  <si>
    <t>LLERENA HUAMANI EVELIN KATERINE</t>
  </si>
  <si>
    <t>151R</t>
  </si>
  <si>
    <t>CONDORI QUISPE KATHERINE JEANETH</t>
  </si>
  <si>
    <t>11195.00</t>
  </si>
  <si>
    <t>1923.00</t>
  </si>
  <si>
    <t>HUAMANI CUEVA CARMEN</t>
  </si>
  <si>
    <t>23076.00</t>
  </si>
  <si>
    <t>14R</t>
  </si>
  <si>
    <t>11538.00</t>
  </si>
  <si>
    <t>FERIA ESPINOZA ESTHER</t>
  </si>
  <si>
    <t>158R</t>
  </si>
  <si>
    <t>MEDINA PACHECO SONIA URSULA</t>
  </si>
  <si>
    <t>8R</t>
  </si>
  <si>
    <t>MAMANI CRUZ EDER MULLER</t>
  </si>
  <si>
    <t>7R</t>
  </si>
  <si>
    <t>CHULLO POTOCINO ANDREA CAROLINA</t>
  </si>
  <si>
    <t>159R</t>
  </si>
  <si>
    <t>ZUÑIGA FERNANDEZ MILAGROS</t>
  </si>
  <si>
    <t>9R</t>
  </si>
  <si>
    <t>2639.00</t>
  </si>
  <si>
    <t>AGUIRRE LIPA JOAHNY GUIDO</t>
  </si>
  <si>
    <t>31668.00</t>
  </si>
  <si>
    <t>150R</t>
  </si>
  <si>
    <t>15834.00</t>
  </si>
  <si>
    <t>OLANDA TORRES MARTHA EDITH</t>
  </si>
  <si>
    <t>7500.00</t>
  </si>
  <si>
    <t>137R</t>
  </si>
  <si>
    <t>CONDORI HUAMANI ROXANA</t>
  </si>
  <si>
    <t>TEC. EN ENFERMERIA</t>
  </si>
  <si>
    <t>6R</t>
  </si>
  <si>
    <t>CALLISAYA CABANA JUANA EPIFANIA</t>
  </si>
  <si>
    <t>0.00</t>
  </si>
  <si>
    <t>C7</t>
  </si>
  <si>
    <t>ROJAS SUPO YOBANA</t>
  </si>
  <si>
    <t>172C</t>
  </si>
  <si>
    <t>HUANCA VASQUEZ ROSA MONICA</t>
  </si>
  <si>
    <t>C5</t>
  </si>
  <si>
    <t>CHICATA DIAZ JULIO ALFONSO</t>
  </si>
  <si>
    <t>C1</t>
  </si>
  <si>
    <t>12500.00</t>
  </si>
  <si>
    <t>HERRERA DAVILA LUIS GUILLERMO</t>
  </si>
  <si>
    <t>C10</t>
  </si>
  <si>
    <t>CHULLO MACHACA MICHAEL ALONSO</t>
  </si>
  <si>
    <t>C2</t>
  </si>
  <si>
    <t>MOLLO BARREDA MARIBEL ZENAIDA</t>
  </si>
  <si>
    <t>19R</t>
  </si>
  <si>
    <t>CCAMA QUIJAHUAMAN MISHELL THALIA</t>
  </si>
  <si>
    <t>C6</t>
  </si>
  <si>
    <t>4800.00</t>
  </si>
  <si>
    <t>APAZA GUTIERREZ BELU MARGOT</t>
  </si>
  <si>
    <t>C4</t>
  </si>
  <si>
    <t>10000.00</t>
  </si>
  <si>
    <t>PACHECO ARIZACA LOURDES LILIANA</t>
  </si>
  <si>
    <t>C8</t>
  </si>
  <si>
    <t>1500.00</t>
  </si>
  <si>
    <t>18000.00</t>
  </si>
  <si>
    <t>3000.00</t>
  </si>
  <si>
    <t>ROJAS SILVA GLADIS ANITA</t>
  </si>
  <si>
    <t>C16</t>
  </si>
  <si>
    <t>1800.00</t>
  </si>
  <si>
    <t>FEBRES PIZARRO EDWARD JIMMY</t>
  </si>
  <si>
    <t>C15</t>
  </si>
  <si>
    <t>3600.00</t>
  </si>
  <si>
    <t>RODRIGUEZ HUAYNA MARYBEL YLIANA</t>
  </si>
  <si>
    <t>C14</t>
  </si>
  <si>
    <t>HUAYNAPATA YUPA LUCY YURIMA</t>
  </si>
  <si>
    <t>C13</t>
  </si>
  <si>
    <t>3300.00</t>
  </si>
  <si>
    <t>PASTOR RODRIGUEZ LUIS ERASMO</t>
  </si>
  <si>
    <t>6600.00</t>
  </si>
  <si>
    <t>CADENA LAZARO CARMEN BRIGIT</t>
  </si>
  <si>
    <t>C22-255</t>
  </si>
  <si>
    <t>SURCO SALAS LEONARD LIBDAMI</t>
  </si>
  <si>
    <t>C23-256</t>
  </si>
  <si>
    <t>2300.00</t>
  </si>
  <si>
    <t>4600.00</t>
  </si>
  <si>
    <t>1211.00</t>
  </si>
  <si>
    <t>HUAMAN CANO BETHY CARLA</t>
  </si>
  <si>
    <t>C18-251</t>
  </si>
  <si>
    <t>2422.00</t>
  </si>
  <si>
    <t>2200.00</t>
  </si>
  <si>
    <t>QUISPE HUAMANI ROGELIA MARUJA</t>
  </si>
  <si>
    <t>C19-252</t>
  </si>
  <si>
    <t>4400.00</t>
  </si>
  <si>
    <t>PACCHA CORNEJO LUZ VANESSA</t>
  </si>
  <si>
    <t>GOMEZ CJURO OSCAR ROY</t>
  </si>
  <si>
    <t>PARICAHUA ARPI JUAN BAUTISTA</t>
  </si>
  <si>
    <t>HUAMANI PINTO YESSICA ODALIS</t>
  </si>
  <si>
    <t>TEC ADMINISTRATIVO</t>
  </si>
  <si>
    <t>JARA CHIRINOS ZAIDA LUZ</t>
  </si>
  <si>
    <t>NUÑEZ DELGADO ROBERTO</t>
  </si>
  <si>
    <t>10800.00</t>
  </si>
  <si>
    <t>RAMIREZ NUÑURE DIEGO RENATO</t>
  </si>
  <si>
    <t>TEC. ADMINISTRATIVO</t>
  </si>
  <si>
    <t>ZAMUDIO SUAREZ YAMMAR ALBERTO</t>
  </si>
  <si>
    <t>ZUÑIGA MENDOZA MILAGROS ANYELA</t>
  </si>
  <si>
    <t>TEC. ENFERMERIA</t>
  </si>
  <si>
    <t>CAS-COVID</t>
  </si>
  <si>
    <t>6840.00</t>
  </si>
  <si>
    <t>SALAZAR CARACELA ISABEL KARINA</t>
  </si>
  <si>
    <t>61560.00</t>
  </si>
  <si>
    <t>3420.00</t>
  </si>
  <si>
    <t>SARMIENTO TAGLE YAJAIRA ALLISON</t>
  </si>
  <si>
    <t>30780.00</t>
  </si>
  <si>
    <t>MOGROVEJO GUARDIA JESSICA GLORIA</t>
  </si>
  <si>
    <t>RETUERTO RIQUELME LUCIA VICTORIA</t>
  </si>
  <si>
    <t>SALCEDO VARGAS MIRIAN ARACELI</t>
  </si>
  <si>
    <t>VILCA MAQUERA BERLINDA VICTORIA</t>
  </si>
  <si>
    <t>1710.00</t>
  </si>
  <si>
    <t>ABARCA DEZA LARRY GILMER</t>
  </si>
  <si>
    <t>15390.00</t>
  </si>
  <si>
    <t>2166.00</t>
  </si>
  <si>
    <t>CHIRE FLORES GRICEL JULISSA MERCEDES</t>
  </si>
  <si>
    <t>19494.00</t>
  </si>
  <si>
    <t>COAQUIRA COAQUIRA NELSON URIEL</t>
  </si>
  <si>
    <t>FLORES SALAZAR MELISSA YENNY</t>
  </si>
  <si>
    <t>HUAYHUA VARGAS YENY ROSA</t>
  </si>
  <si>
    <t>HUAYLLA HUILLCA MARIZOL</t>
  </si>
  <si>
    <t>JACOBO LOPEZ WILLIAMS DARWIN</t>
  </si>
  <si>
    <t>MANRIQUE AMESQUITA URSULA JACKELINE</t>
  </si>
  <si>
    <t>MEDINA APAZA MOISES MARTIN</t>
  </si>
  <si>
    <t>RAMOS CARDENAS INES</t>
  </si>
  <si>
    <t>SOTO QUICAÑA JANNY LUCIA</t>
  </si>
  <si>
    <t>ZUÑIGA ROJAS ELIZABETH ROCIO</t>
  </si>
  <si>
    <t>CHALLA LAYME GIOVANNA JUANA</t>
  </si>
  <si>
    <t>CRUZ ALVAREZ LIZET FIORELA</t>
  </si>
  <si>
    <t>FRANCISCO ALBITRES LILIBETH KELLY</t>
  </si>
  <si>
    <t>MAMANI CONDORI LUZ MARY</t>
  </si>
  <si>
    <t>SANTOS SOLIS LORENA</t>
  </si>
  <si>
    <t>TORRES BARRAGAN SILVIA</t>
  </si>
  <si>
    <t>VARGAS CHALCO LUIS JONATHAN</t>
  </si>
  <si>
    <t>VICTORA - NELLY DEL CARMEN</t>
  </si>
  <si>
    <t>20520.00</t>
  </si>
  <si>
    <t>ANCO CHOQUE JUAN RENE</t>
  </si>
  <si>
    <t>NUÑEZ DELGADO ROBERTO CARLOS</t>
  </si>
  <si>
    <t>COYLA URQUIZO ALEXIS EDUARDO</t>
  </si>
  <si>
    <t>PRETELL RODRIGUEZ VICTOR ANDRES</t>
  </si>
  <si>
    <t>BARRIGA MARAZA ERICK ENVERLEV</t>
  </si>
  <si>
    <t>SURCO GOMEZ JOSE ANTONIO</t>
  </si>
  <si>
    <t>SANCHEZ CHICATA EUGENIA LUCIA</t>
  </si>
  <si>
    <t>GOMEZ COAQUIRA MIRIAM YESILA</t>
  </si>
  <si>
    <t>27360.00</t>
  </si>
  <si>
    <t>MAMANI VELARDE MILAGROS CAMILA</t>
  </si>
  <si>
    <t>SOSA USNAYO ROSA ELENA</t>
  </si>
  <si>
    <t>HUAYSARA CONDORI JACKELINE</t>
  </si>
  <si>
    <t>CCORPUNA CHAVEZ SONIA</t>
  </si>
  <si>
    <t>PACHECO ZEBALLOS VERONICA YULIANA</t>
  </si>
  <si>
    <t>PARI MAMANI ALEXANDER</t>
  </si>
  <si>
    <t>PARI MEDINA GABRIELA MARIEL</t>
  </si>
  <si>
    <t>BAUTISTA TICONA JESSICA MELLIZA</t>
  </si>
  <si>
    <t>47880.00</t>
  </si>
  <si>
    <t>QUISPE SARAYASI VERONICA GABRIELA</t>
  </si>
  <si>
    <t>MENDOZA MARTINEZ EMERSON PAUL</t>
  </si>
  <si>
    <t>41040.00</t>
  </si>
  <si>
    <t>OLIVARES ALEGRIA ELVIS</t>
  </si>
  <si>
    <t>CONDORI HUARCAYA AMELIA BEATRIZ</t>
  </si>
  <si>
    <t>76R-230</t>
  </si>
  <si>
    <t>79R</t>
  </si>
  <si>
    <t>74R-214</t>
  </si>
  <si>
    <t>75R-229</t>
  </si>
  <si>
    <t>77R-231</t>
  </si>
  <si>
    <t>83R-232</t>
  </si>
  <si>
    <t>84R-244</t>
  </si>
  <si>
    <t>86R-236</t>
  </si>
  <si>
    <t>87R-245</t>
  </si>
  <si>
    <t>88R-237</t>
  </si>
  <si>
    <t>89R-238</t>
  </si>
  <si>
    <t>90R-239</t>
  </si>
  <si>
    <t>91R-246</t>
  </si>
  <si>
    <t>92R-240</t>
  </si>
  <si>
    <t>93R-247</t>
  </si>
  <si>
    <t>94R-248</t>
  </si>
  <si>
    <t>13200.00</t>
  </si>
  <si>
    <t>95R-249</t>
  </si>
  <si>
    <t>96R-241</t>
  </si>
  <si>
    <t>72R-228</t>
  </si>
  <si>
    <t>81R-224</t>
  </si>
  <si>
    <t>85R-242</t>
  </si>
  <si>
    <t>C37-259</t>
  </si>
  <si>
    <t>99R-233</t>
  </si>
  <si>
    <t>100R-226</t>
  </si>
  <si>
    <t>101R-234</t>
  </si>
  <si>
    <t>59R-208</t>
  </si>
  <si>
    <t>60R-219</t>
  </si>
  <si>
    <t>61R-209</t>
  </si>
  <si>
    <t>64R-210</t>
  </si>
  <si>
    <t>66R-211</t>
  </si>
  <si>
    <t>67R-222</t>
  </si>
  <si>
    <t>FLORES VALENCIA VICTOR HUGO</t>
  </si>
  <si>
    <t>21R-243</t>
  </si>
  <si>
    <t>CHAVEZ RAMIREZ EMPERATRIZ IRIS</t>
  </si>
  <si>
    <t>144R-216</t>
  </si>
  <si>
    <t>20000.00</t>
  </si>
  <si>
    <t>ARENAS MAMANI GLADYS AYDEE</t>
  </si>
  <si>
    <t>ARAUJO VEGA HUMBERTO MARCELO</t>
  </si>
  <si>
    <t>C25-250</t>
  </si>
  <si>
    <t>SANCHEZ YALLERCO SOFIA FIORELLA</t>
  </si>
  <si>
    <t>C28</t>
  </si>
  <si>
    <t>CALAPUJA VILCA PAUL ALEJO</t>
  </si>
  <si>
    <t>C24-260-278</t>
  </si>
  <si>
    <t>CAS-COVI</t>
  </si>
  <si>
    <t>VERA SALAS ANGELA FABIOLA</t>
  </si>
  <si>
    <t>C29-280</t>
  </si>
  <si>
    <t>REC.DIREC.RECAU</t>
  </si>
  <si>
    <t>5025.00</t>
  </si>
  <si>
    <t>CALCINA QUISPE RENATO RUBEN</t>
  </si>
  <si>
    <t>60300.00</t>
  </si>
  <si>
    <t>20100.00</t>
  </si>
  <si>
    <t>CCAHUANA NUÑONCCA NURIA</t>
  </si>
  <si>
    <t>176R</t>
  </si>
  <si>
    <t>5206.00</t>
  </si>
  <si>
    <t>COAGUILA LOPEZ JESUS MIGUEL</t>
  </si>
  <si>
    <t>62472.00</t>
  </si>
  <si>
    <t>31236.00</t>
  </si>
  <si>
    <t>SAAVEDRA SANCHEZ MARYLIA ALEJANDRINA</t>
  </si>
  <si>
    <t>179R</t>
  </si>
  <si>
    <t>ARIAS VASQUEZ INDIRA GANDY</t>
  </si>
  <si>
    <t>174R</t>
  </si>
  <si>
    <t>CHOQUECONDO VERA FELICITAS</t>
  </si>
  <si>
    <t>177R</t>
  </si>
  <si>
    <t>DAVILA ORTIZ FABIOLA RUMALDINA</t>
  </si>
  <si>
    <t>178R</t>
  </si>
  <si>
    <t>R.O</t>
  </si>
  <si>
    <t>ACCIONES ADMINISTRATIVAS</t>
  </si>
  <si>
    <t>80291759</t>
  </si>
  <si>
    <t>Ene-Dic</t>
  </si>
  <si>
    <t>41142799</t>
  </si>
  <si>
    <t>ALCANTARA YARLEQUE NELSON DARWIN</t>
  </si>
  <si>
    <t>40764576</t>
  </si>
  <si>
    <t>45039024</t>
  </si>
  <si>
    <t>BRINDAR UNA ADECUADA DISPENSION DE MEDICAMENTOS Y PRODUCTOS FARMACEUTICOS</t>
  </si>
  <si>
    <t>71221395</t>
  </si>
  <si>
    <t>CCENCHO HUAYHUA JORGE ALEJANDRO</t>
  </si>
  <si>
    <t>46494827</t>
  </si>
  <si>
    <t>ZUÑIGA ORTIZ GLEIZY FATIMA</t>
  </si>
  <si>
    <t>NIÑOS CON VACUNA COMPLETA</t>
  </si>
  <si>
    <t>30563213</t>
  </si>
  <si>
    <t>46431316</t>
  </si>
  <si>
    <t>CHURA CHURA MIRIAM LUISA</t>
  </si>
  <si>
    <t>42473219</t>
  </si>
  <si>
    <t>BERNAL FERNANDEZ FRANCO SILVANO</t>
  </si>
  <si>
    <t>30423033</t>
  </si>
  <si>
    <t>DIAZ CRUZ EMIL ANGEL</t>
  </si>
  <si>
    <t>ATENCION EN CONSULTAS EXTERNAS</t>
  </si>
  <si>
    <t>42080335</t>
  </si>
  <si>
    <t>DE TORRES GALDOS MANUEL ALONSO</t>
  </si>
  <si>
    <t>30563320</t>
  </si>
  <si>
    <t>VELASQUEZ VILLANUEVA LUCY VIOLETA</t>
  </si>
  <si>
    <t>TECNICO ADM</t>
  </si>
  <si>
    <t>29649530</t>
  </si>
  <si>
    <t>ROMERO COARITE ORIALIZ VELIA</t>
  </si>
  <si>
    <t>44748800</t>
  </si>
  <si>
    <t>PATIÑO OCHOA CLOTILDE ERIKA</t>
  </si>
  <si>
    <t>44966396</t>
  </si>
  <si>
    <t>MELGAR MAMANI CARMEN MAGALY</t>
  </si>
  <si>
    <t>TECNICO REHAB</t>
  </si>
  <si>
    <t>43687534</t>
  </si>
  <si>
    <t>RANILLA LAYME CARMEN NATALIA</t>
  </si>
  <si>
    <t>TECNICO- ENF</t>
  </si>
  <si>
    <t>72244447</t>
  </si>
  <si>
    <t>BEGAZO PEREZ ROSA MILAGROS</t>
  </si>
  <si>
    <t>TECNICO- ADM</t>
  </si>
  <si>
    <t>40764575</t>
  </si>
  <si>
    <t>GONZALES VALENCIA  CARMEN ANGELICA</t>
  </si>
  <si>
    <t>PRESTACIONES ADMINISTRATIVAS SUBSIDIADO/NO TARIFADO</t>
  </si>
  <si>
    <t>41663819</t>
  </si>
  <si>
    <t>HUILLCA CANAHUIRE KARLA DIANA</t>
  </si>
  <si>
    <t>30587074</t>
  </si>
  <si>
    <t>LLERENA VILCAPE EVELYN PEGGY</t>
  </si>
  <si>
    <t>TEC- ENF.</t>
  </si>
  <si>
    <t>47236281</t>
  </si>
  <si>
    <t>CHOQUE QUIJAHUAMAN ROSMERY EULALIA</t>
  </si>
  <si>
    <t>30856812</t>
  </si>
  <si>
    <t>CCAHUARI BOLIVAR CLARA PASTORA</t>
  </si>
  <si>
    <t>44401391</t>
  </si>
  <si>
    <t>ATENCION PRENATAL REENFOCADA</t>
  </si>
  <si>
    <t>29581297</t>
  </si>
  <si>
    <t>MEZA VARGAS JAMES ALFONSO</t>
  </si>
  <si>
    <t>73009176</t>
  </si>
  <si>
    <t>SUPA MOLLO ANGEL ISRAEL</t>
  </si>
  <si>
    <t>73025775</t>
  </si>
  <si>
    <t>PINTO CHAVEZ LADY LAURA</t>
  </si>
  <si>
    <t>70434133</t>
  </si>
  <si>
    <t>SUNCION LLERENA EDITH ALONDRA</t>
  </si>
  <si>
    <t>ATENCION DEL PARTO NORMAL</t>
  </si>
  <si>
    <t>73641910</t>
  </si>
  <si>
    <t>UGARTE VILLENA GINA ALEXANDRA</t>
  </si>
  <si>
    <t>70151324</t>
  </si>
  <si>
    <t>BECERRA MOLINA CAMILA CANDY</t>
  </si>
  <si>
    <t>CONTROL Y TRATAMIENTO PREVENTIVO DE CONTACTOS DE CASOS TUBERCULOSIS (GENERAL, INDIGENA, PRIVADA DE SU LIBERTAD)</t>
  </si>
  <si>
    <t>80512689</t>
  </si>
  <si>
    <t>SERVICIOS BASICOS Y COMPLEMENTARIOS</t>
  </si>
  <si>
    <t>30586532</t>
  </si>
  <si>
    <t>GOMEZ CONDO FREDY DANIEL</t>
  </si>
  <si>
    <t>TEC- NUTRICION</t>
  </si>
  <si>
    <t>48255954</t>
  </si>
  <si>
    <t>ROSA HINOJOSA SUSANA LUIZA</t>
  </si>
  <si>
    <t>TEC- FARMACIA</t>
  </si>
  <si>
    <t>80192008</t>
  </si>
  <si>
    <t>MOLINA SILVA JHON CANCIO</t>
  </si>
  <si>
    <t>29483553</t>
  </si>
  <si>
    <t>SANCHEZ PIZARRO RUT</t>
  </si>
  <si>
    <t>TEC- SERV. GENERALES</t>
  </si>
  <si>
    <t>47960052</t>
  </si>
  <si>
    <t>TICONA CHALCO AMBAR INDIRA</t>
  </si>
  <si>
    <t>41761122</t>
  </si>
  <si>
    <t>SOTO QUICAÑA WILLY ANTONIO</t>
  </si>
  <si>
    <t>77070833</t>
  </si>
  <si>
    <t>MORON CONGONA MARILY VIOLETA</t>
  </si>
  <si>
    <t>43508602</t>
  </si>
  <si>
    <t xml:space="preserve"> ARAUJO SALCEDO ROSSI ATAY</t>
  </si>
  <si>
    <t>TRATAMIENTO AMBULATORIO DE PERSONAS CON SINDROME O TRASTORNO PSICOTICO</t>
  </si>
  <si>
    <t>45835963</t>
  </si>
  <si>
    <t>JACOBO CARDENAS DANIEL AMILCAR</t>
  </si>
  <si>
    <t>42348270</t>
  </si>
  <si>
    <t>40367951</t>
  </si>
  <si>
    <t xml:space="preserve"> PASTOR RODRIGUEZ LUIS ERASMO</t>
  </si>
  <si>
    <t>ATENCION IRA</t>
  </si>
  <si>
    <t>40520810</t>
  </si>
  <si>
    <t>CHAHUAYO CISA MARIO ALFONZO</t>
  </si>
  <si>
    <t>TEC- ENF</t>
  </si>
  <si>
    <t>41609789</t>
  </si>
  <si>
    <t>CEREZ GUTIERREZ NOE ADRIAN</t>
  </si>
  <si>
    <t>76666304</t>
  </si>
  <si>
    <t>PINTO AGUILAR HAMERLY JEFFERSON</t>
  </si>
  <si>
    <t>71974071</t>
  </si>
  <si>
    <t xml:space="preserve"> MEDINA QUISPE CINDY YHASMIRE</t>
  </si>
  <si>
    <t>TEC- ENFERMERIA</t>
  </si>
  <si>
    <t>45729973</t>
  </si>
  <si>
    <t>CACERES MONTEIRO KAREN CECILIA</t>
  </si>
  <si>
    <t>43937101</t>
  </si>
  <si>
    <t>MANRIQUE MENDOZA JOHANNY ANCISE</t>
  </si>
  <si>
    <t>44424694</t>
  </si>
  <si>
    <t>HUILLCA DURAN ANA JUSTINA</t>
  </si>
  <si>
    <t>70112031</t>
  </si>
  <si>
    <t xml:space="preserve"> RAMIREZ MACHICAO MARIA ELENA</t>
  </si>
  <si>
    <t>47052761</t>
  </si>
  <si>
    <t>VARGAS HUAYHUA JERSSON FERNANDO</t>
  </si>
  <si>
    <t>72264707</t>
  </si>
  <si>
    <t xml:space="preserve"> HERRERA DAVILA LUIS GUILLERMO</t>
  </si>
  <si>
    <t>TEC. SERVICIOS GENERALES</t>
  </si>
  <si>
    <t>45340166</t>
  </si>
  <si>
    <t>41193357</t>
  </si>
  <si>
    <t>46223211</t>
  </si>
  <si>
    <t>TORRES QUISPE YOLANDA</t>
  </si>
  <si>
    <t>72115474</t>
  </si>
  <si>
    <t>29294812</t>
  </si>
  <si>
    <t>CHURA TURPO PETRONILA BRIGIDA</t>
  </si>
  <si>
    <t>44622720</t>
  </si>
  <si>
    <t>ANCALLA LORA GIANCARLO PAOLO</t>
  </si>
  <si>
    <t>46562331</t>
  </si>
  <si>
    <t>SUAREZ GUTIERREZ MANOLO</t>
  </si>
  <si>
    <t>TERAPEUTA FISICO</t>
  </si>
  <si>
    <t>Ene-Jun</t>
  </si>
  <si>
    <t>44573259</t>
  </si>
  <si>
    <t>72737212</t>
  </si>
  <si>
    <t>BACHILLER EN CONTABILIDAD</t>
  </si>
  <si>
    <t>TECNICA FARMACEUTICA</t>
  </si>
  <si>
    <t>40983801</t>
  </si>
  <si>
    <t>41336193</t>
  </si>
  <si>
    <t>80160929</t>
  </si>
  <si>
    <t>HUARANGA HUAYHUA PATRICIA LILIAN</t>
  </si>
  <si>
    <t>TECNICA EN NUTRICIÓN</t>
  </si>
  <si>
    <t>45375176</t>
  </si>
  <si>
    <t>GORDILLO LIMA WILSER</t>
  </si>
  <si>
    <t>409 HOSPITAL CENTRAL DE MAJES "ING. ANGEL GABRIEL CHURA GALLEGOS"</t>
  </si>
  <si>
    <t>DESTACADO DE LA RSAC</t>
  </si>
  <si>
    <t>MEDICO ESPECIALISTA</t>
  </si>
  <si>
    <t>29378266</t>
  </si>
  <si>
    <t>ALARCON ROSADO BERTEL RAMON</t>
  </si>
  <si>
    <t>UNIVERSITARIA</t>
  </si>
  <si>
    <t>29556647</t>
  </si>
  <si>
    <t>ARIAS BACA LUIS ANTONIO</t>
  </si>
  <si>
    <t>29481765</t>
  </si>
  <si>
    <t>CHIPANA COAQUIRA CESAR ALBERTO</t>
  </si>
  <si>
    <t>41451287</t>
  </si>
  <si>
    <t>COILA MAMANI JESUS LEONIDAS</t>
  </si>
  <si>
    <t>29627382</t>
  </si>
  <si>
    <t>DEL CARPIO FLORES JOSE MIGUEL</t>
  </si>
  <si>
    <t>29704194</t>
  </si>
  <si>
    <t>ESPEZUA SARDON SOREN FERNANDO</t>
  </si>
  <si>
    <t>29479187</t>
  </si>
  <si>
    <t>ESPINEL CACERES ANDRES AVELINO</t>
  </si>
  <si>
    <t>29566651</t>
  </si>
  <si>
    <t>GOMEZ HUAYNACHO JOSE FERNANDO</t>
  </si>
  <si>
    <t>29366728</t>
  </si>
  <si>
    <t>MAGUIÑA MATOS LUZ LORENZA</t>
  </si>
  <si>
    <t>29606028</t>
  </si>
  <si>
    <t>QUISPE MALAGA CARLOS ABELARDO</t>
  </si>
  <si>
    <t>29510297</t>
  </si>
  <si>
    <t>YUCRA BLANCO MARITZA</t>
  </si>
  <si>
    <t>DIAS DEL CARPIO IRMA ASUNCION</t>
  </si>
  <si>
    <t>BIEN PROPIO</t>
  </si>
  <si>
    <t>NO</t>
  </si>
  <si>
    <t>SI</t>
  </si>
  <si>
    <t>MENSUAL</t>
  </si>
  <si>
    <t xml:space="preserve">VILLANUEVA NUÑEZ MARIA DE GUADALUPE FRANCIS
VILLANUEVA NUÑEZ GASTON JESUS </t>
  </si>
  <si>
    <t>BIEN PROPIO DE TERCEROS</t>
  </si>
  <si>
    <t>S/N</t>
  </si>
  <si>
    <t>JARDIN Y BAÑO</t>
  </si>
  <si>
    <t>01/01/2019-31/12/2019
01/01/2020-31/12/2020</t>
  </si>
  <si>
    <t>ORDEN DE SERVICIO SE REALIZO EL PAGO CUMPLIENDO CADA EL MES  DURANTE EL 2019 
PARA EL AÑO 2020 SE REALIZARA CON RECONOCIMIENTO DE DEUDA</t>
  </si>
  <si>
    <t>001 SEDE AREQUIPA1</t>
  </si>
  <si>
    <t>SOCIEDAD DE BENEFICENCIA PUBLICA DE CAMANA</t>
  </si>
  <si>
    <t>BAÑO</t>
  </si>
  <si>
    <t>300 EDUCACION AREQUIPA</t>
  </si>
  <si>
    <t>PROV MISIONERA FRANCISCO SOLANO</t>
  </si>
  <si>
    <t>N-01187699</t>
  </si>
  <si>
    <t>1300 M2</t>
  </si>
  <si>
    <t>AL 31 DE MARZO 2019</t>
  </si>
  <si>
    <t>DEL 01 DE ABRIL AL 31 DE AGOSTO 2019</t>
  </si>
  <si>
    <t>DEL 1 DE SEP AAL 31 DIC 31 2019</t>
  </si>
  <si>
    <t>DEL 1 ENE AL 31 DE ENE 2020</t>
  </si>
  <si>
    <t>DEL 1 FEB AL 30 DE JUN 2020</t>
  </si>
  <si>
    <t>PLIEGO 443 GOBIERNO REGIONAL DE AREQUIPA</t>
  </si>
  <si>
    <t>(*) Saldo al 31 de Diciembre de 2020</t>
  </si>
  <si>
    <t>SOLES</t>
  </si>
  <si>
    <t>1122000010007159913</t>
  </si>
  <si>
    <t>BANCO CONTINENTAL</t>
  </si>
  <si>
    <t>200 TRANSPORTES</t>
  </si>
  <si>
    <t>102-009428</t>
  </si>
  <si>
    <t>BANCO DE LA NACION</t>
  </si>
  <si>
    <t>403 SALUD CAMANA</t>
  </si>
  <si>
    <t>Y SALDOS ANTIGUOS</t>
  </si>
  <si>
    <t>400 SALUD AREQUIPA</t>
  </si>
  <si>
    <t>18 CANON MINERO</t>
  </si>
  <si>
    <t>19 FED</t>
  </si>
  <si>
    <t>CUENTA UNICA DEL TESORO</t>
  </si>
  <si>
    <t>00-115-018337</t>
  </si>
  <si>
    <t>409 HOSPITAL CENTRAL MAJES</t>
  </si>
  <si>
    <t>2013</t>
  </si>
  <si>
    <t>101-061450 TR Ñ</t>
  </si>
  <si>
    <t>001 SEDE CENTRAL</t>
  </si>
  <si>
    <t>101-061450 TR Y</t>
  </si>
  <si>
    <t>101-061450 TR P</t>
  </si>
  <si>
    <t>101-061450 TR O</t>
  </si>
  <si>
    <t>101-061450 TR L</t>
  </si>
  <si>
    <t>101-061450 TR J</t>
  </si>
  <si>
    <t>101-061450 TR I</t>
  </si>
  <si>
    <t>101-061450 TR H</t>
  </si>
  <si>
    <t>101-061450 TR E</t>
  </si>
  <si>
    <t>101-061450 TR 19</t>
  </si>
  <si>
    <t>101-061450 TR 10</t>
  </si>
  <si>
    <t xml:space="preserve">    - CANON  Y  SOBRECANON, REGALIAS        Y PARTICIPACIONES</t>
  </si>
  <si>
    <t>BANCO DE LA NACION . SIS - TP - CUT</t>
  </si>
  <si>
    <t>102-007050</t>
  </si>
  <si>
    <t>101-322955</t>
  </si>
  <si>
    <t xml:space="preserve">BANCO DE LA NACION </t>
  </si>
  <si>
    <t>101-043231</t>
  </si>
  <si>
    <t>101-166325</t>
  </si>
  <si>
    <t>2015</t>
  </si>
  <si>
    <t>101-061450</t>
  </si>
  <si>
    <t>COMUNICACIONES MTC</t>
  </si>
  <si>
    <t>TRANSFERENCIAS</t>
  </si>
  <si>
    <t>2014</t>
  </si>
  <si>
    <t>DONACIONES</t>
  </si>
  <si>
    <t>4. DONACIONES Y TRANSFERENCIAS DONACIONES</t>
  </si>
  <si>
    <t>2017</t>
  </si>
  <si>
    <t>ENDEUDAMIENTO EXTERNO</t>
  </si>
  <si>
    <t>101-061450 TR F</t>
  </si>
  <si>
    <t>101-061450 TR 15</t>
  </si>
  <si>
    <t>101-061450 TR 13</t>
  </si>
  <si>
    <t>101-061450 TR 12</t>
  </si>
  <si>
    <t>101-061450 TR 11</t>
  </si>
  <si>
    <t>ENDEUDAMIENTO INTERNO</t>
  </si>
  <si>
    <t>3.- RECURSOS OPERACIONES OFICIALES DE CRED. EXTERNO</t>
  </si>
  <si>
    <t>BANCO DE LA NACION.  RDR - TP - CUT</t>
  </si>
  <si>
    <t>102-006305</t>
  </si>
  <si>
    <t>102-005589</t>
  </si>
  <si>
    <t>101-589013</t>
  </si>
  <si>
    <t>101-115879</t>
  </si>
  <si>
    <t>101-037665</t>
  </si>
  <si>
    <t>101-037657</t>
  </si>
  <si>
    <t>101-037517</t>
  </si>
  <si>
    <t>Garantias</t>
  </si>
  <si>
    <t>101-588963</t>
  </si>
  <si>
    <t>101-044661</t>
  </si>
  <si>
    <t>101-061477</t>
  </si>
  <si>
    <t>OCTUBRE DE 2001</t>
  </si>
  <si>
    <t>0-101-037509</t>
  </si>
  <si>
    <t>301 CMFB</t>
  </si>
  <si>
    <t>101-061450 TR 7</t>
  </si>
  <si>
    <t>2011</t>
  </si>
  <si>
    <t>101-234584</t>
  </si>
  <si>
    <t>2004</t>
  </si>
  <si>
    <t>101-059111</t>
  </si>
  <si>
    <t>2001</t>
  </si>
  <si>
    <t>101-037630</t>
  </si>
  <si>
    <t>101-037622</t>
  </si>
  <si>
    <t>101-037614</t>
  </si>
  <si>
    <t>101-037460</t>
  </si>
  <si>
    <t>MAYO DE 2005</t>
  </si>
  <si>
    <t>0-101-074528</t>
  </si>
  <si>
    <t>2019</t>
  </si>
  <si>
    <t>101-061450 TR 6</t>
  </si>
  <si>
    <t>2020</t>
  </si>
  <si>
    <t>101-061450 TR 20</t>
  </si>
  <si>
    <t>101-061450 TR 18</t>
  </si>
  <si>
    <t>101-061450 TR 17</t>
  </si>
  <si>
    <t>2018</t>
  </si>
  <si>
    <t>101-061450 TR 14</t>
  </si>
  <si>
    <t>SALDO 2020 (*)</t>
  </si>
  <si>
    <t>SECTOR o GOB. REGIONAL: 443 GOBIERNO REGIONAL DE AREQUIPA</t>
  </si>
  <si>
    <t>1.- ASESORIA LEGAL</t>
  </si>
  <si>
    <t>42179659</t>
  </si>
  <si>
    <t>ASESORIA LEGAL</t>
  </si>
  <si>
    <t>2.- ASESORIA EN ARBITRAJE</t>
  </si>
  <si>
    <t>ASESORIA LEGAL - PROCESO DE ARBITRAJE</t>
  </si>
  <si>
    <t>PPTO 2018 (AL 31/12)</t>
  </si>
  <si>
    <t>PPTO 2019 (AL 30/06)</t>
  </si>
  <si>
    <t>PPTO 2019 (PROYECCI{ON 31/12)</t>
  </si>
  <si>
    <t>20293651729</t>
  </si>
  <si>
    <t>Servicio de elaboración de informe técnico especializado para la evaluación de la conveniencia de un nuevo proceso de selección como alternativa a negociar la Adenda 13 del TUO del contrato de concesión para la APP Proyecto Majes Siguas II- Gerencia Regi</t>
  </si>
  <si>
    <t>Planeamiento, Gestion y Reserva de Contingencia</t>
  </si>
  <si>
    <t>20524652065</t>
  </si>
  <si>
    <t>Contratación del Servicio de asesoría, actualización de evaluación y promoción, en la etapa de estructuración y transacción de la inversión privada,</t>
  </si>
  <si>
    <t>UNIDAD EJECUTORA :  401 HOSPITAL III GOYENECHE</t>
  </si>
  <si>
    <t xml:space="preserve"> MEJORAMIENTO Y AMPLIACION DEL SERVICIO DE EMERGENCIA PARA LA ATENCION Y MANEJO CLINICO DE CASO COVID-19 EN EL HOSPITAL GOYENECHE NIVEL III-1, DEL DISTRITO DE AREQUIPA, PROVINCIA AREQUIPA, REGION AREQUIPA</t>
  </si>
  <si>
    <t>CONTRATACION DIRECTA</t>
  </si>
  <si>
    <t xml:space="preserve">SUMA ALZADA </t>
  </si>
  <si>
    <t>DIRECTA-PROC-2-2020-HG-1</t>
  </si>
  <si>
    <t>20455347310 - R.V &amp; V CONTRATISTAS GENERALES E.I.R.L.</t>
  </si>
  <si>
    <t>45 DIAS CALENDARIO</t>
  </si>
  <si>
    <t>UNIDAD EJECUTORA : 443 GOBIERNO REGIONAL DE AREQUIPA</t>
  </si>
  <si>
    <t>SERVICIO DE INSTALACIÓN DE ESTRUCTURAS EN DRYWALL PARA EL MANTENIMIENTO DEL CENTRO MEDICO UNIVERSITARIO PEDRO P. DIAZ, POR EL ESTADO DE EMERGENCIA COVID-19 EN EL DISTRITO DE PAUCARPATA, REGIÓN AREQUIPA</t>
  </si>
  <si>
    <t>DIRECTA-PROC-40-2020-GRA.-1</t>
  </si>
  <si>
    <t>CONTRATO N° 142-2020-GRA (29/12/2020)</t>
  </si>
  <si>
    <t>GRUPO BELTRAN &amp; ASOCIADOS S.A.C.</t>
  </si>
  <si>
    <t>SERVICIO DE MANTENIMIENTO DE INSTALACIONES SANITARIAS para la obra MEJORAMIENTO Y AMPLIACIÓN DE LOS SERVICIOS DE HOSPITALIZACIÓN PARA LA ATENCIÓN Y MANEJO CLÍNICO DE CASOS COVID 19, EN EL HOSPITAL HONORIO DELGADO ESPINOZA DEL DISTRITO DE AREQUIPA PROVINCIA DE AREQUIPA DEPARTAMENTO DE AREQUIPA SERVICIO DE HOSPITALIZACIÓN COVID 19 SÓTANO, PRIMER PISO, SEGUNDO PISO, TERCER PISO, CUARTO PISO Y QUINTO PISO ETAPA III</t>
  </si>
  <si>
    <t>DIRECTA-PROC-109-2020-GRA-1</t>
  </si>
  <si>
    <t>CONTRATO N° 147, 144, 148, 143, 145 (30/12/2020)</t>
  </si>
  <si>
    <t>INGENIEROS CONTRATISTAS FRANC &amp; LUQUE S.A.C.    INGENIEROS CIVILES AZA SARMIENTO YANQUI ASOCIADOS SOCIEDAD ANONIMA CERRADA - ICAZA S.A.C.    FERDEC E.I.R.L.    SERVICIOS GENERALES KEISI EMP. INDIVIDUAL DE RESPONS. LIMITADA - SERVICIOS GENERALES KEISI E.I.R.L.     C &amp; M CONST.CONSULT.Y SERV.GRALES.SOC.COM. DE RESP. LIMITADA - C &amp; M CONST.CONS.Y SERV.GRALES S.R.L.</t>
  </si>
  <si>
    <t>SERVICIO DE INSTALACION DE ESTRUCTURA EN DRYWALL PARA EL MANTENIMIENTO DEL CENTRO UNIVERSITARIO PEDRO P. DIAZ POR EL ESTADO DE EMERGENCIA COVI-19 EN EL DISTRITO DE PAUCARPATA, REGION AREQUIPA</t>
  </si>
  <si>
    <t>DIRECTA-PROC-40-2020-GRA 1-1</t>
  </si>
  <si>
    <t>CONTRATO N° 142-2020 (29/12/2020)</t>
  </si>
  <si>
    <t>SERVICIO DE MANTENIMIENTO DE INFRAESTRUCTURA EN GENERAL (SERVICIO DE INSTALACION DE SISTEMA DE AIRE ACONDICIONADO) PARA EL MANTENIMIENTO DEL PABELLON DE EMERGENCIAS DEL HOSPITAL GOYENECHE NIVEL III-1 PARA EL ACONDICIONAMIENTO DEL AREA DE AISLAMIENTO DE EMERGENCIAS PARA PACIENTES COVID 19, DISTRITO DE AREQUIPA, PROVINCIA Y REGIONA AREQUIPA</t>
  </si>
  <si>
    <t>DIRECTA-PROC-30-2020-GRA-1</t>
  </si>
  <si>
    <t>CONTRATO N° 140-2020 (29/12/2020)</t>
  </si>
  <si>
    <t>JCM INGENIERIA AMBIENTAL S.A.C.</t>
  </si>
  <si>
    <t>ADQUISICION E INSTALACION DE MUEBLES EN INOX PARA EL PROYECTO MEJORAMIENTO Y AMPLIACIÓN DE LOS SERVICIOS DE HOSPITALIZACIÓN PARA LA ATENCIÓN Y MANEJO CLÍNICO DE CASOS COVID-19, EN EL HOSPITAL REGIONAL HONORIO DELGADO ESPINOZA DEL DISTRITO DE AREQUIPA - PROVINCIA DE AREQUIPA - DEPARTAMENTO DE AREQUIP</t>
  </si>
  <si>
    <t>DIRECTA-PROC-84-2020-GRA-1</t>
  </si>
  <si>
    <t>CONTRATO N° 146-2020 (30/12/2020)</t>
  </si>
  <si>
    <t>CHAMET INGENIEROS SAC</t>
  </si>
  <si>
    <t>ADQUISICIÓN DE MUEBLES DE MELAMINE PARA EL PROYECTO MEJORAMIENTO Y AMPLIACIÓN DE LOS SERVICIOS DE HOSPITALIZACIÓN PARA LA ATENCIÓN Y MANEJO DE CASOS COVID-19, EN EL HOSPITAL HONORIO DELGADO ESPINOZA, DEL DISTRITO DE AREQUIPA, PROVINCIA DE AREQUIPA, DEPARTAMENTO DE AREQUIPA</t>
  </si>
  <si>
    <t>DIRECTA-PROC-88-2020-GRA-1</t>
  </si>
  <si>
    <t>CONTRATO N° 141-2020 (29/12/2020)</t>
  </si>
  <si>
    <t>DECOMUEBLES DELUXE S.R.L.</t>
  </si>
  <si>
    <t>SERVICIO DE INSTALACIÓN DE LAMINADO DE VIDRIO PARA LA OBRA MEJORAMIENTO Y AMPLIACIÓN DE LOS SERVICIOS DE HOSPITALIZACIÓN PARA LA ATENCIÓN Y MANEJO CLÍNICO DE CASOS COVID 19 EN EL HOSPITAL REGIONAL HONORIO DELGADO ESPINOZA DEL DISTRITO DE AREQUIPA, PROVINCIA DE AREQUIPA, DEPARTAMENTO DE AREQUIPA SERVICIO DE HOSPITALIZACIÓN COVID-19: SÓTANO, PRIMER PISO, SEGUNDO PISO, TERCER PISO, CUARTO PISO Y QUITO PISO ¿ ETAPA III</t>
  </si>
  <si>
    <t>DIRECTA-PROC-97-2020-GRA-1</t>
  </si>
  <si>
    <t>CONTRATO N° 139-2020 (29/12/2020)</t>
  </si>
  <si>
    <t>VIDRIERIA LAMITEMP GLASS E.I.R.L.</t>
  </si>
  <si>
    <t>SERVICIO DE INSTALACIÓN DE ESTRUCTURAS EN DRYWAL para la obra MANTENIMIENTO DEL CENTRO MEDICO UNIVERSITARIO PEDRO P. DIAZ, POR EL ESTADO DE EMERGENCIA COVID-19 EN EL DISTRITO DE PAUCARPATA, REGIÓN AREQUIPA</t>
  </si>
  <si>
    <t>DIRECTA-PROC-77-2020-GRA-1</t>
  </si>
  <si>
    <t>ORDEN DE SERVICIO N° 5958-2020 (29/12/2020)</t>
  </si>
  <si>
    <t>GLOBAL SERVICE MINING F &amp; O SOCIEDAD COMERCIAL DE RESPONSABILIDAD LIMITADA</t>
  </si>
  <si>
    <t>ADQUISICIÓN DE EXTRACTORA DE AIRE INTERRUPTOR DE RECIERRE AUTOMÁTICO, INYECTORES DE AIRE Y TRANSFORMADOR para la obra MEJORAMIENTO Y AMPLIACIÓN DE LOS SERVICIOS DE EMERGENCIA PARA LA ATENCIÓN Y MANEJO CLÍNICO DE CASOS COVID -19, EN EL HOSPITAL REGIONAL HONORIO DELGADO ESPINOZA DE AREQUIPA</t>
  </si>
  <si>
    <t>DIRECTA-PROC-49-2020-GRA 1-1</t>
  </si>
  <si>
    <t>CONTRATO N° 138-2020 (29/12/2020)</t>
  </si>
  <si>
    <t>COMERCIAL MAXSEGUR S.A.C.</t>
  </si>
  <si>
    <t>ADQUISICION DE PRUEBA RAPIDA PARA DIAGNOSTICO DE CORONAVIRUS PARA EL GOBIERNO REGIONAL DE AREQUIPA</t>
  </si>
  <si>
    <t>DIRECTA-PROC-36-2020-GRA-1</t>
  </si>
  <si>
    <t>CONTRATO N° 137-2020 (29/12/2020)</t>
  </si>
  <si>
    <t>GRUPO FARMACEUTICO SAN PEDRO SOCIEDAD ANONIMA CERRADA-"G.F. SAN PEDRO S.A.C."</t>
  </si>
  <si>
    <t>ADQUISICIÓN DE MADERA TORNILLO PARA LA OBRA "CREACIÓN DEL SERVICIO EDUCATIVO DE LA I.E.I. LAS GARDENIAS, DISTRITO DE MAJES - CAYLLOMA- AREQUIPA".</t>
  </si>
  <si>
    <t>COMPRE-SM-10-2020-GRA-1</t>
  </si>
  <si>
    <t>DEFORSA S.R.L.</t>
  </si>
  <si>
    <t>ADQUISICIÓN DE COCINA GAS INDUSTRIAL DE 03 HORNILLAS PARA EL MEJORAMIENTO DE LA CAPACIDAD DE GESTIÓN DE LAS UNIDADES ORGÁNICAS DE LA GERENCIA REGIONAL DE DESARROLLO E INCLUSIÓN SOCIAL DEL GOBIERNO REGIONAL DE AREQUIPA, DISTRITO DE PAUCARPATA PROVINCIA AREQUIPA, DEPARTAMENTO DE AREQUIPA.</t>
  </si>
  <si>
    <t>COMPRE-SM-11-2020-GRA-1</t>
  </si>
  <si>
    <t>APAZA SALAS JOSUE CALEF</t>
  </si>
  <si>
    <t>ADQUISICION DE MALLA DE ACERO GALVANIZADO PARA LA ¿CREACION DEL SISTEMA DE CONSERVACIÓN, MANEJO Y APROVECHAMIENTO DE LA VICUÑA (VICUGNA VICUGNA) EN SEMI CAUTIVERIO EN LA COMUNIDAD CAMPESINA DE HUARHUA, DISTRITO PAMPAMARCA, PROVINCIA LA UNION, REGION AREQUIPA¿</t>
  </si>
  <si>
    <t>COMPRE-SM-9-2020-GRA.-1</t>
  </si>
  <si>
    <t>MALLAS Y ALAMBRES FABRIMAC S.A.C.</t>
  </si>
  <si>
    <t>ADJUDICACION DE TEJA ANDINA DE FIBROCEMENTO 1.14 X 0.72 E=5mm PARA LA OBRA "CREACION DE LOS SERVICIOS DE EDUCACION INICIAL ESCOLARIZADA DE LA INSTITUCION EDUCATIVA INICIAL MI SEGUNDO HOGAR, DISTRITO DE CAYLLOMA, PROVINCIA DE CAYLLOMA, REGGION AREQUIPA"</t>
  </si>
  <si>
    <t>COMPRE-SM-8-2020-GRA-1</t>
  </si>
  <si>
    <t>GLOBAL C &amp; B S.A.C.</t>
  </si>
  <si>
    <t>SERVICIO DE CONSTRUCCIÓN DE MURO DE CONTENCIÓN Y CIMENTACIÓN PARA PLANTA DE OXIGENO de la obra MEJORAMIENTO Y AMPLIACIÓN DE LOS SERVICIOS DE HOSPITALIZACIÓN PARA LA ATENCIÓN Y MANEJO CLÍNICO DE CASOS COVID-19, EN EL HOSPITAL REGIONAL HONORIO DELGADO ESPINOZA DEL DISTRITO DE AREQUIPA PROVINCIA DE AR</t>
  </si>
  <si>
    <t>DIRECTA-PROC-56-2020-GRA 1-1</t>
  </si>
  <si>
    <t xml:space="preserve"> CONTRATO N° 104-2020-GRA</t>
  </si>
  <si>
    <t>TINTA MAMANI JUAN CARLOS</t>
  </si>
  <si>
    <t>SUMINISTRO DE EQUIPOS Y ACCESORIOS PARA LA INSTALACIÓN DE SISTEMA DE GASES MEDICINALES PARA LA OBRA MEJORAMIENTO Y AMPLIACIÓN DE LOS SERVICIOS DE EMERGENCIA PARA LA ATENCIÓN Y MANEJO CLÍNICO DE CASOS COVID ¿ 19 EN EL HOSPITAL REGIONAL HONORIO DELGADO ESPINOZA DEL DISTRITO DE AREQUIPA, PROVINCIA DE AREQUIPA, DEPARTAMENTO DE AREQUIPA; SERVICIO DE EMERGENCIA COVID -19 (EX PEDIATRÍA Y EX VACUNACIÓN) ETAPA II</t>
  </si>
  <si>
    <t>DIRECTA-PROC-73-2020-GRA.-1</t>
  </si>
  <si>
    <t>CONTRATO N° 113-2020-GRA (27/11/2020)</t>
  </si>
  <si>
    <t> DISTRIBUIDORA Y SERVICIOS COMERCIALES M &amp; M E.I.R.L.</t>
  </si>
  <si>
    <t>SERVICIO DE PINTADO EN LA INFRAESTRUCTURA DEL HOSPITAL REGIONAL HONORIO DELGADO ESPINOZA PARA LA OBRA MEJORAMIENTO Y AMPLIACIÓN DE LOS SERVICIOS DE EMERGENCIA PARA LA ATENCIÓN Y MANEJO CLÍNICO DE CASOS COVID-19 EN EL HOSPITAL HONORIO DELGADO ESPINOZA ETAPA III</t>
  </si>
  <si>
    <t>DIRECTA-PROC-74-2020-GRA.-1</t>
  </si>
  <si>
    <t xml:space="preserve">CONTRATO N° 109, 112,111, </t>
  </si>
  <si>
    <t>M J W CONSTRUCCIONES S.A.C.     KALI INGENIERIA Y CONTRATISTAS GENERALES E.I.R.L.     SOLUCIONES FERCON EMPRESA INDIVIDUAL DE RESPONSABILIDAD LIMITADA</t>
  </si>
  <si>
    <t>SERVICIOS DE MANTENIMIENTO DE MUEBLES DE METAL PARA EL PROYECTO MEJORAMIENTO Y AMPLIACIÓN DE LOS SERVICIOS DE HOSPITALIZACIÓN PARA LA ATENCIÓN Y MANEJO CLÍNICO DE CASO COVID-19, EN EL HOSPITAL REGIONAL HONORIO DELGADO ESPINOZA DEL DISTRITO DE AREQUIPA - PROVINCIA DE AREQUIPA - DEPARTAMENTO DE AREQUIPA SERVICIO DE HOSPITALIZACIÓN COVID-19: SÓTANO, PRIMER PISO, SEGUNDO PISO, TERCER PISO, CUARTO PISO Y QUINTO PISO ETAPA III</t>
  </si>
  <si>
    <t>DIRECTA-PROC-79-2020-GRA-1</t>
  </si>
  <si>
    <t xml:space="preserve"> ONTRATO N° 106-2020-GRA</t>
  </si>
  <si>
    <t>SERVICIOS GENERALES KEISI E.I.R.L.</t>
  </si>
  <si>
    <t>SERVICIO DE ACONDICIONAMIENTO DE SALAS DE UNIDAD DE CUIDADOS INTENSIVOS PARA EL PROYECTO MEJORAMIENTO Y AMPLIACIÓN DE LOS SERVICIOS DE HOSPITALIZACIÓN PARA LA ATENCIÓN Y MANEJO CLÍNICO DE CASO COVID-19, EN EL HOSPITAL REGIONAL HONORIO DELGADO ESPINOZA DEL DISTRITO DE AREQUIPA - PROVINCIA DE AREQUIPA</t>
  </si>
  <si>
    <t>DIRECTA-PROC-78-2020-GRA-1</t>
  </si>
  <si>
    <t>CONTRATO N° 116-2020-GRA (27/11/2020)</t>
  </si>
  <si>
    <t>CONSTRUCTORA Y CONSULTORA EYZAGUIRRE ENRIQUEZ EMPRESA INDIVIDUAL DE RESPONSABILIDAD LIMITADA</t>
  </si>
  <si>
    <t>SERVICIO DE MURO DE CONCRETO Y CIMENTACION PARA EL MEJORAMIENTO Y AMPLIACION DE LOS SERVICIOS DE EMERGENCIA PARA LA ATENCION Y MANEJO CLINICO DE CASOS COVID-19 EN EL HOSPITAL HONORIO DELGADO ESPINOZA II ETAPA</t>
  </si>
  <si>
    <t>DIRECTA-PROC-56-2020-GRA-1</t>
  </si>
  <si>
    <t>SERVICIO DE INSTALACIÓN DE REDES DE DISTRIBUCIÓN Y TOMAS MURALES PARA GAS MEDICINAL Y VACÍO PARA LA OBRA MEJORAMIENTO Y AMPLIACIÓN DE LOS SERVICIOS DE EMERGENCIA PARA LA ATENCIÓN Y MANEJO CLÍNICO DE CASOS COVID -19, EN EL HOSPITAL HONORIO DELGADO ESPINOZA DE AREQUIPA DEL DISTRITO DE AREQUIPA, AREQUP</t>
  </si>
  <si>
    <t>DIRECTA-PROC-71-2020-GRA.-1</t>
  </si>
  <si>
    <t>ADQUISICIÓN DE BIENES DE SUMINISTRO E INSTALACIÓN DE DUCTOS DE RENOVACIÓN DE AIRE ACONDICIONADO PARA LA OBRA MEJORAMIENTO Y AMPLIACIÓN DE LOS SERVICIOS DE EMERGENCIA PARA LA ATENCIÓN Y MANEJO CLÍNICO DE CASOS COVID-19, EN EL HOSPITAL HONORIO DELGADO ESPINOZA</t>
  </si>
  <si>
    <t>DIRECTA-PROC-58-2020-GRA-1</t>
  </si>
  <si>
    <t>ADQUISICIÓN DE BIENES DE SUMINISTRO E INSTALACIÓN DE TENDIDO DE TUBERÍAS DE COBRE PARA LOS GASES MEDICINALES, LÍNEAS DE OXIGENO, VACÍO Y AIRE MEDICINAL PARA LA OBRA MEJORAMIENTO Y AMPLIACIÓN DE LOS SERVICIOS DE EMERGENCIA PARA LA ATENCIÓN Y MANEJO CLÍNICO DE CASOS COVID-19, EN EL HOSPITAL HONORIO DELGADO ESPINOZA</t>
  </si>
  <si>
    <t>DIRECTA-PROC-57-2020-GRA-1</t>
  </si>
  <si>
    <t>SERVICIOS DE ALIMENTACION PARA LAS PERSONAS QUE DEBEN DESPLAZARSE DENTRO DEL PAIS A CONSECUENCIA DE LA DECLARACION DEL ESTADO DE EMERGENCIA NACIONAL POR EL COVID-19</t>
  </si>
  <si>
    <t>DIRECTA-PROC-46-2020-GRA-1</t>
  </si>
  <si>
    <t>ADQUISICIÓN E INSTALACIÓN DE ESQUINERO METÁLICOS PARA EL PROYECTO MEJORAMIENTO Y AMPLIACIÓN DE LOS SERVICIOS DE HOSPITALIZACIÓN PARA LA ATENCIÓN Y MANEJO CLÍNICO DE CASO COVID-19, EN EL HOSPITAL REGIONAL HONORIO DELGADO ESPINOZA DEL DISTRITO DE AREQUIPA - PROVINCIA DE AREQUIPA - DEPARTAMENTO DE AREQUIPA SERVICIO DE HOSPITALIZACIÓN COVID-19: SÓTANO, PRIMER PISO, SEGUNDO PISO, TERCER PISO, CUARTO PISO Y QUINTO PISO ETAPA III</t>
  </si>
  <si>
    <t>DIRECTA-PROC-81-2020-GRA-1</t>
  </si>
  <si>
    <t>ADQUISICION DE PRUEBAS RAPIDA PARA DIAGNOSTICO DE CORONAVIRUS PARA EL GOBIERNO REGIONAL DE AREQUIPA</t>
  </si>
  <si>
    <t>DIRECTA-PROC-17-2020-GRA-1</t>
  </si>
  <si>
    <t>ADQUISICIÓN DE CONDUCTORES ELÉCTRICOS, LUMINARIAS Y ACCESORIOS para la obra MEJORAMIENTO Y AMPLIACIÓN DE LOS SERVICIOS DE HOSPITALIZACIÓN PARA LA ATENCIÓN Y MANEJO CLINICO DE CASOS COVID 19, EN EL HOSPITAL REGIONAL HONORIO DELGADO ESPINOZA DEL DISTRITO DE AREQUIPA PROVINCIA DE AREQUIPA DEPARTAMENTO DE AREQUIPA SERVICIO DE HOSPITALIZACIÓN COVID-19 SÓTANO, PRIMER CASO, SEGUNDO PISO, TERCER PISO, CUARTO PISO Y QUINTO PISO ETAPA III</t>
  </si>
  <si>
    <t>DIRECTA-PROC-80-2020-GRA-1</t>
  </si>
  <si>
    <t>SERVICIO DE INSTALACIÓN DE INSTALACIÓN DE PISO DE MADERA DE PLANCHA OSB DE 1.22 X 2.44 E=18MM A TODO COSTO PARA LA OBRA MEJORAMIENTO Y AMPLIACIÓN DE LOS SERVICIOS DE EMERGENCIA PARA LA ATENCIÓN Y MANEJO CLÍNICO DE CASOS COVID ¿ 19 EN EL HOSPITAL REGIONAL HONORIO DELGADO ESPINOZA DEL DISTRITO DE AREQUIPA, PROVINCIA DE AREQUIPA, DEPARTAMENTO DE AREQUIPA ALMACÉN DE CONTINGENCIA, ETAPA III</t>
  </si>
  <si>
    <t>DIRECTA-PROC-68-2020-GRA-1</t>
  </si>
  <si>
    <t>SERVICIO DE INSTALACIÓN DE ESTRUCTURAS EN DRYWALL A TODO COSTO PARA LA OBRA MEJORAMIENTO Y AMPLIACIÓN DE LOS SERVICIOS DE EMERGENCIA PARA LA ATENCIÓN Y MANEJO CLÍNICO DE CASOS COVID ¿ 19 EN EL HOSPITAL REGIONAL HONORIO DELGADO ESPINOZA DEL DISTRITO DE AREQUIPA, PROVINCIA DE AREQUIPA, DEPARTAMENTO DE AREQUIPA ALMACÉN DE CONTINGENCIA, ETAPA III</t>
  </si>
  <si>
    <t>DIRECTA-PROC-69-2020-GRA-1</t>
  </si>
  <si>
    <t>SERVICIO DE FABRICACION, MONTAJE E INSTALACION DE CARPINTERIA METALICA PARA LA OBRA CONSTRUCCION DE ALMACEN HOSPITALARIO POR EMERGENCIA SANITARIA COVID-19 EN EL HOSIPITAL REGIONAL III HONORIO DELGADO ESPINOZA, DEPARTAMENTO DE AREQUIPA-DISTRITO Y PROVINCIA DE AREQUIPA</t>
  </si>
  <si>
    <t>DIRECTA-PROC-67-2020-GRA-1</t>
  </si>
  <si>
    <t>SERVICIO DE CONSTRUCCION DE VEREDA Y LOSA DE CONCRETO PARA EL MEJORAMIENTO Y AMPLIACION DE LOS SERVICIOS DE EMERGENCIA PARA LA ATENCION Y MANEJO CLINICO DE CASOS COVID-19 EN EL HOSPITAL HONORIO DELGADO ESPINOZA II ETAPA</t>
  </si>
  <si>
    <t>DIRECTA-PROC-54-2020-GRA-1</t>
  </si>
  <si>
    <t>SERVICIO DE SUMINISTRO E INSTALACIÓN DE REDES DE DISTRIBUCIÓN Y TOMAS MURALES PARA GAS MEDICINAL, VACÍO Y OXIGENO PARA EL PROYECTO MEJORAMIENTO Y AMPLIACIÓN DE LOS SERVICIOS DE HOSPITALIZACIÓN PARA LA ATENCIÓN Y MANEJO CLÍNICO DE CASO COVID-19, EN EL HOSPITAL REGIONAL HONORIO DELGADO ESPINOZA DEL DISTRITO DE AREQUIPA - PROVINCIA DE AREQUIPA - DEPARTAMENTO DE AREQUIPA</t>
  </si>
  <si>
    <t>DIRECTA-PROC-53-2020-GRA-1</t>
  </si>
  <si>
    <t>SERVICIO DE INSTALACION DE PISO ANTIESTATICO PARA EL MEJORAMIENTO Y AMPLIACION DE LOS SERVICIOS DE EMERGENCIA PARA LA ATENCION Y MANEJO CLINICO DE LOS CASOS COVID-19 EN EL HOSPITAL REGIONAL HONORIO DELGADO ESPINOZA DE AREQUIPA DEL DISTRITO DE AREQUIPA, PROVINCIA DE AREQUIPA DEPARTAMENTO DE AREQUIPA</t>
  </si>
  <si>
    <t>DIRECTA-PROC-50-2020-GRA-1</t>
  </si>
  <si>
    <t>SERVICIO DE PINTADO EN GENERAL PARA EL MANTENIMIENTO DEL PABELLON DE EMERGENCIAS DEL HOSPITAL GOYENECHE NIVEL III 1 PARA EL ACONDICIONAMIENTO DEL AREA DE AISLAMIENTO DE EMERGENCIA PARA PACIENTES COVID-19, DISTRITO DE AREQUIPA, PROVINCIA Y REGION AREQUIPA</t>
  </si>
  <si>
    <t>DIRECTA-PROC-27-2020-GRA-1</t>
  </si>
  <si>
    <t>SERVICIO DE INSTALACION DE ZOCALOS PARA EL "MEJORAMIENTO Y AMPLIACIÓN DE LOS SERVICIOS DE EMERGENCIA PARA LA ATENCION Y MANEJO CLÍNICO DE CASOS COVID-19, EN EL HOSPITAL HONORIO DELGADO ESPINOZA DISTRITO DE AREQUIPA PROVINCIA DE AREQUIPA DEPARTAMENTO DE AREQUIPA"</t>
  </si>
  <si>
    <t>DIRECTA-PROC-37-2020-GRA.-1</t>
  </si>
  <si>
    <t>SERVICIO DE SUMINISTRO E INSTALACIÓN ES DE PISO VINIL CONDUCTIVO ANTIESTÁTICO PARA EL MANTENIMIENTO DEL CENTRO MEDICO UNIVERSITARIO PEDRO P. DIAZ, POR EL ESTADO DE EMERGENCIA COVID-19 EN EL DISTRITO DE PAUCARPATA, REGIÓN AREQUIPA</t>
  </si>
  <si>
    <t>DIRECTA-PROC-23-2020-GRA-1</t>
  </si>
  <si>
    <t>SUMINISTRO E INSTALACIÓN DE ESTUFA 13000 W PARA LA IOARR CONSTRUCCIÓN DE LA SALA DE OBSERVACIÓN: ADQUISICIÓN DE SALA DE OBSERVACIÓN Y EQUIPO DE SEGURIDAD PARA EL SERVICIO DE CONTROL EN EL (LA) EESS HOSPITAL REGIONAL HONORIO DELGADO ESPINOZA ¿ AREQUIPA DISTRITO DE JOSÉ LUIS BUSTAMANTE Y RIVERO, PROVI</t>
  </si>
  <si>
    <t>DIRECTA-PROC-39-2020-GRA-1</t>
  </si>
  <si>
    <t>ADQUISICIÓN DE BOVINOS SWISS PPC HEMBRA Y MACHO para el MEJORAMIENTO DE LA PRODUCCIÓN Y PRODUCTIVIDAD LECHERA DE LA ASOCIACIÓN PRODUCTORES GANADEROS VIRGEN INMACULADA CONCEPCIÓN ANEXO DE MAGHUANCA DISTRITO DE PUYCA PROVINCIA DE LA UNIÓN DEPARTAMENTO DE AREQUIPA</t>
  </si>
  <si>
    <t>AS-SM-77-2020-GRA-1</t>
  </si>
  <si>
    <t>CONTRATO N° 131-2020-GRA (21/12/2020)</t>
  </si>
  <si>
    <t xml:space="preserve">CONSORCIO MELGAR :   GANADERIA LAS CONDES E.I.R.L.   DEL CARPIO ANTEZANA PERCY
</t>
  </si>
  <si>
    <t>ADQUISICIÓN DE CEMENTO PORTLAND TIPO IP X 42.50 para la obra CREACIÓN DE LOS SERVICIOS DE EDUCACIÓN INICIAL ESCOLARIZADA DE LA I.E.I. JARDIN DE BLANQUITA EN EL DISTRITO DE CAYMA, PROVINCIA DE AREQUIPA, REGIÓN AREQUIPA</t>
  </si>
  <si>
    <t>SIE-SIE-33-2020-GRA-1</t>
  </si>
  <si>
    <t>OC N° 3554 (22/12/2020)</t>
  </si>
  <si>
    <t>GRUPO SANTA FE S.A.C.</t>
  </si>
  <si>
    <t>ADQUISICIÓN DE ASFALTO LIQUIDO RC-250 para la obra MEJORAMIENTO DE LA CARRETERA VECINAL RUTA N AR-549 DE TRAYECTORIA: EMP. AR-105 PTE. PTA. COLORADA SAHUANI, DISTRITO DE URACA CORIRE, PROVINCIA DE CASTILLA, REGIÓN AREQUIPA, TRAMO 02 KM 6 000 A KM 12 240</t>
  </si>
  <si>
    <t>SIE-SIE-39-2020-GRA-1</t>
  </si>
  <si>
    <t>CONTRATO N° 126-2020-GRA (15/12/2020)</t>
  </si>
  <si>
    <t>CORPORACION RIO BRANCO S A</t>
  </si>
  <si>
    <t>ADQUISICIÓN DE VARILLAS DE ACERO para la obra CREACIÓN DEL SERVICIO EDUCATIVO DE LA I.E.I. LAS GARDENIAS, DISTRITO MAJES CAYLLOMA AREQUIPA</t>
  </si>
  <si>
    <t>SIE-SIE-38-2020-GRA-1</t>
  </si>
  <si>
    <t>ORDEN DE COMPRA N° 3585-2020-GRA</t>
  </si>
  <si>
    <t>SERVICIO DE CONSULTORÍA PARA LA EVALUACIÓN DEL EXPEDIENTE TÉCNICO DE SALDO DE OBRA MEJORAMIENTO DE LA CARRETERA VIZCACHANI CALLALI SIBAYO CAYLLOMA, PROVINCIA DE CAYLLOMA, REGIÓN AREQUIPA SEGUNDA ETAPA TRAMO 01 km 0 000 km 11 000 km 12 000, km 22 000 km 23 000 km 36 920 Y RAMAL 02 km 0 000 km 0 360, TRAMO 02 km 84 000 km 98 500</t>
  </si>
  <si>
    <t>DIRECTA-PROC-91-2020-GRA-1</t>
  </si>
  <si>
    <t xml:space="preserve">CONSORCIO VIAL CAYLLOMA   ABARCA QUISPE AMILCAR  MEDINA BARZOLA WILBERT
</t>
  </si>
  <si>
    <t>SERVICIO DE CONSULTORÍA PARA LA EVALUACIÓN DEL EXPEDIENTE TÉCNICO DE SALDO DE OBRA del proyecto MEJORAMIENTO DE LOS SERVICIOS DE SALUD DEL HOSPITAL DE CAMANÁ, DISTRITO Y PROVINCIA DE CAMANÁ, REGIÓN AREQUIPA</t>
  </si>
  <si>
    <t>DIRECTA-PROC-90-2020-GRA-1</t>
  </si>
  <si>
    <t> INGENIEROS CIVILES AZA SARMIENTO YANQUI ASOCIADOS SOCIEDAD ANONIMA CERRADA - ICAZA S.A.C.</t>
  </si>
  <si>
    <t>SERVICIO DE ELABORACIÓN DE ESTUDIO DE PRE INVERSIÓN PARA EL PROYECTO CREACIÓN DEL SERVICIO DE TRANSPIRABILIDAD VIAL INTERURBANO DE TROCHA CARROZABLE DE PAMPAMARCA A LOS ANEXOS DE SANTA ROSA, SECSENNCAYLLA, RUMAHUASI Y TECCA, DISTRITO DE PAMPAMARCA PROVINCIA DE LA UNIÓN, DEPARTAMENTO DE AREQUIPA</t>
  </si>
  <si>
    <t>AS-SM-60-2020-GRA-1</t>
  </si>
  <si>
    <t>CONTRATO N° 125-2020-GRA (15/12/2020)</t>
  </si>
  <si>
    <t>CONSTRUCTORA E INMOBILIARIA ENKASA EMPRESA INDIVIDUAL DE RESPONSABILIDAD LIMITADA    ART CONSULTORES Y CONTRATISTAS SOCIEDAD COMERCIAL DE RESPONSABILIDAD LIMITADA   KAPIA CONSULTORES &amp; CONTRATISTAS GENERALES SOCIEDAD COMERCIAL DE RESPONSABILIDAD LIMITADA</t>
  </si>
  <si>
    <t>SERVICIO DE IMPERMEABILIZACIÓN DE LOSA PARA EL MANTENIMIENTO E IMPERMEABILIZACIÓN DE LOS TECHOS AZOTEAS Y COBERTURAS EN EL HOSPITAL GOYENECHE III 1 DISTRITO DE AREQUIPA, PROVINCIA DE AREQUIPA, REGIÓN AREQUIPA</t>
  </si>
  <si>
    <t>AS-SM-67-2020-GRA-1</t>
  </si>
  <si>
    <t>CONTRATO N° 122-2020-GRA (11/12/2020)</t>
  </si>
  <si>
    <t>VORTICE CONSTRUCTORA CONSULTORA S.A.C.</t>
  </si>
  <si>
    <t>ADQUISICION DE COMBUSTIBLE DIESEL B5 S-50 y GASOHOL 90 PARA PARA ABASTECER A LAS DIFERENTES UNIDADES MOVILES DE LA SEDE CENTRAL DEL GOBIERNO REGIONAL DE AREQUIPA PARA LA META: MEDIDAS DE CONTROL DE INFECCIONES Y BIOSEGURIDAD EN LOS SERVICIOS DE SALUD.</t>
  </si>
  <si>
    <t>SIE-SIE-36-2020-GRA-1</t>
  </si>
  <si>
    <t>098-2020-GRA</t>
  </si>
  <si>
    <t>GRIFO J.H.P. E.I.R.LTDA.</t>
  </si>
  <si>
    <t>ADQUISICION DE CEMENTO TIPO IP X 42.5 Kg PARA LA OBRA AMPLIACION Y MEJORAMIENTO DEL SERVICIO EDUCATIVO EN LA INSTITUCION EDUCATIVA N 40322 NUESTRA SEÑIORA DE LA ASUNTA DEL DISTRITO DE MACHAHUAY, PROVINCIA DE CASTILLA, REGION AREQUIPA</t>
  </si>
  <si>
    <t>SIE-SIE-1-2020-GRA-2</t>
  </si>
  <si>
    <t>117-2020-GRA</t>
  </si>
  <si>
    <t>COMERCIAL RIFUMA E.I.R.L.</t>
  </si>
  <si>
    <t>ADQUISICIÓN DE MADERA TORNILLO PARA ENCOFRADOS PARA LA OBRA CREACIÓN DE LOS SERVICIOS DE EDUCACIÓN INICIAL ESCOLARIZADA DE LA I.E.I. MIRADOR DE JESUS DISTRITO DE PAUCARPATA, PROVINCIA DE AREQUIPA, REGIÓN AREQUIPA</t>
  </si>
  <si>
    <t>AS-SM-64-2020-GRA-1</t>
  </si>
  <si>
    <t>ORDEN DE COMPRA N° 2488-2020-GRA</t>
  </si>
  <si>
    <t>MADERERA SANTA FE DE JJ LA ISLA S.R.L.</t>
  </si>
  <si>
    <t>ADQUISICION DE CEMENTO PORTLAND TIPO IP X 42.5 PARA LA OBRA CREACION DE LA PLANTA DE TRATAMIENTO DE AGUAS RESIDUALES DOMESTICAS Y OBRAS COMPLEMENTARIAS PARA EL ASENT. URB. MUNICIPAL HORACIO ZEBALLOS GAMEZ Y LOCALIDADES DE LA ZONA SUR DEL DISTRITO DE CHARACATO, PROVINCIA DE AREQUIPA, REGION AREQUIPA</t>
  </si>
  <si>
    <t>SIE-SIE-35-2020-GRA-1</t>
  </si>
  <si>
    <t>ORDEN DE COMPRA 2862-2020-GRA</t>
  </si>
  <si>
    <t> CODECO E.I.R.L</t>
  </si>
  <si>
    <t>ADQUISICION DE DIESEL B5 S50 PARA LA OBRA MEJORAMIENTO DE LA CARRETERA VECINAL RUTA N° AR 549 DE TRAYECTORIA: EMP. AR 105 (PTE PTA COLORADA)-SAHUANI DISTRITO DE URACA CORIRE PROVINCIA DE CASTILLA, REGION AREQUIPA TRAMO 02 KM 6 000 A KM 12 240</t>
  </si>
  <si>
    <t>SIE-SIE-32-2020-GRA-1</t>
  </si>
  <si>
    <t>CONTRATO N° 086-2020-GRA</t>
  </si>
  <si>
    <t>ADQUISICIÓN DE CONCRETO PREMEZCLADO PARA LA OBRA CREACIÓN DE SERVICIOS DE EDUCACIÓN INICIAL ESCOLARIZADA DE LA I.E.I. MIRADOR DE JESÚS DISTRITO DE PAUCARPATA AREQUIPA</t>
  </si>
  <si>
    <t>SIE-SIE-31-2020-GRA-1</t>
  </si>
  <si>
    <t>CONTRATO N° 100-2020-GRA</t>
  </si>
  <si>
    <t>MASTER CON GS</t>
  </si>
  <si>
    <t>ADQUISICION DE CONCRETO PREMEZCLADO FC=210 KG/CM2 PARA LA OBRA MEJORAMIENTO DEL SERVICIO EDUCATIVO DE LA I.E N 40675 GENERAL VELASCO ALVARADO, LOS PORTALES DE CHIGUATA, AREQUIPA</t>
  </si>
  <si>
    <t>SIE-SIE-17-2020-GRA-2</t>
  </si>
  <si>
    <t> MASTER CON GS EMPRESA INDIVIDUAL DE RESPONSABILIDAD LIMITADA</t>
  </si>
  <si>
    <t>SERVICIO DE INSTALACIÓN DE PIEDRA LAJA Y CANTO RODADO PARA LA OBRA MEJORAMIENTO Y AMPLIACIÓN DE LOS SERVICIOS EDUCATIVOS DEL INSTITUTO SUPERIOR TECNOLÓGICO JORGE BASADRE G. PROVINCIA ISLAY MOLLENDO, REGIÓN AREQUIPA</t>
  </si>
  <si>
    <t>AS-SM-59-2020-GRA-1</t>
  </si>
  <si>
    <t>CONTRATO N| 097-2020-GRA (23/11/2020)</t>
  </si>
  <si>
    <t> LAJAS Y DETALLES SRL</t>
  </si>
  <si>
    <t>SERVICIO DE TERMOFUSION PARA LA OBRA CREACION DE LOS RESERVORIOS DE CCOLLPA PUQUIO EN LA LOCALIDAD DE SIBAYO DEL DISTRITO DE SIBAYO, PROVINCIA DE CAYLLOMA, DEPARTAMENTO DE AREQUIPA</t>
  </si>
  <si>
    <t>AS-SM-3-2020-GRA 1-2</t>
  </si>
  <si>
    <t>O/S N° 5357-2020 (09/12/2020)</t>
  </si>
  <si>
    <t> GRUPO M &amp; M CONTRATISTAS Y CONSULTORES S.A.C.</t>
  </si>
  <si>
    <t>ADQUISICION DE EQUIPO DE SOLDADURA Y GAS Y OXICORTE PARA EL MEJORAMIENTO DEL SERVICIO EDUCATIVO EN EL INSTITUTO DE EDUCACION SUPERIOR TECNOLOGICO PUBLICO PEDRO P. DIAZ, DISTRITO DE JOSE LUIS BUSTAMANTE Y RIVERO-AREQUIPA-AREQUIPA</t>
  </si>
  <si>
    <t>AS-SM-13-2020-GRA-3</t>
  </si>
  <si>
    <t>ORDEN DE COMPRA N° 2859-2020</t>
  </si>
  <si>
    <t>SOLDEX SA</t>
  </si>
  <si>
    <t>SERVICIO DE SUPERVISION Y LIQUIDACION DE OBRA PARA EL MEJORAMIENTO DEL SERVICIO DE TRANSITABILIDAD VEHICULAR EN LA VIA DEPARTAMENTAL AR-107, KM 0+000 HASTA KM 17+859 PAMPACOLCA-DV TAGRE TIPAN-DISTRITO DE PAMPACOLCA -PROVINCIA DE CASTILLA -DEPARTAMENTO DE AREQUIPA</t>
  </si>
  <si>
    <t>PEC-PROC-9-2019-GRA-2</t>
  </si>
  <si>
    <t>CONTRATO N° 099-2020-GRA (23/11/2020)</t>
  </si>
  <si>
    <t xml:space="preserve">CONSORCIO SUPERVISOR PAMPACOLCA :  BECERRA GUEVARA RICARDO LENIN   "RBG INGENIEROS S.A.C"
</t>
  </si>
  <si>
    <t>CONTRATACION DEL SERVICIO DE CONSULTORIA DE OBRA DE SUPERVISION PARA EL MEJORAMIENTO DEL CAMINO VECINAL ALTO MOLINO-LA BARRERA, PROG 0+00+20+100 DISTRITO DE RIO GRANDE-PROVINCIA DE CONDESUYOS-DEPARTAMENTO DE AREQUIPA</t>
  </si>
  <si>
    <t>PEC-PROC-8-2019-GRA.-2</t>
  </si>
  <si>
    <t>CONTRATO N° 093-2020-GRA</t>
  </si>
  <si>
    <t>JELCH INGENIEROS E.I.R.L.</t>
  </si>
  <si>
    <t>ADQUISICIÓN DE ACERO CORRUGADO para la obra CREACIÓN DE LOS SERVICIOS DE EDUCACIÓN INICIAL ESCOLARIZADA DE LA I.E.I. MIRADOR DE JESÚS, DISTRITO DE PAUCARPATA, PROVINCIA DE AREQUIPA, REGION AREQUIPA</t>
  </si>
  <si>
    <t>SIE-SIE-30-2020-GRA-1</t>
  </si>
  <si>
    <t>CONTRATO N° 087-2020-GRA (09/11/2020)</t>
  </si>
  <si>
    <t>ADQUISICIÓN DE LADRILLOS PARA LA CONSTRUCCIÓN DE LA OBRA CREACIÓN DE LOS SERVICIOS DE EDUCACIÓN INICIAL ESCOLARIZADA DE LA I.E.. MIRADOR DE JESÚS DISTRITO DE PAUCARPATA</t>
  </si>
  <si>
    <t>AS-SM-56-2020-GRA-1</t>
  </si>
  <si>
    <t>ORDEN DE COMPRA N° 2469 (03/11/2020)</t>
  </si>
  <si>
    <t>CORPORACION VIMAC EMPRESA INDIVIDUAL DE RESPONSABILIDAD LIMITADA</t>
  </si>
  <si>
    <t>ADQUISICIÓN DE CEMENTO PORTLAND, PARA LA OBRA CREACIÓN DE LOS SERVICIOS DE EDUCACIÓN INICIAL ESCOLARIZADA DE LA I.E.I. MIRADOR DE JESUS DISTRITO DE PAUCARPATA-PROVINCIA DE AREQUIPA, REGION AREQUIPA.</t>
  </si>
  <si>
    <t>SIE-SIE-29-2020-GRA-1</t>
  </si>
  <si>
    <t>ORDEN DE COMPRA N° 2423-2020-GRA (30/10/2020)</t>
  </si>
  <si>
    <t>SERVICIO DE ANALISIS DE LABORATORIO PRUEBA RAPIDA COVID-19 PARA LA OBRA "MEJORAMIENTO Y AMPLIACION DE LOS SERVICIOS EDUCATIVOS DEL INSTITUTO SUPERIOR TECNOLOGICO JORGE BASADRE G. PROVINCIA DE ISLAY MOLLENDO, REGION AREQUIPA"</t>
  </si>
  <si>
    <t>AS-SM-53-2020-GRA-1</t>
  </si>
  <si>
    <t>SERVICIOS GENERALES GUTIERREZ Y ASOCIADOS S.A.C.</t>
  </si>
  <si>
    <t>SERVICIO DE ALIMENTACION. PREPARACION REFRIGERIOS (RACION DE ALIMENTOS) PARA EL PLAN DE TRABAJO IMPLEMENTACION DEL CENTRO DE APOYO NUTRICIONAL (CAN), COMO MEDIDA PREVENTIVA DE CONTAGIO ANTE LA PRESENCIA DE COVID-19, EN AREQUIP-REGION AREQUIPA</t>
  </si>
  <si>
    <t>AS-SM-52-2020-GRA-1</t>
  </si>
  <si>
    <t>CONTRATO N° 085-2020-GRA (03/11/2020)</t>
  </si>
  <si>
    <t> GALINDEZ GALVEZ JORGE MILTON</t>
  </si>
  <si>
    <t>ADQUISICIÓN DE CONCRETO PRE MEZCLADO PARA LA OBRA MEJORAMIENTO Y AMPLIACIÓN DE LOS SERVICIOS EDUCATIVOS DEL INSTITUTO SUPERIOR DE EDUCACIÓN PUBLICO JORGE BASADRE G.PROVINCIA DE ISLAY -REGIÓN AREQUIPA</t>
  </si>
  <si>
    <t>SIE-SIE-24-2020-GRA-3</t>
  </si>
  <si>
    <t>CONTRATO N° 089-2020-GRA (10/11/2020)</t>
  </si>
  <si>
    <t>ROCA ZETA E.I.R.L.</t>
  </si>
  <si>
    <t>ADQUISICION E INSTALACION DE BUTACAS PARA AUDITORIO, MESAS Y SILLAS PARA COMEDOR PARA LA OBRA MEJORAMIENTO DE LOS SERVICIOS EDUCATIVOS DE LA I.E. N 40165 SAN JUAN BAUTISTA DE LA SALLE EN EL DISTRITO DE AREQUIPA,PROVINCIA Y REGION AREQUIPA.</t>
  </si>
  <si>
    <t>AS-SM-2-2019-GRA-2</t>
  </si>
  <si>
    <t>CONTRATO N° 120-2020-GRA (03/12/2020)</t>
  </si>
  <si>
    <t>HUAYAN CARMONA JUAN LEONARDO</t>
  </si>
  <si>
    <t>ADQUISICION E INSTALACION DE FALSO CIELO RAZO PARA LA OBRA MEJORAMIENTO DE LOS SERVICIOS EDUCATIVOS DE LA I.E. NRO 40165 SAN JUAN BAUTISTA DE LA SALLE EN EL DISTRITO DE AREQUIPA, PROVINCIA Y REGION AREQUIPA.</t>
  </si>
  <si>
    <t>AS-SM-99-2019-GRA-2</t>
  </si>
  <si>
    <t>CONTRATO N° 082-2020-GRA (26/10/2020)</t>
  </si>
  <si>
    <t>DISEÑOS PROYECTOS METALMECANICOS Y CONSTRUCCION SOCIEDAD ANONIMA CERRADA - DIMETCO S.A.C.</t>
  </si>
  <si>
    <t>ADQUISICIÓN DE AGREGADOS PARA LA OBRA AMPLIACIÓN Y MEJORAMIENTO DEL SERVICIO EDUCATIVO EN LA INSTITUCIÓN EDUCATIVA N° 40322 NUESTRA SEÑORA DE LA ASUNTA, DEL DISTRITO DE MACHAHUAY, PROVINCIA DE CASTILLA, DEPARTAMENTO DE AREQUIPA, REGIÓN AREQUIPA</t>
  </si>
  <si>
    <t>SIE-SIE-25-2020-GRA-3</t>
  </si>
  <si>
    <t>CONTRATO N° 078-2020-GRA (1910/2020)</t>
  </si>
  <si>
    <t>DIBAPRO E.I.R.L.</t>
  </si>
  <si>
    <t>SERVICIO DE CONFECCIÓN E INSTALACIÓN DE MÓDULOS PREFABRICADOS PARA EL MEJORAMIENTO Y AMPLIACIÓN DE LA FRONTERA AGRÍCOLA OPTIMIZANDO LOS RECURSOS HÍDRICOS DE LA SUBCUENCA DEL RIO ARMA, CONDESUYOS ¿ AREQUIPA ¿ I ETAPA</t>
  </si>
  <si>
    <t>AS-SM-33-2020-GRA-2</t>
  </si>
  <si>
    <t>CONTRATO N° 083-2020-GRA (27/10/2020)</t>
  </si>
  <si>
    <t>TRACTOKAR S.A.C.</t>
  </si>
  <si>
    <t>ADQUISICIÓN DE PLANCHA TRAPEZOIDAL TERMOACUSTICA ALUZINC A-200 X 35 MM PARA LA META 014 MEJORAMIENTO DE LOS SERVICIOS EDUCATIVOS DE LA I.E. N 40165 SAN JUAN BAUTISTA DE LA SALLE, DISTRITO DE AREQUIPA</t>
  </si>
  <si>
    <t>AS-SM-10-2020-GRA-1</t>
  </si>
  <si>
    <t>CONTRATO N° 081-2020-GRA ( 26/10/2020)</t>
  </si>
  <si>
    <t> DISEÑOS PROYECTOS METALMECANICOS Y CONSTRUCCION SOCIEDAD ANONIMA CERRADA - DIMETCO S.A.C.</t>
  </si>
  <si>
    <t>SERVICIO DE ANÁLISIS DE LABORATORIO PRUEBA RÁPIDAS COVID 19 PARA LA OBRA "CREACIÓN DEL SERVICIO EDUCATIVO DEL NIVEL SECUNDARIO DE LA I.E LAS FLORES DISTRITO DE CERRO COLORADO PROVINCIA DE AREQUIPA DEPARTAMENTO DE AREQUIPA"</t>
  </si>
  <si>
    <t>AS-SM-46-2020-GRA-1</t>
  </si>
  <si>
    <t>ORDEN DE SERVICIO N° 3840-2020 (26/10/2020)</t>
  </si>
  <si>
    <t>ADQUISICION DE EQUIPOS DE PROTECCION PERSONAL PARA LA OBRA MEJORAMIENTO DE LA CARRETERA VISCACHANI-CALLALLI-SIBAYO-CAYLLOMA, PROVINCIA DE CAYLLOMA-REGION AREQUIPA ETAPA III</t>
  </si>
  <si>
    <t>AS-SM-42-2020-GRA-1</t>
  </si>
  <si>
    <t>O/C N° 2165-2020-GRA (19/10/2020)</t>
  </si>
  <si>
    <t>MASILJO PERU SOCIEDAD ANONIMA CERRADA</t>
  </si>
  <si>
    <t>ADQUISICIÓN DE EQUIPOS DE PROTECCIÓN PERSONAL PARA OBREROS PARA LA OBRA MEJORAMIENTO Y AMPLIACIÓN DE LOS SERVICIOS EDUCATIVOS DEL INSTITUTO SUPERIOR TECNOLÓGICO JORGE BASADRE G. PROVINCIA DE ISLAY MOLLENDO, REGIÓN AREQUIPA</t>
  </si>
  <si>
    <t>AS-SM-50-2020-GRA-1</t>
  </si>
  <si>
    <t>O/C N° 2468-2020-GRA (03/11/20209</t>
  </si>
  <si>
    <t>ADQUISICIÓN DE PIEDRA PARA ENROCADO DE 1.0 M DE ANCHO APROXIMADAMENTE PARA LA REHABILITACIÓN DE LA DEFENSA RIBEREÑA CON ENROCADO EN EL VALLE DE OCOÑA, EN EL SECTOR BOCATOMA PIUCA, DISTRITO DE RIO GRANDE, PROVINCIA DE CONDESUYOS, AREQUIPA</t>
  </si>
  <si>
    <t>AS-SM-44-2020-GRA-2</t>
  </si>
  <si>
    <t>CONTRATO N° 072-2020-GRA (06/10/20209</t>
  </si>
  <si>
    <t>TÉCNICOS CONTRATISTAS GENERALES S.A.C.</t>
  </si>
  <si>
    <t>SERVICIO DE CONSULTORÍA DE OBRA PARA LA ELABORACIÓN DE EXPEDIENTE TÉCNICO DE SALDO DE OBRA DEL PROYECTO MEJORAMIENTO DE LA CARRETERA VISCACHANI - CALLALLI - SIBAYO - CAYLLOMA, PROVINCIA CAYLLOMA, REGIÓN AREQUIPA - SEGUNDA ETAPA - TRAMO 01 KM 0 MAS 000 - KM 11 00 - KM 12 MAS 000, KM22 MAS 000 - KM 23-000 - KM 36 MAS 920 Y RAMAL 02 ( KM 0 MAS 000 - KM 0 MAS 360), TRAMO 02 KM 84 MAS 000 - KM 98 MAS 500</t>
  </si>
  <si>
    <t>DIRECTA-PROC-52-2020-GRA-1</t>
  </si>
  <si>
    <t>CONTRATO N° 063-2020-GRA (08.09.20)</t>
  </si>
  <si>
    <t> CONSULTORA E INMOBILIARIA VOLCAN S A</t>
  </si>
  <si>
    <t>SERVICIO DE MANTENIMIENTO CORRECTIVO DE PLANTA DE ASFALTO CIBER UACF 17P-1 PARA EL MEJORAMIENTO DE LA CARRETERA VISCACHANI ¿ CALLALLI ¿ SIBAYO ¿ CAYLLOMA, PROVINCIA CAYLLOMA, REGIÓN AREQUIPA ETAPA III</t>
  </si>
  <si>
    <t>AS-SM-49-2020-GRA-1</t>
  </si>
  <si>
    <t>CONTRATO N° 076-2020-GRA</t>
  </si>
  <si>
    <t>INDUSTRIAL FAIMSUR COMPAÑIA SOCIEDAD COMERCIAL DE RESPONSABILIDAD LIMITADA - IND. FAIMSUR CO. S.R.L.</t>
  </si>
  <si>
    <t>ADQUISICIÓN DE COMBUSTIBLE DIESEL B5 S-50 PARA LA OBRA MEJORAMIENTO Y AMPLIACIÓN DE LOS SERVICIOS EDUCATIVOS DEL INSTITUTO SUPERIOR TECNOLÓGICO JORGE BASADRE G. PROVINCIA DE ISLAY MOLLENDO REGIÓN AREQUIPA</t>
  </si>
  <si>
    <t>SIE-SIE-28-2020-GRA-1</t>
  </si>
  <si>
    <t>ORDEN DE COMPRA N° 1877 (23/09/2020)</t>
  </si>
  <si>
    <t>ADQUISICIÓN DE EQUIPOS DE PROTECCIÓN PERSONAL ¿MEJORAMIENTO DEL SISTEMA VIAL Y PEATONAL DE LA ASOCIACIÓN DE VIVIENDA CAHUAYA ROSASPATA, DISTRITO DE PAUCARPATA - AREQUIPA - AREQUIPA¿ ETAPA II</t>
  </si>
  <si>
    <t>AS-SM-40-2020-GRA-1</t>
  </si>
  <si>
    <t>CONTRATO N° 079-2020-GRA</t>
  </si>
  <si>
    <t>ADQUISICIÓN DE ABONO ORGÁNICO PARA EL PROYECTO ¿MEJORAMIENTO DE LA PRODUCTIVIDAD DEL CULTIVO DE PALTA PARA LA ASOCIACIÓN DE PRODUCTORES DE PALTA DEL DISTRITO DE QUICACHA PROVINCIA DE CARAVELI REGIÓN AREQUIPA¿</t>
  </si>
  <si>
    <t>AS-SM-43-2020-GRA-1</t>
  </si>
  <si>
    <t>CONTRATO N° 080-2020-GRA</t>
  </si>
  <si>
    <t>ABONOS ORGANICOS DEL SUR E.I.R.L.</t>
  </si>
  <si>
    <t>SERVICIO DE ANALISIS DEL LABORATORIO PRUEBAS RAPIDAS COVID 19 PARA LA OBRA "MEJORAMIENTO Y AMPLIACIÓN DE LA FRONTERA AGRÍCOLA OPTIMIZANDO LOS RECURSOS HÍDRICOS DE LA SUBCUENCA DEL RÍO ARMA, CONDESUYOS-AREQUIPA I ETAPA"</t>
  </si>
  <si>
    <t>AS-SM-34-2020-GRA-1</t>
  </si>
  <si>
    <t>CONTRATO N° 067-2020-GRA (24.SETIEMBRE.20)</t>
  </si>
  <si>
    <t>CLINICA FE Y SALUD S.A.C.</t>
  </si>
  <si>
    <t>SERVICIO DE CONSULTORÍA DE OBRA PARA LA ELABORACIÓN DE EXPEDIENTE TÉCNICO DEL SALDO DE OBRA MEJORAMIENTO DE LOS SERVICIOS DEL HOSPITAL CAMANA, DISTRITO Y PROVINCIA DE CAMANA, REGIÓN AREQUIPA</t>
  </si>
  <si>
    <t>DIRECTA-PROC-43-2020-GRA-1</t>
  </si>
  <si>
    <t>CONTRATO N° 059-2020-GRA (04/09/2020)</t>
  </si>
  <si>
    <t>CONSORCIO INCA :   TICONA VARGAS TOMAS    GUERRA RAMOS CESAR EDWIN</t>
  </si>
  <si>
    <t>SERVICIO DE CONSULTORÍA DE OBRA PARA LA ELABORACIÓN DE EXPEDIENTE TÉCNICO DEL SALDO DE OBRA MEJORAMIENTO DE LOS SERVICIOS DE SALUD DEL ESTABLECIMIENTO DE SALUD DE COTAHUASI, DISTRITO DE COTAHUASI PROVINCIA LA UNIÓN, REGIÓN AREQUIPA</t>
  </si>
  <si>
    <t>DIRECTA-PROC-42-2020-GRA-1</t>
  </si>
  <si>
    <t>CONTRATO N° 058-2020-GRA (04,SEP.20)</t>
  </si>
  <si>
    <t>QUISVAR CYC S.R.L.</t>
  </si>
  <si>
    <t>SERVICIO DE CONSULTORÍA DE OBRA PARA LA ELABORACIÓN DE EXPEDIENTE TÉCNICO DEL SALDO DE OBRA MEJORAMIENTO DE LOS SERVICIOS DE SALUD DEL ESTABLECIMIENTO DE SALUD DE CHALA, DISTRITO DE CHALA, PROVINCIA DE CARAVELI, REGIÓN AREQUIPA</t>
  </si>
  <si>
    <t>DIRECTA-PROC-41-2020-GRA-1</t>
  </si>
  <si>
    <t>CONTRATO N° 057-2020-GRA (04.SEP.20)</t>
  </si>
  <si>
    <t xml:space="preserve">CONSORCIO PACIFICO :   CORPORACIÓN ICONS S.A.C.    GUERRA RAMOS CESAR EDWIN
</t>
  </si>
  <si>
    <t>MEJORAMIENTO Y AMPLIACIÓN DEL SERVICIO DE EDUCACIÓN PRIMARIA Y SECUNDARIA EN LA IE N°40205 MANUEL BENITO LINARES ARENAS, DISTRITO DE SOCABAYA - PROVINCIA DE AREQUIPA ¿ DEPARTAMENTO DE AREQUIPA</t>
  </si>
  <si>
    <t>LP-SM-14-2019-GRA-1</t>
  </si>
  <si>
    <t>CONTRATO N° 091-2020 (17/11/2020)</t>
  </si>
  <si>
    <t> INGENIERIA EN PROYECTOS CONSTRUCCIONES Y TELECOMUNICACIONES CONTRATISTAS GENERALES S.R.L.</t>
  </si>
  <si>
    <t>CONTRATACIÓN DE LA EJECUCIÓN DE LA OBRA: "MEJORAMIENTO DE SERVICIO EDUCATIVO EN LA I.E SAN JOSE DE CALSANZ EN EL DISTRITO DE CAYMA, PROVINCIA AREQUIPA, REGIÓN AREQUIPA"</t>
  </si>
  <si>
    <t>LP-SM-6-2020-GRA-1</t>
  </si>
  <si>
    <t xml:space="preserve">CONSORCIO ZEL CORP :    ZEL CORP CONSULTORES Y CONSTRUCTORES SOCIEDAD ANÓNIMA CERRADA - ZEL CORP S.A.C.     MAFER CONSTRUCCIONES Y ACABADOS E.I.R.L.
</t>
  </si>
  <si>
    <t>EJECUCION DE OBRA MEJORAMIENTO DE LA INFRAESTRUCTURA VIAL DE LA ASOCIACION DE VIVIENDA NUEVA ALBORADA, DISTRITO DE PAUCARPATA AREQUIPA AREQUIPA II ETAPA</t>
  </si>
  <si>
    <t>LP-SM-7-2020-GRA-1</t>
  </si>
  <si>
    <t>CONTRATO N° 127-2020 (15/12/2020)</t>
  </si>
  <si>
    <t xml:space="preserve">CONSORCIO NEBUTEC :     MAFER CONSTRUCCIONES Y ACABADOS E.I.R.L.    NEXUS BUILDER TECHNOLOGY SAC - NEBUTEC SAC
</t>
  </si>
  <si>
    <t>ADQUISICION DE ACEITE LUBRICANTE PARA MAQUINARIA PESADA Y LIVIANA PARA LA OBRA "MEJORAMIENTO DE LA CARRETERA VISCACHANI-CALLALLI-SIBAYO PROVINCIA DE CAYLLOMA, REGIÓN AREQUIPA"</t>
  </si>
  <si>
    <t>AS-SM-16-2020-GRA-2</t>
  </si>
  <si>
    <t>CONTRATO N° 077-2020-GRA</t>
  </si>
  <si>
    <t>URQUIA FLORES MICHAEL JESUS</t>
  </si>
  <si>
    <t>ADQUISICIÓN DE ABRIDORA DE FIBRA DE DOBLE CILINDRO PARA EL MEJORAMIENTO DE LA POST PRODUCCIÓN DE LA FIBRA DE ALPACA A TRAVÉS DE LA IMPLEMENTACIÓN DE MAQUINARIA Y EQUIPOS EN LA FEDERACIÓN REGIONAL DE ALPAQUEROS</t>
  </si>
  <si>
    <t>AS-SM-47-2020-GRA-1</t>
  </si>
  <si>
    <t>CONTRATO N° 129-2020 (26/12/2020)</t>
  </si>
  <si>
    <t>GANADERIA LAS CONDES E.I.R.L.</t>
  </si>
  <si>
    <t>ADQUISICION DE COMBUSTIBLE PARA MAQUINARIA PESADA Y LIVIANA PARA LA OBRA MEJORAMIENTO Y AMPLIACION DE LA FRONTERA AGRICOLA OPTIMIZANDO LOS RECURSOS HIDRICOS DE LA SUBCUENCA DEL RIO ARMA CONDESUYOS AREQUIPA</t>
  </si>
  <si>
    <t>SIE-SIE-27-2020-GRA-1</t>
  </si>
  <si>
    <t>CONTRATO N° 064-2020-GRA (16.SETIEMBRE.20)</t>
  </si>
  <si>
    <t>SERVICIO DE ELABORACIÓN DEL ESTUDIO DEFINITIVO A NIVEL EXPEDIENTE TÉCNICO PARA EL PROYECTO MEJORAMIENTO DE LOS SERVICIOS DE EDUCACIÓN PRIMARIA EN LA I.E. 41049 EVERARDO ZAPATA SANTILLANA DEL DISTRITO DE PUNTA DE BOMBON, PROVINCIA DE ISLAY, DEPARTAMENTO DE ARE</t>
  </si>
  <si>
    <t>AS-SM-39-2020-GRA-1</t>
  </si>
  <si>
    <t>CONTRATO N° 088-2020-GRA</t>
  </si>
  <si>
    <t>CHATATA HUANCA JULIO CESAR</t>
  </si>
  <si>
    <t>CONTRATO N° 068-2020-GRA (24.SETIEMBRE.20)</t>
  </si>
  <si>
    <t>LIMACHI ARELA JHON WILLIAM</t>
  </si>
  <si>
    <t>SERVICIO DE ALQUILER DE RETROEXCAVADORA CON MARTILLO HIDRÁULICO, MAQUINA SERVIDA ( A TODO COSTO) POR 750 HORAS MAQUINA PARA LA OBRA "MEJORAMIENTO DEL SISTEMA VIAL Y PEATONAL DE LA ASOCIACIÓN DE VIVIENDA CAHUAYA ROSASPATA, DISTRITO DE PAUCARPATA, AREQUIPA-AREQUIPA"</t>
  </si>
  <si>
    <t>AS-SM-37-2020-GRA-1</t>
  </si>
  <si>
    <t>CONTRATO N° 074-2020-GRA (12/10/2020)</t>
  </si>
  <si>
    <t> INCAMAQ S.R.L.</t>
  </si>
  <si>
    <t>CONTRATACIÓN DEL SERVICIO DE CONSULTORÍA DE OBRA SERVICIO DE SUPERVISIÓN Y LIQUIDACIÓN PARA LA OBRA ¿MEJORAMIENTO DE DEL EJE DE INTEGRACIÓN VIAL NORTE ENTRE LA INTERSECCIÓN DE LAS AV. LAS TORRES ¿ VÍA PE ¿ 34 A, HASTA LA INTERSECCIÓN CON LA AVENIDA ITALIA ¿ AV. AVIACIÓN DISTRITO DE PURA Y CERRO COL</t>
  </si>
  <si>
    <t>CP-SM-6-2020-GRA-1</t>
  </si>
  <si>
    <t>CONTRATO N° 096-2020-GRA (23/11/2020)</t>
  </si>
  <si>
    <t xml:space="preserve">CONSORCIO SUPERVISOR PUENTE PACCHA :   TICONA VARGAS TOMAS    BECERRA GUEVARA RICARDO LENIN    "RBG INGENIEROS S.A.C"
</t>
  </si>
  <si>
    <t>SERVICIO DE SUPERVISIÓN Y LIQUIDACIÓN DE LA OBRA MEJORAMIENTO DEL SERVICIO DE TRANSITABILIDAD DEL EJE DE INTEGRACIÓN VIAL NORTE ENTRE LA INTERSECCIÓN DE LA AV. LAS TORRES ¿ VIA PE 34A, HASTA LA INTERSECCIÓN DE LA AV. ITALIA ¿ AV. AVIACIÓN, DISTRITO DE YURA Y CERRO COLORADO, PROVINCIA DE AREQUIPA, RE</t>
  </si>
  <si>
    <t>CP-SM-5-2020-GRA-1</t>
  </si>
  <si>
    <t>CONTRATO N| 121-2020-GRA (07/12/2020)</t>
  </si>
  <si>
    <t>CONSORCIO SUPERVISOR PUENTE AÑASHUAYCO :  TICONA VARGAS TOMAS     BECERRA GUEVARA RICARDO LENIN  "RBG INGENIEROS S.A.C"</t>
  </si>
  <si>
    <t>SERVICIO DE LA REALIZACIÓN DE PRUEBAS RÁPIDAS DE DESCARTE COVID-19 PARA LA OBRA CREACION DE LOS SERVICIOS DE EDUCACIÓN SECUNDARIA ESCOLARIZADA DE LA INSTITUCION EDUCATIVA SECUNDARIA VILLA LINARES, DISTRITO DE SAMUEL PASTOR, PROVINCIA DE CAMANA, REGION AREQUIPA</t>
  </si>
  <si>
    <t>AS-SM-41-2020-GRA-1</t>
  </si>
  <si>
    <t>O/C N° 3202-2020-GRA (24/09/2020)</t>
  </si>
  <si>
    <t>SERVICIO DE ALQUILER DE RETROEXCAVADORA PARA LA OBRA "MEJORAMIENTO Y AMPLIACIÓN DE LA FRONTERA AGRÍCOLA OPTIMIZANDO LOS RECURSOS HÍDRICOS DE LA SUBCUENCA DEL RÍO ARMA, CONDESUYOS, DEPARTAMENTO DE AREQUIPA I ETAPA"</t>
  </si>
  <si>
    <t>AS-SM-23-2020-GRA-1</t>
  </si>
  <si>
    <t>CONTRATO N° 065-2020 (22/09/2020)</t>
  </si>
  <si>
    <t> IZQUIERDO ALANOCCA ROSA MARIA</t>
  </si>
  <si>
    <t>SERVICIO DE ALQUILER DE CAMIONETA PICK UP 4X4 PARA LA OBRA "CREACIÓN DE LOS SERVICIOS DE EDUCACIÓN SECUNDARIA ESCOLARIZADA DE LA INSTITUCIÓN EDUCATIVA SECUNDARIA VILLA LINARES, DISTRITO DE SAMUEL PASTOR, PROVINCIA DE CAMANA, REGION AREQUIPA"</t>
  </si>
  <si>
    <t>AS-SM-38-2020-GRA-1</t>
  </si>
  <si>
    <t>O/S N° 3180-2020-GRA (23/09/2020)</t>
  </si>
  <si>
    <t>MAQUINARIAS Y CONSTRUCCIONES GROUP S.A.C.</t>
  </si>
  <si>
    <t>ADQUISICION DE TRAJE TYBEK MAMELUCO ENTERO PARA LA OBRA MEJORAMIENTO DE LA CARRETERA VIZCACHANI-CALLALLI-SIBAYO-CAYLLOMA, PROVINCIA DE CAYLLOMA, REGIÓN AREQUIPA</t>
  </si>
  <si>
    <t>COMPRE-SM-5-2020-GRA-1</t>
  </si>
  <si>
    <t>ORDEN DE COMPRA  N°1367 (12/08/2020)</t>
  </si>
  <si>
    <t>ZEGARRA DELGADO DIMMY CONRAD</t>
  </si>
  <si>
    <t>SERVICIO DE ALQUILER DE CAMIONETA PARA EMERGENCIAS PARA LA CREACIÓN DE LOS SERVICIOS DE EDUCACIÓN SECUNDARIA ESCOLARIZADA DE LA INSTITUCIÓN EDUCATIVA SECUNDARIA VILLA LINARES, PROVINCIA CAMANÁ, REGIÓN AREQUIPA</t>
  </si>
  <si>
    <t>COMPRE-SM-7-2020-GRA-1</t>
  </si>
  <si>
    <t>ORDEN DE SERVICIO N° 2387 (17/08/2020)</t>
  </si>
  <si>
    <t>GALPOR S.R.L.</t>
  </si>
  <si>
    <t>ADQUISICIÓN DE CEMENTO PORTLAND TIPO IP 42.5 KG PARA EL MEJORAMIENTO DE LA CARRETERA VARIANTE DE UCHUMAYO ENTRE EL PUENTE SAN ISIDRO Y LA VÍA DE EVITAMIENTO, DISTRITO DE SACHACA, YANAHUARA Y CERRO COLORADO, PROVINCIA DE AREQUIPA ¿ REGIÓN DE AREQUIPA COMPONENTE: INTERFERENCIAS-CULMINACIÓN DE METAS DE</t>
  </si>
  <si>
    <t>SIE-SIE-26-2020-GRA-1</t>
  </si>
  <si>
    <t>ORDEN DE COMPRA N° 1491 (26/08/2020)</t>
  </si>
  <si>
    <t> GRUPO SANTA FE S.A.C.</t>
  </si>
  <si>
    <t>SERVICIO DE ALQUILER TRACTOR ORUGA PARA EL MEJORAMIENTO Y AMPLIACIÓN DE LA FRONTERA AGRÍCOLA OPTIMIZANDO LOS RECURSOS HÍDRICOS DE LA SUBCUENCA DEL RIO ARMA, CONDESUYOS ¿ AREQUIPA ¿ ETAPA I</t>
  </si>
  <si>
    <t>AS-SM-20-2020-GRA-1</t>
  </si>
  <si>
    <t>CONTRATO N° 062-2020-GRA (08.SETIEMBRE.20)</t>
  </si>
  <si>
    <t>TRANSPORTES Y CAL ORTIZ S.R.L.</t>
  </si>
  <si>
    <t>SERVICIO DE ALQUILER DE EXCAVADORAS HIDRÁULICAS PARA EL MEJORAMIENTO Y AMPLIACIÓN DE LA FRONTERA AGRÍCOLA OPTIMIZANDO LOS RECURSOS HÍDRICOS DE LA SUBCUENCA DEL RIO ARMA, CONDESUYOS ¿ AREQUIPA ¿ ETAPA I</t>
  </si>
  <si>
    <t>CP-SM-2-2020-GRA-1</t>
  </si>
  <si>
    <t>CONTRATO N° 066-2020-GRA( (24.SETIEMBRE.20)</t>
  </si>
  <si>
    <t>OJEDA OCHOA BENJAMIN</t>
  </si>
  <si>
    <t>ADQUISICION DE EQUIPO ULTRASONIDO INDUSTRIAL PARA EL CONTROL DE CALIDAD EN PROCESOS DE SOLDADURA, PARA LA OBRA MEJORAMIENTO DEL SERVICIO EDUCATIVO EN EL INSTITUTO DE EDUCACION SUPERIOR TECNOLOGICO PUBLICO PEDRO P. DIAZ, DISTRITO DE JOSE LUIS BUSTAMANTE Y RIVERO-AREQUIPA-AREQUIPA</t>
  </si>
  <si>
    <t xml:space="preserve">AS-SM-7-2020-GRA-2 </t>
  </si>
  <si>
    <t>CEYESA INGENIERIA ELECTRICA S.A.</t>
  </si>
  <si>
    <t>ADQUISICION DE INSUMOS QUIMICOS PARA TRATAMIENTO DE AGUA POTABLE PARA LA OPERATIVIDAD, MANTENIMIENTO PERIODICO DE LA PLANTA DE TRATAMIENTO DE AGUA DE LA JOYA-REGION AREQUIPA</t>
  </si>
  <si>
    <t>SIE-SIE-20-2020-GRA-2</t>
  </si>
  <si>
    <t>ORDEN DE COMPRA N° 1443 (19/08/20)</t>
  </si>
  <si>
    <t>PERU QUIMICOS SAC</t>
  </si>
  <si>
    <t>ADQUISICION DE MADERA TORNILLO PARA LA OBRA MEJORAMIENTO DEL SERVICIO EDUCATIVO EN EL INSTITUTO SUPERIOR TECNOLOGICO FAUSTINO B. FRANCO, DISTRITO DE SAMUEL PASTOR, PROVINCIA DE CAMANA, REGION AREQUIPA</t>
  </si>
  <si>
    <t>AS-SM-26-2020-GRA-1</t>
  </si>
  <si>
    <t>CONTRATO N° 052-2020-GRA (27.AGOSTO.20)</t>
  </si>
  <si>
    <t>COMPAÑIA MANANTAY S.A.C.</t>
  </si>
  <si>
    <t>ADQUISICION DE AGREGADOS PARA LA OBRA MEJORAMIENTO DEL SERVICIO EDUCATIVO DE LA INSTITUCION EDUCATIVA N 40144 AUGUSTO SALAZAR BONDY, DISTRITO DE MIRAFLORES, PROVINCIA DE AREQUIPA, DEPARTAMENTO DE AREQUIPA</t>
  </si>
  <si>
    <t>SIE-SIE-16-2020-GRA-2</t>
  </si>
  <si>
    <t>ORDEN DE COMPRA 1415-2020-GRA (18/08/2020)</t>
  </si>
  <si>
    <t>ARIDOS Y PRE FABRICADOS DEL SUR CONTRATISTAS GENERALES S.A.C.</t>
  </si>
  <si>
    <t>ADQUISICIÓN DE EQUIPO MEDICO CAMA CAMILLA PARA RECUPERACIÓN PARA EL MEJORAMIENTO Y AMPLIACIÓN DE LOS SERVICIOS DE EMERGENCIA PARA LA ATENCIÓN Y MANEJO CLÍNICO DE CASOS COVID-19, EN EL HOSPITAL HONORIO DELGADO ESPINOZA</t>
  </si>
  <si>
    <t>DIRECTA-PROC-16-2020-GRA-1</t>
  </si>
  <si>
    <t>CONTRATO N° 036-2020-GRA (09.JULIO.20)</t>
  </si>
  <si>
    <t>METAX INDUSTRIA Y COMERCIO S.A.C.</t>
  </si>
  <si>
    <t>ADQUISICION DE COCHE DE PARO, DESTRUCTOR DE AGUJAS HIPODERMICAS Y FLUJOMETRO CON HUMIFICADOR PARA LA RED DE OXIGENO PARA EL MEJORAMIENTO Y AMPLIACION DE LOS SERVICIOS DE EMERGENCIA PARA LA ATENCION Y MANEJO CLINICO DE CASOS COVID-19, EN EL HOSPITAL HONORIO DELGADO ESPINOZA</t>
  </si>
  <si>
    <t>DIRECTA-PROC-15-2020-GRA-1</t>
  </si>
  <si>
    <t>CONTRATO N° 038-2020-GRA (10.JULIO.20)</t>
  </si>
  <si>
    <t>MEGATECH PERU S.A.C.</t>
  </si>
  <si>
    <t>ADQUISICIÓN DE EQUIPO MEDICO MOBILIARIO CLÍNICO PARA EL MEJORAMIENTO Y AMPLIACIÓN DE LOS SERVICIOS DE EMERGENCIA PARA LA ATENCIÓN Y MANEJO CLÍNICO DE CASOS COVID-19, EN EL HOSPITAL HONORIO DELGADO ESPINOZA</t>
  </si>
  <si>
    <t>DIRECTA-PROC-11-2020-GRA-1</t>
  </si>
  <si>
    <t>CONTRATO N° 037-2020-GRA (10.JULIO.20)</t>
  </si>
  <si>
    <t>ADQUISICIÓN DE EQUIPO MEDICO RAYOS X RODABLE DIGITAL PARA EL MEJORAMIENTO Y AMPLIACIÓN DE LOS SERVICIOS DE EMERGENCIA PARA LA ATENCIÓN Y MANEJO CLÍNICO DE CASOS COVID-19, EN EL HOSPITAL HONORIO DELGADO ESPINOZA</t>
  </si>
  <si>
    <t>DIRECTA-PROC-12-2020-GRA-1</t>
  </si>
  <si>
    <t>CONTRATO N° 072-2020-GRA (12/10/2020)</t>
  </si>
  <si>
    <t>X RAY SALES AND SERVICE S.A.C.</t>
  </si>
  <si>
    <t>ADQUISICIÓN DE EQUIPO MEDICO BOMBA DE INFUSIÓN DE 02 CANALES PARA EL MEJORAMIENTO Y AMPLIACIÓN DE LOS SERVICIOS DE EMERGENCIA PARA LA ATENCIÓN Y MANEJO CLÍNICO DE CASOS COVID-19, EN EL HOSPITAL HONORIO DELGADO ESPINOZA</t>
  </si>
  <si>
    <t>DIRECTA-PROC-10-2020-GRA-1</t>
  </si>
  <si>
    <t>CONTRATO N° 042-2020-GRA (20.JULIO.20)</t>
  </si>
  <si>
    <t>NOVA MEDICAL S.A.C.</t>
  </si>
  <si>
    <t>ADQUISICIÓN DE EQUIPO MEDICO MONITOR DE FUNCIONES VITALES DE 5 PARÁMETROS PARA EL MEJORAMIENTO Y AMPLIACIÓN DE LOS SERVICIOS DE EMERGENCIA PARA LA ATENCIÓN Y MANEJO CLÍNICO DE CASOS COVID-19, EN EL HOSPITAL HONORIO DELGADO ESPINOZA</t>
  </si>
  <si>
    <t>DIRECTA-PROC-7-2020-GRA-1</t>
  </si>
  <si>
    <t>CONTRATO N° 041-2020-GRA (20.JULIO.20)</t>
  </si>
  <si>
    <t>VITALTEC S.A.C.</t>
  </si>
  <si>
    <t>ADQUISICIÓN DE EQUIPO MEDICO ASPIRADOR DE SECRECIONES, ESTETOSCOPIO ADULTO PEDIÁTRICO Y TENSIÓMETRO ANEROIDE RODABLE ADULTO PARA EL MEJORAMIENTO Y AMPLIACIÓN DE LOS SERVICIOS DE EMERGENCIA PARA LA ATENCIÓN Y MANEJO CLÍNICO DE CASOS COVID-19, EN EL HOSPITAL HONORIO DELGADO ESPINOZA</t>
  </si>
  <si>
    <t>DIRECTA-PROC-1-2020-GRA-1</t>
  </si>
  <si>
    <t>CONTRATO N° 039-2020-GRA (13.JULIO.20)</t>
  </si>
  <si>
    <t>DROGUERIA BIOMED MEDICAL E.I.R.L. - BIOMED MEDICAL E.I.R.L.</t>
  </si>
  <si>
    <t>ADQUISICIÓN DE AMBULANCIA RURAL TIPO II PARA EL MEJORAMIENTO DEL SERVICIO OPERATIVO DE LA VII COMANDANCIA DEPARTAMENTAL DE AREQUIPA DEL CUERPO GENERAL DE BOMBEROS VOLUNTARIOS DEL PERÚ ¿ REGIÓN AREQUIPA</t>
  </si>
  <si>
    <t>AS-SM-17-2020-GRA-2</t>
  </si>
  <si>
    <t>CONVERSIONES SAN JOSE PERU S.A.C.</t>
  </si>
  <si>
    <t>ADQUISICIÓN DE CLORO GAS LICUADO X 907 KG PARA LA OPERATIVIDAD , MANTENIMIENTO PERIÓDICO DE PLANTA DE TRATAMIENTO DE AGUA DE LA JOYA- REGIÓN AREQUIPA</t>
  </si>
  <si>
    <t>AS-SM-24-2020-GRA-1</t>
  </si>
  <si>
    <t>CONTRATO N° 049-2020-GRA (18/08/2020)</t>
  </si>
  <si>
    <t>REACTIVOS &amp; QUIMICOS DEL NORTE EMPRESA INDIVIDUAL DE RESPONSABILIDAD LIMITADA</t>
  </si>
  <si>
    <t>ADQUISICIÓN DE VARILLAS DE ACERO CORRUGADO PAR LA OBRA MEJORAMIENTO Y AMPLIACIÓN DEL SERVICIO EDUCATIVO DEL INSTITUTO SUPERIOR TECNOLÓGICO JORGE BASADRE G. PROVINCIA DE ISLAY MOLLENDO, REGIÓN DE AREQUIPA.</t>
  </si>
  <si>
    <t>SIE-SIE-23-2020-GRA-1</t>
  </si>
  <si>
    <t>CONTRATO N° 048-2020-GRA  (19/08/2020)</t>
  </si>
  <si>
    <t>GRUPO SANTA FE SOCIEDAD ANONIMA CERRADA - GRUPO SANTA FE S.A.C.</t>
  </si>
  <si>
    <t xml:space="preserve"> ADQUISICION DE CEMENTO PARA LA OBRA MEJORAMIENTO DEL SISTEMA VIAL Y PEATONAL DE LA ASOCIACION DE VIVIENDA CAHUAYA ROSASPATA, DISTRITO DE PAUCARPTA, AREQUIPA-AREQUIPA</t>
  </si>
  <si>
    <t>SIE-SIE-21-2020-GRA-1</t>
  </si>
  <si>
    <t>CONTRATO N° 035-2020-GRA (06/07/2020)</t>
  </si>
  <si>
    <t>SERVICIO DE CONSULTORÍA DE OBRA PARA LA SUPERVISIÓN DE LA OBRA MEJORAMIENTO Y AMPLIACIÓN DEL SERVICIO EDUCATIVO EN LA I.E. N° 40616 CASIMIRO CUADROS I, DISTRITO DE CAYMA ¿ PROVINCIA DE AREQUIPA ¿ REGIÓN AREQUIPA</t>
  </si>
  <si>
    <t xml:space="preserve"> 
CP-SM-1-2020-GRA-1</t>
  </si>
  <si>
    <t>CONTRATO N° 123-2020-GRA /(15/12/2020)}</t>
  </si>
  <si>
    <t xml:space="preserve">CONSORCIO SAN ANTONIO :   ROZAS LATORRE JOSE LUIS   ROZAS LATORRE JOSE LUIS
</t>
  </si>
  <si>
    <t>ADQUISICION DE VEHICULOS PARA LAS COMISARIAS DE LA POLICIA NACIONAL DE PERU, DE LOS DIFERENTES DISTRITOS DE LA PROVINCIA DE AREQUIPA, REGION AREQUIPA</t>
  </si>
  <si>
    <t>AS-SM-123-2019-GRA-2</t>
  </si>
  <si>
    <t>CONTRATO N° 043-2020-GRA (21.JULIO.20)</t>
  </si>
  <si>
    <t>CONSORCIO VIRGENCITA DE CHAPI (GRUPO EMPRESARIAL AJV E.I.R.L. - GRUPO EMPRESARIAL A&amp;T S.A.C.)</t>
  </si>
  <si>
    <t xml:space="preserve"> EJECUCION DE OBRA MEJORAMIENTO DE SERVICIO DE TRANSITABILIDAD DEL EJE DE INTEGRACION VIAL NORTE ENTRE LA INTERSECCION ENTRE LA AVENIDA LAS TORRES-PE -34A, HASTA LA INTERSECCION CON LA AV. ITALIA-AV AVIACION, DISTRITO DE YURA Y CERRO COLORADO PROVINCIA DE AREQUIPA TRAMO I COMPONENTE TRES CONSTRUCCION DEL PUENTE VEHICULAR PACCHA DISTRITO DE CERRO COLORADO PROVINCIA DE AREQUIPA REGION AREQUIPA</t>
  </si>
  <si>
    <t>LP-SM-3-2020-GRA-1</t>
  </si>
  <si>
    <t>CONSORCIO PUENTES AREQUIPA :</t>
  </si>
  <si>
    <t>MEJORAMIENTO DEL SERVICIO DE TRANSITABILIDAD DEL EJE DE INTEGRACIÓN VIAL NORTE ENTRE LA INTERSECCIÓN DE LA AV. LAS TORRES ¿ VIA PE 34A, HASTA LA INTERSECCIÓN DE LA AV. ITALIA ¿ AV. AVIACIÓN, DISTRITO DE YURA Y CERRO COLORADO, PROVINCIA DE AREQUIPA, REGIÓN AREQUIPA TRAMO I, COMPONENTE II, CONSTRUCCION DEL PUENTE VEHICULAR AÑASHUAYCO DISTRITO DE CERRO COLORADO PROVINCIA DE AREQUIPA REGION AREQUIPA</t>
  </si>
  <si>
    <t>LP-SM-2-2020-GRA-1</t>
  </si>
  <si>
    <t>CONSORCIO AREQUIPA :</t>
  </si>
  <si>
    <t>ADQUISICION DE ACERO CORRUGADO PARA LA OBRA MEJORAMIENTO DEL SERVICIO EDUCATIVO EN EL INSTITUTO SUPERIOR TECNOLOGICO FAUSTINO B. FRANCO DISTRITO DE SAMUEL PASTOR, PROVINCIA DE CAMANA, REGION AREQUIPA</t>
  </si>
  <si>
    <t xml:space="preserve"> SIE-SIE-19-2020-GRA-1</t>
  </si>
  <si>
    <t>CONTRATO N° 033-2020-GRA (30/06/2020)</t>
  </si>
  <si>
    <t xml:space="preserve"> GRUPO SANTA FE SOCIEDAD ANONIMA CERRADA - GRUPO SANTA FE S.A.C.</t>
  </si>
  <si>
    <t>ADQUISICION DE VARILLA DE ACERO PARA LA OBRA MEJORAMIENTO DEL SERVICIO EDUCATIVO DE LA I.E N40675 GENERAL VELASCO ALVARADO, LOS PORTALES DE CHIGUATA, AREQUIPA</t>
  </si>
  <si>
    <t>SIE-SIE-22-2020-GRA-1</t>
  </si>
  <si>
    <t>O/C 0000947-2020 (08/07/2020)</t>
  </si>
  <si>
    <t>FUENTES CANSAYA ALBERTO GODOFREDO</t>
  </si>
  <si>
    <t xml:space="preserve"> ADQUISICION DE TUBERIA CORRUGADA DE POLIETILENO DE ALTA DENSIDAD HDP DE 4IN X 5.79 M PARA LA OBRA "MEJORAMIENTO DE LA CARRETERA VISCACHANI -CALLALLI-SIBAYO-PROVINCIA DE CAYLLOMA, REGIÓN AREQUIPA"</t>
  </si>
  <si>
    <t>COMPRE-SM-3-2020-GRA-1</t>
  </si>
  <si>
    <t>O/C 000903-2020 (02/07/2020)</t>
  </si>
  <si>
    <t>FERMOSUR S.A.C.</t>
  </si>
  <si>
    <t>SERVICIO DE ALQUILER DE CAMIONETA PICK UP DOBLE CABINA PARA LA OBRA "MEJORAMIENTO Y AMPLIACIÓN DE LA FRONTERA AGRÍCOLA OPTIMIZANDO LOS RECURSOS HÍDRICOS DE LA SUBCUENCA DEL RÍO ARMA, CONDESUYOS-AREQUIPA I ETAPA"</t>
  </si>
  <si>
    <t>COMPRE-SM-4-2020-GRA-1</t>
  </si>
  <si>
    <t xml:space="preserve"> 0001721-2020  (02/07/2020)</t>
  </si>
  <si>
    <t>ILAVE CONSTRUCCION Y CONSULTORIA SAC</t>
  </si>
  <si>
    <t>ADQUISICION DE COMBUSTIBLE PARA EL MEJORAMIENTO DEL SISTEMA VIAL Y PEATONAL DE LA ASOCIACION DE VIVIENDA CAHUAYA ROSASPATA, DISTRITO DE PAUCARPATA, PROVINCIA DE AREQUIPA, REGION AREQUIPA II ETAPA</t>
  </si>
  <si>
    <t>AS-SM-15-2020-GRA-1</t>
  </si>
  <si>
    <t>CONTRATO N 032-2020-GRA (24/06/2020)</t>
  </si>
  <si>
    <t>ADQUISICION DE COMBUSTIBLE DIESEL B5 S50 PARA LA OBRA CREACION DE LOS SERVICIOS BASICOS PARA EL COLEGIO DE ALTO RENDIMIENTO (COAR AREQUIPA) CENTRO POBLADO BELLO HORIZONTE, DISTRITO DE MAJES, PROVINCIA DE CAYLLOMA, AREQUIPA</t>
  </si>
  <si>
    <t>SIE-SIE-18-2020-GRA-1</t>
  </si>
  <si>
    <t>O/C 0000816-2020 (25/06/2020)</t>
  </si>
  <si>
    <t>ADQUISICION DE LADRILLO PARA LA OBRA "MEJORAMIENTO DEL SERVICIO EDUCATIVO DE LA INSTITUCIÓN EDUCATIVA N°40144 AUGUSTO SALAZAR BONDY, DISTRITO DE MIRAFLORES, PROVINCIA DE AREQUIPA, DEPARTAMENTO DE AREQUIPA"</t>
  </si>
  <si>
    <t>COMPRE-SM-2-2020-GRA-1</t>
  </si>
  <si>
    <t>O/C 000904-2020 (02/07/2020)</t>
  </si>
  <si>
    <t xml:space="preserve"> PROSELMIN-PERU EIRL</t>
  </si>
  <si>
    <t>ADQUISICIÓN DE LADRILLO PARA LA OBRA MEJORAMIENTO Y AMPLIACION DE LOS SERVICIOS EDUCATIVOS DEL INSTITUTO SUPERIOR TECNOLOGICO JORGE BASADRE PROVINCIA DE ISLAY MOLLENDO, REGION AREQUIPA</t>
  </si>
  <si>
    <t>AS-SM-12-2020-GRA-1</t>
  </si>
  <si>
    <t>O/C 0000832-2020 (25/06/2020)</t>
  </si>
  <si>
    <t>PROSELMIN-PERU EIR</t>
  </si>
  <si>
    <t>ADQUISICION DE LIQUIDO ASFALTICO Y CEMENTO ASFALTICO PARA LA OBRA MEJORAMIENTO DE LA CARRETERA VISCACHANI-CALLALLI-SIBAYO-CAYLLOMA, PROVINCIA CAYLLOMA, REGION AREQUIPA</t>
  </si>
  <si>
    <t>SIE-SIE-79-2019-GRA-2</t>
  </si>
  <si>
    <t xml:space="preserve"> CONTRATO N° 034-2020-GRA (30/06/2020)</t>
  </si>
  <si>
    <t>CORPORACION CRV S.A.C</t>
  </si>
  <si>
    <t xml:space="preserve"> ADQUISICIÓN DE GUARDAVÍAS METÁLICOS, POSTES PARA GUARDAVÍAS, CAPTAFAROS Y ACCESORIOS COMPLETOS PARA EL MEJORAMIENTO DE LA CARRETERA VISCACHANI ¿ CALLALLI ¿ SIBAYO ¿ CAYLLOMA, PROVINCIA CAYLLOMA, REGIÓN AREQUIPA ETAPA III</t>
  </si>
  <si>
    <t>AS-SM-18-2020-GRA-1</t>
  </si>
  <si>
    <t xml:space="preserve"> CONTRATO N° 40-2020-GRA (17/07/2020)</t>
  </si>
  <si>
    <t>A &amp; C CONSULTORES Y MULTISERVICIOS S.A.C.</t>
  </si>
  <si>
    <t>ADQUISICION DE CEMENTO PORTLAND PUZOLANICO TIPO IP PARA LA OBRA MEJORAMIENTO DE LA CARRETERA VECINAL RUTA N AR-549 DE TRAYECTORIA: EMP AR-105 (PTA PTE COLORADA) SIHUANI DISTRITO DE URACA CORIRE PROVINCIA DE CASTILLA, REGION AREQUIPA</t>
  </si>
  <si>
    <t>SIE-SIE-13-2020-GRA-1</t>
  </si>
  <si>
    <t>CONTRATO N° 048-2020-GRA</t>
  </si>
  <si>
    <t>ADQUISICIÓN DE MADERA TORNILLO PARA EL MEJORAMIENTO DEL SERVICIO EDUCATIVO DE LA INSTITUCIÓN EDUCATIVA Nº 40144 AUGUSTO SALAZAR BONDY DEL DISTRITO DE MIRAFLORES, PROVINCIA DE AREQUIPA, DEPARTAMENTO DE AREQUIPA</t>
  </si>
  <si>
    <t>AS-SM-14-2020-GRA-1</t>
  </si>
  <si>
    <t>CONTRATO Nº 031-2020-GRA (22/06/2020)</t>
  </si>
  <si>
    <t>ADQUISICION DE EQUIPO SISTEMA DE COMPRESOR DE CARGA DE CILINDROS DE SCBA PARA LA OBRA MEJORAMIENTO DEL SERVICIO OPERATIVO DE LA VII COMANDANCIA DEPARTAMENTAL DE AREQUIPA DEL CUERPO GENERAL DE BOMBEROS VOLUNTARIOS DEL PERU, PROVINCIA Y REGION DE AREQUIPA.</t>
  </si>
  <si>
    <t>AS-SM-84-2019-GRA-2</t>
  </si>
  <si>
    <t>CONTRATO N° 047-2020-GRA (10.AGOSTO.20)</t>
  </si>
  <si>
    <t>CONSORCIO - CONSORCIO ZEMP FIRE AND RESCUE SAC, INTERSPIRO AKTIEBOLAG (INTERSPIRO AB) 20556176192 - ZEMP FIRE AND RESCUE S.A.C. - 99000023970 - INTERSPIRO AKTIEBOLAG (INTERSPIRO AB)</t>
  </si>
  <si>
    <t>ADQUISICION DE CEMENTO PORTLAND TIPO IP PARA LA OBRA MEJORAMIENTO Y AMPLIACION DEL SERVICO EDUCATIVO PUBLICO JORGE BASADRE DEL DISTRITO DE MOLLENDO, PROVINCIA DE ISLAY, DEPARTAMENTO DE AREQUIPA.</t>
  </si>
  <si>
    <t>SIE-SIE-14-2020-GRA-1</t>
  </si>
  <si>
    <t>CONTRATO N° 045-2020-GRA (10/08/2020)</t>
  </si>
  <si>
    <t>ADQUISICION DE DIESEL B-5 S50 PARA LA OBRA MEJORAMIENTO DE LA CARRETERA VECINAL RUTA N AR-549 DE TRAYECTORIA: EMP. AR-105 (PTE. PTA. COLORADA) - SAHUANÍ, DISTRITO DE URACA CORIRE, PROVINCIA DE CASTILLA, REGIÓN AREQUIPA, TRAMO 02 KM 6+000 A KM 12+240 (L=6.24 km)</t>
  </si>
  <si>
    <t>SIE-SIE-15-2020-GRA-1</t>
  </si>
  <si>
    <t xml:space="preserve">CONTRATO N° 053-2020-GRA  </t>
  </si>
  <si>
    <t>PETROLCENTER S.A.C.</t>
  </si>
  <si>
    <t>ADQUISICIÓN DE DIESEL B5 S-50 Y GASOHOL DE 90 PARA LA OPERATIVIDAD DE LA FLOTA VEHICULAR DE LA SEDE CENTRAL DEL GOBIERNO REGIONAL DE AREQUIPA</t>
  </si>
  <si>
    <t>SIE-SIE-2-2020-GRA-2</t>
  </si>
  <si>
    <t>CONTRATO 024-2020-GRA (07/04/2020)</t>
  </si>
  <si>
    <t>SERVICIO SUMINISTRO, FABRICACION Y MONTAJE DE ESTRUCTURA METALICA, SUMINISTRO Y COLOCACION DE MALLA RASHEL PARA EL MANTENIMIENTO DE LA INFRAESTRUCTURA DE INSTITUCIONES EDUCATIVAS EN EL DISTRITO DE ORCOPAMPA, PROVINCIA DE CASTILLA, REGION AREQUIPA</t>
  </si>
  <si>
    <t>AS-SM-6-2020-GRA-1</t>
  </si>
  <si>
    <t>CONTRATO N° 044-2020-GRA (31/07/2020)</t>
  </si>
  <si>
    <t>FIBRAS DEL SUR S.A.C.</t>
  </si>
  <si>
    <t>ADQUISICIÓN DE MADERA TORNILLO PARA LA CREACIÓN DE LOS SERVICIOS DE EDUCACIÓN SECUNDARIA ESCOLARIZADA DE LA INSTITUCIÓN EDUCATIVA SECUNDARIA VILLA DE LINARES, DISTRITO DE SAMUEL PASTOR, PROVINCIA DE CAMANÁ, REGIÓN AREQUIPA</t>
  </si>
  <si>
    <t>AS-SM-11-2020-GRA-1</t>
  </si>
  <si>
    <t>CONTRATO N° 050-2020-GRA (19/08/2020)</t>
  </si>
  <si>
    <t>PERUANA DE MADERAS S.R.L.</t>
  </si>
  <si>
    <t>ADQUISICIÓN DE CONCRETO PRE MEZCLADO PARA LA OBRA CREACIÓN DEL SERVICIO EDUCATIVO EN EL NIVEL SECUNDARIO I.E LAS FLORES, DISTRITO DE CERRO COLORADO, PROVINCIA DE AREQUIPA, DEPARTAMENTO AREQUIPA</t>
  </si>
  <si>
    <t>SIE-SIE-8-2020-GRA-1</t>
  </si>
  <si>
    <t>CONTRATO N° 051-2020-GRA (25/08/2020)</t>
  </si>
  <si>
    <t>ECOCRET S.A.</t>
  </si>
  <si>
    <t>ADQUISICION DE CONCRETO PREMEZCLADO FC 210 PARA LA OBRA CREACION DEL SERVICIO DE EDUCACION SECUNDARIA EN LA INSTITUCION EDUCATIVA SECUNDARIA VILLA LINARES, DISTRITO DE SAMUEL PASTOR, PROVINCIA DE CAMANA, REGION AREQUIPA</t>
  </si>
  <si>
    <t>SIE-SIE-10-2020-GRA 1-1</t>
  </si>
  <si>
    <t>CONTRATO N 025-2020-GRA  (04/06/2020)</t>
  </si>
  <si>
    <t>SERVICIOS Y TRANSPORTES CAMANA EMPRESA INDIVIDUAL DE RESPONSABILIDAD LTDA. - SETRAN CAMANA E.I.R.L.</t>
  </si>
  <si>
    <t>ADQUISICION DE CONCRETO PREMEZCLADO PARA LA OBRA MEJORAMIENTO DEL SERVICIO EDUCATIVO DE LA INSTITUCION EDUCATIVA N 40144 AUGUSTO SALAZAR BONDY, DISTRITO MIRAFLORES, PROVINCIA DE AREQUIPA DEPARTAMENTO DE AREQUIPA</t>
  </si>
  <si>
    <t>SIE-SIE-12-2020-GRA 1-1</t>
  </si>
  <si>
    <t>CONTRATO N° 060-2020-GRA (04/09/2020)</t>
  </si>
  <si>
    <t>CONCRETOS SUPERMIX S.A.</t>
  </si>
  <si>
    <t>ADQUISICION DE CEMENTO PORTLAND TIPO IP PARA LA OBRA MEJORAMIENTO DE LA CARRETERA VISCACHANI CALLALLI SIBAYO CAYLLOMA PROVINCIA DE CAYLLOMA, REGION AREQUIPA ETAPA III</t>
  </si>
  <si>
    <t>SIE-SIE-80-2019-GRA-2</t>
  </si>
  <si>
    <t>CONTRATO N° 046-2020-GRA (10/08/2020)</t>
  </si>
  <si>
    <t>ADQUISICION DE ACERO CORRUGADO PARA LA OBRA MEJORAMIENTO DEL SERVICIO DE EDUCACION PRIMARIA EN LA I.E N 40380 DE LA LOCALIDAD DE CALLALLI, DISTRITO DE CALLALLI PROVINCIA DE CAYLLOMA AREQUIPA</t>
  </si>
  <si>
    <t>SIE-SIE-9-2020-GRA-1</t>
  </si>
  <si>
    <t>O/C 0001174 (30/07/2020)</t>
  </si>
  <si>
    <t>ACEROS COMERCIALES S C R L</t>
  </si>
  <si>
    <t>ADQUISICION DE LADRILLO KK MECANIZADO 9X14X24 PARA LA OBRA MEJORAMIENTO DEL SERVICIO DE EDUCACION PRIMARIA EN LA I.E. 40380 DE LA LOCALIDAD DE CALLALLI, PROVINCIA DE CAYLLOMA, REGIÓN AREQUIPA</t>
  </si>
  <si>
    <t>AS-SM-5-2020-GRA-1</t>
  </si>
  <si>
    <t>O/C 0001174 (25/06/2020)</t>
  </si>
  <si>
    <t>HANCCO CHARA VIRGINIA</t>
  </si>
  <si>
    <t>ADQUISICION DE ACERO CORRUGADO PARA LA OBRA MEJORAMIENTO DEL SERVICIO EDUCATIVO DE LA INSTITUCION EDUCATIVA N 40144 AUGUSTO SALAZAR BONDY, DISTRITO DE MIRAFLORES, PROVINCIA DE AREQUIPA DEPARTAMENTO DE AREQUIPA</t>
  </si>
  <si>
    <t>SIE-SIE-6-2020-GRA-1</t>
  </si>
  <si>
    <t>CONTRATO Nº 029-2020-GRA (10/06/2020)</t>
  </si>
  <si>
    <t>FERRETERIA Y MATERIALES DE CONSTRUCCION S.R.L. - FEMACO S.R.L.</t>
  </si>
  <si>
    <t>ADQUISICION DE CEMENTO PORLAND TIPO IP PARA LA OBRA MEJORAMIENTO DEL SERVICIO DE EDUCACION PRIMARIA EN LA I.E.P. 40380 DE LA LOCALIDAD DE CALLALLI, DISTRITO DE CALLALLI- PROVINCIA DE CAYLLOMA-AREQUIPA</t>
  </si>
  <si>
    <t>SIE-SIE-5-2020-GRA-1</t>
  </si>
  <si>
    <t xml:space="preserve"> CONTRATO N° 027-2020-GRA (22/06/2020)</t>
  </si>
  <si>
    <t>GRUPO SANTA FE SOCIEDAD ANONIMA CERRADA - GRUPO SANTA FE S.A.C</t>
  </si>
  <si>
    <t xml:space="preserve"> ADQUISICION DE VARILLA DE ACERO CORRUGADO PARA LA OBRA MEJORAMIENTO DEL SISTEMA VIAL Y PEATONAL DE LA ASOCIACION DE VIVIENDA CAHUAYA-ROSASPATA, DISTRITO DE PAUCARPATA AREQUIPA-AREQUIPA ETAPA II</t>
  </si>
  <si>
    <t>SIE-SIE-4-2020-GRA-1</t>
  </si>
  <si>
    <t>ORDEN DE COMPRA 678 (01/06/2020)</t>
  </si>
  <si>
    <t>ADQUISICION DE CEMENTO PORTLAND PUZOLANICO TIPO IP PARA LA OBRA MEJORAMIENTO DEL SERVICIO EDUCATIVO DE LA I.E. 40144 AUGUSTO SALAZAR BONDY, DISTRITO DE MIRAFLORES, PROVINCIA DE AREQUIPA, REGION AREQUIPA.</t>
  </si>
  <si>
    <t>SIE-SIE-3-2020-GRA-1</t>
  </si>
  <si>
    <t>CONTRATO N°  068-2020-GRA-1</t>
  </si>
  <si>
    <t>SERVICIO DE REPOSICIÓN DE COBERTURA SOLAR CON MALLA RASCHELL EN LAS INSTITUCIONES EDUCATIVAS DE NIVEL INICIAL Y PRIMARIA DE LOS DISTRITOS DE CHIVAY, YANQUE, MACA Y CABANACONDE EN LA PROVINCIA DE CAYLLOMA, REGIÓN AREQUIPA</t>
  </si>
  <si>
    <t xml:space="preserve">AS-SM-1-2020-GRA-1 </t>
  </si>
  <si>
    <t>PLAZO PARA PTAR DCMTOS PARA FIRMA DE CONTRATO: 12/03/2020</t>
  </si>
  <si>
    <t>METAL MAS E.I.R.L.</t>
  </si>
  <si>
    <t>SERVICIO DE INSTALACION DE COBERTURA LIVIANA PARA EL MANTENIMIENTO DE LOSAS DEPORTIVAS DE LA SEDE PRINCIPAL DEL GOBIERNO REGIONAL DE AREQUIPA, DISTRITO DE PAUCARPATA, PROVINCIA DE AREQUIPA, REGION AREQUIPA</t>
  </si>
  <si>
    <t>AS-SM-107-2019-GRA-1</t>
  </si>
  <si>
    <t>CONTRATO N 22-2020-GRA (12/03/2020)</t>
  </si>
  <si>
    <t xml:space="preserve"> CONSORCIO SIGAE-SLM (20604144541 - SIGAE CONTRATISTAS Y SERVICIOS GENERALES S.A.C. - 20454351305 - S.L.M.SER.GEN.-E.I.R.L.)</t>
  </si>
  <si>
    <t>ADQUISICION DE COMBUSTIBLE PARA LA OBRA MEJORAMIENTO DE LA CARRETERA VIZCACHANI-CALLALLI-SIBAYO-CAYLLOMA-PROVINCIA DE CAYLLOMA, REGION DE AREQUIPA.</t>
  </si>
  <si>
    <t>SIE-SIE-73-2020-GRA-1</t>
  </si>
  <si>
    <t>CONTRATO N° 020-2020-GRA (05/03/2020)</t>
  </si>
  <si>
    <t>AÑO 2020</t>
  </si>
  <si>
    <t>CONTRATACION DE SERVICIO DE SEGURIDAD Y VIGILANCIA</t>
  </si>
  <si>
    <t>ADJ.SIMPLIFICADA</t>
  </si>
  <si>
    <t>SUMA ALZADA</t>
  </si>
  <si>
    <t>AS-001-2020-GRA-GREA</t>
  </si>
  <si>
    <t>RUC: 20558243717
INGENIERIA PREVENTIVA SOLUCION S.A.C.</t>
  </si>
  <si>
    <t>EN EJECUCION</t>
  </si>
  <si>
    <t>SERVICIO CONTINUO</t>
  </si>
  <si>
    <t>SERVICIO DE ARRENDAMIENTO BRINDADO A LA SEDE GREA</t>
  </si>
  <si>
    <t>CD N-001-2020-GRA-GREA</t>
  </si>
  <si>
    <t>RUC:20146122893
PROVNCIA MISIONERA DE SAN FRANCISCO SOLANO DEL PERU</t>
  </si>
  <si>
    <t>EJECUTADO</t>
  </si>
  <si>
    <t>DE FEBRERO A JUNIO 2020</t>
  </si>
  <si>
    <t xml:space="preserve"> ADQUISICION DE TARJETA ELECTRONICAS DE CONSUMO DE ALIMENTOS </t>
  </si>
  <si>
    <t>ADJ. SIMPLIFICADA</t>
  </si>
  <si>
    <t>A.S N-002-2021-GRA-GREA</t>
  </si>
  <si>
    <t>RUC: 20100205492
REPRESENTACIONES INTERNACIONALES S.A.C.</t>
  </si>
  <si>
    <t>SEP/2020</t>
  </si>
  <si>
    <t>ENTREGA PERIODICA</t>
  </si>
  <si>
    <t xml:space="preserve"> ADQUISICION DE UTILES DE ESCRITORIO</t>
  </si>
  <si>
    <t>CATALOGO ELECTRONICO</t>
  </si>
  <si>
    <t>SEGÚN PAC 8</t>
  </si>
  <si>
    <t>RUC: 20454906374
MASS COMPUTER S.R.L.</t>
  </si>
  <si>
    <t>DEL 11/12/2020 AL 18/12/2020</t>
  </si>
  <si>
    <t>ADQUISICION FORMALIZADA CON ORDEN DE COMPRA - PERU COMPRAS</t>
  </si>
  <si>
    <t xml:space="preserve"> ADQUISICION DE CUADERNOS CUADRICULADOS</t>
  </si>
  <si>
    <t>SEGÚN PAC 9</t>
  </si>
  <si>
    <t>RUC:20564203638
ADVANCED TECHNOLOGY R&amp;Y E.I.R.L.</t>
  </si>
  <si>
    <t>DEL 10/12/2020 AL 21/12/2020</t>
  </si>
  <si>
    <t>ADQUISICION DE PAPEL BOND 75 GR</t>
  </si>
  <si>
    <t>SEGÚN PAC 10</t>
  </si>
  <si>
    <t>RUC:20558684683
GRUPO VALENCIA S.A.C.</t>
  </si>
  <si>
    <t>DEL 17/12/2020 AL 21/12/2020</t>
  </si>
  <si>
    <t xml:space="preserve">  ADQUISICION DE PLUMON ANCHO X 10 UNIDADES</t>
  </si>
  <si>
    <t>SEGÚN PAC 11</t>
  </si>
  <si>
    <t>RUC:20547651007
INVERSIONES LANCH E.I.R.L.</t>
  </si>
  <si>
    <t>DEL 10/12/2020 AL 14/12/2020</t>
  </si>
  <si>
    <t xml:space="preserve"> ADQUISICION DE PLUMON PARA PIZARRA ACRILICA</t>
  </si>
  <si>
    <t>SEGÚN PAC 12</t>
  </si>
  <si>
    <t xml:space="preserve"> ADQUISICION DE PIONER 2 ANILLOS 250 HOJAS</t>
  </si>
  <si>
    <t>SEGÚN PAC 13</t>
  </si>
  <si>
    <t>RUC: 10066663774
CADILLO NAMUCHE MARISOL DORIS</t>
  </si>
  <si>
    <t>. ADQUISICION DE PIONER 450 HOJAS</t>
  </si>
  <si>
    <t>SEGÚN PAC 14</t>
  </si>
  <si>
    <t xml:space="preserve"> ADQUISICION DE KIT DE ROBOTICA</t>
  </si>
  <si>
    <t>COMPARACION DE PRECIOS</t>
  </si>
  <si>
    <t>SEGÚN PAC 15</t>
  </si>
  <si>
    <t>RUC:20603395914
DIGIBOT S.A.C.</t>
  </si>
  <si>
    <t>RESUELTO</t>
  </si>
  <si>
    <t>RESUELTA POR INCUMPLIMIENTO DE CONTRATO</t>
  </si>
  <si>
    <t xml:space="preserve"> ADQUISICION DE MEMORIA USB 32 GB</t>
  </si>
  <si>
    <t>SEGÚN PAC 16</t>
  </si>
  <si>
    <t>RUC:20454906374
MASS COMPUTER S.R.L.</t>
  </si>
  <si>
    <t>FORMALIZADA CON ORDEN DE COMPRA</t>
  </si>
  <si>
    <t xml:space="preserve"> ADQUISICION DE MATERIAL DEPORTIVO</t>
  </si>
  <si>
    <t>COMPARACION DEPRECIOS</t>
  </si>
  <si>
    <t>SEGÚN PAC 17</t>
  </si>
  <si>
    <t>RUC: 20603185456
INNOVATEX SUR E.I.R.L.</t>
  </si>
  <si>
    <t>1 Uniforme militar de Faena</t>
  </si>
  <si>
    <t>Adjudicación Simplificada</t>
  </si>
  <si>
    <t xml:space="preserve">Directa </t>
  </si>
  <si>
    <t>20412929625 - GARCESS EIRL</t>
  </si>
  <si>
    <t>CULMINADO</t>
  </si>
  <si>
    <t>60 DIAS</t>
  </si>
  <si>
    <t>NINGUNA</t>
  </si>
  <si>
    <t>2 Uniforme de Aula</t>
  </si>
  <si>
    <t>3 Ropa de Deporte</t>
  </si>
  <si>
    <t>20454178085 - TELARES AREQUIPA EIRL</t>
  </si>
  <si>
    <t>4 Ropa de Cama</t>
  </si>
  <si>
    <t>20563021587 - XIOMIL EIRL</t>
  </si>
  <si>
    <t>5 Uniforme de Salida Azul</t>
  </si>
  <si>
    <t>30 DIAS</t>
  </si>
  <si>
    <t>6 Polaca Blanca</t>
  </si>
  <si>
    <t>7 Carnes Blancas</t>
  </si>
  <si>
    <t>20601009146 - CONSORCIO VENCARNES EIRL</t>
  </si>
  <si>
    <t>20454261900 - REALVA EIRL</t>
  </si>
  <si>
    <t>8 Carnes Rojas</t>
  </si>
  <si>
    <t>9 Productos Hidrobiológicos y Lácteos</t>
  </si>
  <si>
    <t>9.1 Productos Hidrobiológicos</t>
  </si>
  <si>
    <t>Item Nº1</t>
  </si>
  <si>
    <t>20453975054 - ASEGEN EIRL</t>
  </si>
  <si>
    <t>9.2 Lácteos</t>
  </si>
  <si>
    <t>Item Nº2</t>
  </si>
  <si>
    <t>20454774010 - FUNDO EL PASO EIRL</t>
  </si>
  <si>
    <t>10.1 Frutas</t>
  </si>
  <si>
    <t>10292692477 - GUINA BELINDA DIAZ TAPIA</t>
  </si>
  <si>
    <t>10.2 Verduras Frescas</t>
  </si>
  <si>
    <t>10.3 Tuberculos</t>
  </si>
  <si>
    <t>Item Nº3</t>
  </si>
  <si>
    <t>11 Embutidos</t>
  </si>
  <si>
    <t>12 Abarrotes</t>
  </si>
  <si>
    <t>Subasta Inversa Electronica</t>
  </si>
  <si>
    <t>10296118392 - MANUEL CLEMENTE PEREZ ROQUE</t>
  </si>
  <si>
    <t xml:space="preserve">13.1 Insumos de Panaderia </t>
  </si>
  <si>
    <t>20498052844 - CONSORCIO VEDISUR EIRL</t>
  </si>
  <si>
    <t>13.2 Condimentos</t>
  </si>
  <si>
    <t>20600132513 - PROCAVEN EIRL</t>
  </si>
  <si>
    <t>14.2 Empanadas y Tamales</t>
  </si>
  <si>
    <t>15.1 Miscelaneas</t>
  </si>
  <si>
    <t>15.2 Fideos y Harinas</t>
  </si>
  <si>
    <t>16 Contratación de Seguros</t>
  </si>
  <si>
    <t>20100210909 - LA POSITIVA SEGUROS Y REASEGUROS</t>
  </si>
  <si>
    <t>INMEDIATA</t>
  </si>
  <si>
    <t>18 Vales de Consumo</t>
  </si>
  <si>
    <t>20100205492 - REPRESENTACIONES INTERNACIONALES SAC</t>
  </si>
  <si>
    <t>UNIDAD EJECUTORA   :  302 EDUCACIÓN AREQUIPA NORTE</t>
  </si>
  <si>
    <t>ADQUISCION DE VESTUARIO AÑO 2020</t>
  </si>
  <si>
    <t>ADQUISICION SIMPLIFICADA</t>
  </si>
  <si>
    <t xml:space="preserve">NO CORRESPONDE </t>
  </si>
  <si>
    <t>AS -01</t>
  </si>
  <si>
    <t>20601460158 - PAOLO BORGHINI 
SOCIEDAD COMERCIAL DE RESPONSABILIDAD LIMITADA - PAOLO BORGHINI S.R.L.</t>
  </si>
  <si>
    <t xml:space="preserve">CONCLUIDO </t>
  </si>
  <si>
    <t xml:space="preserve">EJECUTADO Y PAGADO </t>
  </si>
  <si>
    <t>ADQUISICIÓN DE LOS MATERIALES DE ASEO, LIMPIEZA
 Y PROTECCIÓN MASCARILLAS Y ALCOHOL</t>
  </si>
  <si>
    <t xml:space="preserve">COMPARACION DE PRECIOS </t>
  </si>
  <si>
    <t>COMPRE-1</t>
  </si>
  <si>
    <t>20473926751 -
 SERVICIOS GENERALES OMIRVA S.A.C.</t>
  </si>
  <si>
    <t>Adquisición de 100 tanques de agua de 1100 litros con 100 bases de estructura metálica (soportes para tanque elevado para las IIEE del ámbito jurisdiccional de la Ugel Arequipa Sur</t>
  </si>
  <si>
    <t>ADJUDICACION SIMPLIFICADA</t>
  </si>
  <si>
    <t>AS-SM-6-2020-GRA-GRE-UGEL.AS-1</t>
  </si>
  <si>
    <t>INDICON PERU S.A.C.</t>
  </si>
  <si>
    <t>FINALIZADO</t>
  </si>
  <si>
    <t>ADQUISICION DE LAVAMANOS PORTÁTILES DE ACERO INOXIDABLE CON SISTEMA PEDAL PARA LA SEDE E IIEE DEL ÁMBITO JURISDICCIONAL DE LA UGEL AREQUIPA SUR</t>
  </si>
  <si>
    <t>AS-SM-5-2020-GRA-GRE-UGEL.AS-1</t>
  </si>
  <si>
    <t>CRUCEÑO S.A.C.</t>
  </si>
  <si>
    <t>SERVICIO DE ACONDICIONAMIENTO Y/O MANTENIMIENTO DE INFRAESTRUCTURA DE OFICINAS ADMINISTRATIVAS DE LA SEDE INSTITUCIONAL  - UGEL AREQUIPA SUR</t>
  </si>
  <si>
    <t>AS-SM-4-2020-GRA-GRE-UGEL.AS-1</t>
  </si>
  <si>
    <t>MULTIACCESO S.A.C.</t>
  </si>
  <si>
    <t>ADQUISICION DE UNIFORMES</t>
  </si>
  <si>
    <t>AS-SM-3-2020-GRA-GRE-UGEL.AS-1</t>
  </si>
  <si>
    <t>CONFECCIONES INDUSTRIALES MTV E.I.R.L.</t>
  </si>
  <si>
    <t>CONTRATACION DE SERVICIO DE INTERNET PARA II.EE. FOCALIZADAS DEL AMBITO DE LAS UGEL.AS</t>
  </si>
  <si>
    <t>AS-SM-2-2020-GRA UGE SUR-2</t>
  </si>
  <si>
    <t>ENTEL PERU S.A.</t>
  </si>
  <si>
    <t>AS-SM-2-2020-GRA UGE SUR-1</t>
  </si>
  <si>
    <t>DESIERTO</t>
  </si>
  <si>
    <t>ADQUSICION DE ALIMENTOS EN VALES DE CONSUMO PARA LOS TRABAJADORES DE LA SEDE DE LA UGEL.AS</t>
  </si>
  <si>
    <t>AS-SM-1-2020-GRA UGE SUR-1</t>
  </si>
  <si>
    <t>REPRESENTACIONES INTERNACIONALES S.A.C.</t>
  </si>
  <si>
    <t xml:space="preserve"> ADQUISICIÓN  DE INSUMOS QUIRÚRGICOS DESCARTABLES PARA CENTRAL DE ESTERILIZACIÓN</t>
  </si>
  <si>
    <t>AS-SM-1-2020-HG-1</t>
  </si>
  <si>
    <t>20501549801 - FERCO MEDICAL S.A.C.</t>
  </si>
  <si>
    <t>Concluido</t>
  </si>
  <si>
    <t>ADQUISICION DE INCUBADORA NEONATAL PARA EL IOARR   ADQUISICION DE EQUIPO DE CIRUGIA NEUROENDOSCOPIA, MICROSCOPIO QUIRURGICO ELECTROBISTURI Y SISTEMA DE CIRUGIA LAPAROSCOPICA, ADEMAS DE OTROS ACTIVOS EN EL HOSPITAL III GOYENECHE</t>
  </si>
  <si>
    <t>AS-SM-2-2020-HG-1</t>
  </si>
  <si>
    <t>20538597121 - DRAEGER PERU S.A.C.</t>
  </si>
  <si>
    <t>ADQUISICION DE SUMINISTROS DE CARNES Y VISCERAS</t>
  </si>
  <si>
    <t>AS-SM-3-2020-HG-1</t>
  </si>
  <si>
    <t>10296118392 - PEREZ ROQUE MANUEL CLEMENTE</t>
  </si>
  <si>
    <t>En ejecución</t>
  </si>
  <si>
    <t>ADQUISICION DE SUMINISTRO DE FRUTAS Y VERDURAS</t>
  </si>
  <si>
    <t>AS-SM-4-2020-HG-1</t>
  </si>
  <si>
    <t>20539658221 - DISTRIBUIDORA MARLU S.A.C.</t>
  </si>
  <si>
    <t>ADQUISICION DE SUMINISTRO DE VIVERES SECOS, MISCELADOS Y PRODUCTOS DE PANIFICACION</t>
  </si>
  <si>
    <t>AS-SM-5-2020-HG-1</t>
  </si>
  <si>
    <t>10292692477 - DIAZ TAPIA GUINA BELINDA, 20600766997 - ADRIDAY GROUP E.I.R.L.</t>
  </si>
  <si>
    <t xml:space="preserve"> ADQUISICION DE UNIFORME DE FAENA PARA EL PERSONAL ASISTENCIAL Y ADMINISTRATIVO DEL HOSPITAL III GOYENECHE</t>
  </si>
  <si>
    <t>AS-SM-6-2020-HG-1</t>
  </si>
  <si>
    <t>20124794413 - CASA OMAR IMPORT Y REPRESENT. S.R.L, 20601460158 - PAOLO BORGHINI SOCIEDAD COMERCIAL DE RESPONSABILIDAD LIMITADA - PAOLO BORGHINI S.R.L., 20454117884 - ASOCIACION PAZ-PERU-ORGANISMO NO GUBERNAMENTAL</t>
  </si>
  <si>
    <t>SUBASTA INVERSA ELECTRONICA</t>
  </si>
  <si>
    <t>SIE-SIE-1-2020-HG-1</t>
  </si>
  <si>
    <t>10292692477 - DIAZ TAPIA GUINA BELINDA</t>
  </si>
  <si>
    <t xml:space="preserve"> ADQUISICION DE SUMINISTRO VIVERES SECOS</t>
  </si>
  <si>
    <t>SIE-SIE-2-2020-HG-1</t>
  </si>
  <si>
    <t xml:space="preserve"> ADQUISICION DE TELA PARA CONFECCION DE ROPA HOSPITALARIA</t>
  </si>
  <si>
    <t>COMPRE-SM-1-2020-HG-1</t>
  </si>
  <si>
    <t>20604751196 - MARQA CORP SERVICIOS &amp; REPRESENTACIONES GENERALES S.R.L. - MARQA CORP S.R.L.</t>
  </si>
  <si>
    <t xml:space="preserve"> SERVICIO DE ACONDICIONAMIENTO DE VESTIDORES PARA LA PREPARACIÓN DEL PERSONAL Y DESECHO DE ELEMENTOS DE BIOSEGURIDAD PARA LA UNIDAD DE CUIDADOS INTENSIVOS DE ATENCIÓN A PACIENTES  DE COVID 19 HOSPITAL  GOYENECHE NIVEL III-1</t>
  </si>
  <si>
    <t>DIRECTA-PROC-1-2020-HG-1</t>
  </si>
  <si>
    <t>20604510822 - JR &amp; MM E.I.R.L.</t>
  </si>
  <si>
    <t xml:space="preserve"> ADQUISICIÓN DE CAMAS MULTIPROPÓSITO ELÉCTRICAS, PARA EL PROYECTO ¿MEJORAMIENTO Y AMPLIACIÓN DE LOS SERVICIOS DE EMERGENCIA PARA LA ATENCIÓN Y MANEJO CLÍNICO DE CASOS DE COVID-19, EN EL HOSPITAL GOYENECHE DE AREQUIPA¿</t>
  </si>
  <si>
    <t>DIRECTA-PROC-3-2020-HG-1</t>
  </si>
  <si>
    <t>20601974836 - PRIMERO INNOVA S.A.C.</t>
  </si>
  <si>
    <t xml:space="preserve"> ADQUISICIÓN DE EQUIPOS DE RAYOS X RODABLE DIGITAL, PARA EL PROYECTO ¿MEJORAMIENTO Y AMPLIACIÓN DE LOS SERVICIOS DE EMERGENCIA PARA LA ATENCIÓN Y MANEJO CLÍNICO DE CASOS DE COVID-19, EN EL HOSPITAL GOYENECHE DE AREQUIPA¿</t>
  </si>
  <si>
    <t>DIRECTA-PROC-4-2020-HG-1</t>
  </si>
  <si>
    <t>20505126069 - X RAY SALES AND SERVICE S.A.C.</t>
  </si>
  <si>
    <t xml:space="preserve"> ADQUISICIÓN DE ASPIRADORES DE SECRECIONES RODABLE PARA UCI, PARA EL PROYECTO ¿MEJORAMIENTO Y AMPLIACIÓN DE LOS SERVICIOS DE EMERGENCIA PARA LA ATENCIÓN Y MANEJO CLÍNICO DE CASOS DE COVID-19, EN EL HOSPITAL GOYENECHE DE AREQUIPA¿</t>
  </si>
  <si>
    <t>DIRECTA-PROC-5-2020-HG-1</t>
  </si>
  <si>
    <t>20539665198 - SERVINMED E.I.R.L.</t>
  </si>
  <si>
    <t xml:space="preserve"> ADQUISICIÓN DE CAMILLA DE AISLAMIENTO TIPO BURBUJA, PARA EL PROYECTO ¿MEJORAMIENTO Y AMPLIACIÓN DE LOS SERVICIOS DE EMERGENCIA PARA LA ATENCIÓN Y MANEJO CLÍNICO DE CASOS DE COVID-19, EN EL HOSPITAL GOYENECHE DE AREQUIPA</t>
  </si>
  <si>
    <t>DIRECTA-PROC-6-2020-HG-1</t>
  </si>
  <si>
    <t xml:space="preserve"> ADQUISICIÓN DE MOBILIARIO ADMINISTRATIVO Y CLÍNICO I, PARA EL PROYECTO ¿MEJORAMIENTO Y AMPLIACIÓN DE LOS SERVICIOS DE EMERGENCIA PARA LA ATENCIÓN Y MANEJO CLÍNICO DE CASOS DE COVID-19, EN EL HOSPITAL GOYENECHE DE AREQUIPA</t>
  </si>
  <si>
    <t>DIRECTA-PROC-7-2020-HG-1</t>
  </si>
  <si>
    <t>20565212754 - MEDICAL IMPORTADORA S.A.C.</t>
  </si>
  <si>
    <t xml:space="preserve"> ADQUISICIÓN DE MOBILIARIO ADMINISTRATIVO Y CLÍNICO II, PARA EL PROYECTO ¿MEJORAMIENTO Y AMPLIACIÓN DE LOS SERVICIOS DE EMERGENCIA PARA LA ATENCIÓN Y MANEJO CLÍNICO DE CASOS DE COVID-19, EN EL HOSPITAL GOYENECHE DE AREQUIPA¿</t>
  </si>
  <si>
    <t>DIRECTA-PROC-8-2020-HG-1</t>
  </si>
  <si>
    <t>20514267112 - BERAMED E.I.R.L.</t>
  </si>
  <si>
    <t xml:space="preserve"> ADQUISICIÓN DE CAMAS TIPO UCI, PARA EL PROYECTO ¿MEJORAMIENTO Y AMPLIACIÓN DE LOS SERVICIOS DE EMERGENCIA PARA LA ATENCIÓN Y MANEJO CLÍNICO DE CASOS DE COVID-19, EN EL HOSPITAL GOYENECHE DE AREQUIPA¿</t>
  </si>
  <si>
    <t>DIRECTA-PROC-9-2020-HG-1</t>
  </si>
  <si>
    <t>ADQUISICIÓN DE VENTILADORES MECÁNICO VOLUMÉTRICOS ADULTO ¿ PEDIÁTRICO, PARA EL PROYECTO ¿MEJORAMIENTO Y AMPLIACIÓN DE LOS SERVICIOS DE EMERGENCIA PARA LA ATENCIÓN Y MANEJO CLÍNICO DE CASOS DE COVID-19, EN EL HOSPITAL GOYENECHE DE AREQUIPA¿</t>
  </si>
  <si>
    <t>DIRECTA-PROC-10-2020-HG-1</t>
  </si>
  <si>
    <t>20512709088 - CARDIOPULMONARY CARE S.A.C.</t>
  </si>
  <si>
    <t xml:space="preserve"> ADQUISICIÓN DE ESTERILIZADOR A VAPOR¿AUTOCLAVE, PARA EL PROYECTO ¿MEJORAMIENTO Y AMPLIACIÓN DE LOS SERVICIOS DE EMERGENCIA PARA LA ATENCIÓN Y MANEJO CLÍNICO DE CASOS DE COVID-19, EN EL HOSPITAL GOYENECHE DE AREQUIPA¿</t>
  </si>
  <si>
    <t>DIRECTA-PROC-11-2020-HG-1</t>
  </si>
  <si>
    <t>20556510190 - INSUMET S.A.C.</t>
  </si>
  <si>
    <t xml:space="preserve"> ADQUISICIÓN DE VENTILADOR MECÁNICO VOLUMÉTRICO PEDIÁTRICO/NEONATAL, VENTILADOR VOLUMÉTRICO AVANZADO Y MONITORES DE FUNCIONES VITALES DE 8 PARÁMETROS, PARA EL PROYECTO ¿MEJORAMIENTO Y AMPLIACIÓN DE LOS SERVICIOS DE EMERGENCIA PARA LA ATENCIÓN Y MANEJO CLÍNICO DE CASOS DE COVID-19, EN EL HOSPITAL GOYENECHE DE AREQUIPA¿</t>
  </si>
  <si>
    <t>DIRECTA-PROC-12-2020-HG-1</t>
  </si>
  <si>
    <t xml:space="preserve"> ADQUISICIÓN DE EQUIPO ECÓGRAFO DOPPLER COLOR 4D, PARA EL PROYECTO ¿MEJORAMIENTO Y AMPLIACIÓN DE LOS SERVICIOS DE EMERGENCIA PARA LA ATENCIÓN Y MANEJO CLÍNICO DE CASOS DE COVID-19, EN EL HOSPITAL GOYENECHE DE AREQUIPA¿</t>
  </si>
  <si>
    <t>DIRECTA-PROC-13-2020-HG-1</t>
  </si>
  <si>
    <t>20376801927 - MEDISONIC S.A.C.</t>
  </si>
  <si>
    <t xml:space="preserve"> ADQUISICIÓN DE COCHE DE PARO EQUIPADO, PARA EL PROYECTO ¿MEJORAMIENTO Y AMPLIACIÓN DE LOS SERVICIOS DE EMERGENCIA PARA LA ATENCIÓN Y MANEJO CLÍNICO DE CASOS DE COVID-19, EN EL HOSPITAL GOYENECHE DE AREQUIPA¿</t>
  </si>
  <si>
    <t>DIRECTA-PROC-14-2020-HG-1</t>
  </si>
  <si>
    <t>20520987186 - CARDIOMED DEL PERU SAC</t>
  </si>
  <si>
    <t>ADQUISICIÓN DE ANALIZADOR DE GASES ARTERIALES Y ELECTROLITOS, PARA EL PROYECTO ¿MEJORAMIENTO Y AMPLIACIÓN DE LOS SERVICIOS DE EMERGENCIA PARA LA ATENCIÓN Y MANEJO CLÍNICO DE CASOS DE COVID-19, EN EL HOSPITAL GOYENECHE DE AREQUIPA¿</t>
  </si>
  <si>
    <t>DIRECTA-PROC-15-2020-HG-1</t>
  </si>
  <si>
    <t>20501887286 - DIAGNOSTICA PERUANA S.A.C.</t>
  </si>
  <si>
    <t xml:space="preserve"> ADQUISICIÓN DE EQUIPO CALENTADOR DE FLUIDOS, PARA EL PROYECTO ¿MEJORAMIENTO Y AMPLIACIÓN DE LOS SERVICIOS DE EMERGENCIA PARA LA ATENCIÓN Y MANEJO CLÍNICO DE CASOS DE COVID-19, EN EL HOSPITAL GOYENECHE DE AREQUIPA¿</t>
  </si>
  <si>
    <t>DIRECTA-PROC-16-2020-HG-1</t>
  </si>
  <si>
    <t>20521180260 - OLIMPEX PERU S.A.C.</t>
  </si>
  <si>
    <t xml:space="preserve"> ADQUISICIÓN DE BRONCOFIBROSCOPIO, PARA EL PROYECTO ¿MEJORAMIENTO Y AMPLIACIÓN DE LOS SERVICIOS DE EMERGENCIA PARA LA ATENCIÓN Y MANEJO CLÍNICO DE CASOS DE COVID-19, EN EL HOSPITAL GOYENECHE DE AREQUIPA¿</t>
  </si>
  <si>
    <t>DIRECTA-PROC-17-2020-HG-1</t>
  </si>
  <si>
    <t>20102032951 - A JAIME ROJAS REPRESENTACIONES GRLES S A</t>
  </si>
  <si>
    <t xml:space="preserve"> ADQUISICIÓN DE DESFIBRILADOR CON MONITOR Y PALETAS, PARA EL PROYECTO ¿MEJORAMIENTO Y AMPLIACIÓN DE LOS SERVICIOS DE EMERGENCIA PARA LA ATENCIÓN Y MANEJO CLÍNICO DE CASOS DE COVID-19, EN EL HOSPITAL GOYENECHE DE AREQUIPA¿</t>
  </si>
  <si>
    <t>DIRECTA-PROC-18-2020-HG-1</t>
  </si>
  <si>
    <t>20413183414 - SERMED INGENIEROS E.I.R.L.</t>
  </si>
  <si>
    <t xml:space="preserve"> ADQUISICIÓN DE RESPIRADORES DE MEDIA CARA REUTILIZABLES 7000, PARA EL PROYECTO ¿MEJORAMIENTO Y AMPLIACIÓN DE LOS SERVICIOS DE EMERGENCIA PARA LA ATENCIÓN Y MANEJO CLÍNICO DE CASOS DE COVID-19, EN EL HOSPITAL GOYENECHE DE AREQUIPA¿</t>
  </si>
  <si>
    <t>DIRECTA-PROC-19-2020-HG-1</t>
  </si>
  <si>
    <t>20604350353 - SG. MINERVA S.A.C.</t>
  </si>
  <si>
    <t xml:space="preserve"> ADQUISICIÓN DE MOBILIARIO ADMINISTRATIVO Y CLÍNICO III, PARA EL PROYECTO ¿MEJORAMIENTO Y AMPLIACIÓN DE LOS SERVICIOS DE EMERGENCIA PARA LA ATENCIÓN Y MANEJO CLÍNICO DE CASOS DE COVID-19, EN EL HOSPITAL GOYENECHE DE AREQUIPA¿</t>
  </si>
  <si>
    <t>DIRECTA-PROC-20-2020-HG-1</t>
  </si>
  <si>
    <t>20454096194 - FIBRAS DEL SUR S.A.C.</t>
  </si>
  <si>
    <t xml:space="preserve"> ADQUISICIÓN DE COMBUSTIBLE BIODIESEL B5 S-50 Y GASOHOL 90 PLUS, PARA VEHÍCULOS Y MAQUINAS INDUSTRIAL Y ESTACIONARIA DEL HOSPITAL III - GOYENECHE</t>
  </si>
  <si>
    <t>PRECIOS UNITARIOS</t>
  </si>
  <si>
    <t>DIRECTA-PROC-21-2020-HG-1</t>
  </si>
  <si>
    <t>20370508659 - GRIPO JHP E.I.R.L.</t>
  </si>
  <si>
    <t xml:space="preserve"> ADQUISICIÓN DE  EQUIPO MONITOR DE PRESIÓN INTRACRANEAL  PARA EL PROYECTO DE MEJORAMIENTO Y AMPLIACIÓN DE LOS SERVICIOS DE EMERGENCIA PARA LA ATENCIÓN Y MANEJO CLÍNICO DE CASOS COVID-19</t>
  </si>
  <si>
    <t>DIRECTA-PROC-22-2020-HG-1</t>
  </si>
  <si>
    <t>20502130723 - DIVCOM S.A.C.</t>
  </si>
  <si>
    <t xml:space="preserve"> ADQUISICIÓN DE  EQUIPOS DE LABORATORIO Y EQUIPOS BIOMÉDICOS PARA EL PROYECTO DE MEJORAMIENTO Y AMPLIACION DE LOS SERVICIOS DE EMERGENCIA PARA LA ATENCIÓN Y MANEJO CLÍNICO DE CASOS COVID-19</t>
  </si>
  <si>
    <t>DIRECTA-PROC-23-2020-HG-1</t>
  </si>
  <si>
    <t>20413183414 - SERMED INGENIEROS EIRL</t>
  </si>
  <si>
    <t xml:space="preserve"> ADQUISICIÓN DE INSUMOS DE BIOSEGURIDAD PARA PREVENCIÓN DEL COVID - 19</t>
  </si>
  <si>
    <t>DIRECTA-PROC-24-2020-HG.-1</t>
  </si>
  <si>
    <t>20605781790 - ESPECIALISTA PRODUCTOS EN MINERIA E.I.R.L. - ESPECIALISTA P M E.I.R.L. 20455704791 - DISTRIBUIDORA ARCO IRIS S.R.L., 20600742575 - NEWID CORP. S.A.C., 20601304814 - CORPORACION ADVENTURE LIFE S.A.C.</t>
  </si>
  <si>
    <t xml:space="preserve"> ADQUISICIÓN DE EQUIPO TOMÓGRAFO ESPIRAL MULTICORTE DE ULTIMA GENERACIÓN  PARA EL  IOARR   ¿ADQUISICIÓN DE  EQUIPO DE CIRUGÍA NEUROENDOSCÓPICA, MICROSCOPIO QUIRÚRGICO,  ELECTROBISTURÍ Y SISTEMA DE CIRUGÍA LAPAROSCÓPICA, ADEMÁS DE OTROS ACTIVOS EN EL HOSPITAL III GOYENECHE¿.</t>
  </si>
  <si>
    <t>DIRECTA-PROC-25-2020-HG-1</t>
  </si>
  <si>
    <t>20263368992 - CYMED MEDICAL SAC</t>
  </si>
  <si>
    <t xml:space="preserve"> ADQUISICIÓN DE EQUIPO DE CIRUGÍA NEUROENDOSCÓPICA PARA EL  IOARR   ¿ADQUISICIÓN DE  EQUIPO DE CIRUGÍA NEUROENDOSCÓPICA, MICROSCOPIO QUIRÚRGICO,  ELECTROBISTURÍ Y SISTEMA DE CIRUGÍA LAPAROSCÓPICA, ADEMÁS DE OTROS ACTIVOS EN EL HOSPITAL III GOYENECHE¿.</t>
  </si>
  <si>
    <t>DIRECTA-PROC-26-2020-HG-1</t>
  </si>
  <si>
    <t>20377339461 - B.BRAUN MEDICAL PERU S.A.</t>
  </si>
  <si>
    <t xml:space="preserve"> ADQUISICIÓN DE  VENTILADOR MECÁNICO ADULTO PEDIÁTRICO PARA EL    IOARR   ¿ADQUISICIÓN DE  EQUIPO DE CIRUGÍA NEUROENDOSCÓPICA, MICROSCOPIO QUIRÚRGICO,  ELECTROBISTURÍ Y SISTEMA DE CIRUGÍA LAPAROSCÓPICA, ADEMÁS DE OTROS ACTIVOS EN EL (LA) EE.SS. HOSPITAL III GOYENECHE¿(DS. 010-2020-SA)</t>
  </si>
  <si>
    <t>DIRECTA-PROC-27-2020-HG-1</t>
  </si>
  <si>
    <t>20101337261 - ROCA S.A.C.</t>
  </si>
  <si>
    <t xml:space="preserve"> ADQUISICIÓN DE EQUIPO  MICROSCOPIO QUIRÚRGICO PARA EL    IOARR   ¿ADQUISICIÓN DE  EQUIPO DE CIRUGÍA NEUROENDOSCÓPICA, MICROSCOPIO QUIRÚRGICO,  ELECTROBISTURÍ Y SISTEMA DE CIRUGÍA LAPAROSCÓPICA, ADEMÁS DE OTROS ACTIVOS EN EL (LA) EE.SS HOSPITAL III GOYENECHE¿.</t>
  </si>
  <si>
    <t>DIRECTA-PROC-28-2020-HG-1</t>
  </si>
  <si>
    <t xml:space="preserve"> ADQUISICIÓN DE  EQUIPO ECÓGRAFO DOPPLER 4D  PARA EL    IOARR   ¿ADQUISICIÓN DE  EQUIPO DE CIRUGÍA NEUROENDOSCÓPICA, MICROSCOPIO QUIRÚRGICO,  ELECTROBISTURÍ Y SISTEMA DE CIRUGÍA LAPAROSCÓPICA, ADEMÁS DE OTROS ACTIVOS EN EL HOSPITAL III GOYENECHE¿.</t>
  </si>
  <si>
    <t>DIRECTA-PROC-29-2020-HG-1</t>
  </si>
  <si>
    <t xml:space="preserve"> ADQUISICION DE MAQUINA DE HEMODIALISIS Y EQUIPOS DE OSMOSIS INVERSA RODABLES</t>
  </si>
  <si>
    <t>DIRECTA-PROC-30-2020-HG-1</t>
  </si>
  <si>
    <t>20462793791 - FRESENIUS MEDICAL CARE DEL PERU S.A., 20551931189 - FS INGENIERIA Y PROYECTOS EN AGUAS S.A.C.</t>
  </si>
  <si>
    <t xml:space="preserve"> ADQUISICION DE ROPA QUIRURGICA ESTERIL DESCARTABLE</t>
  </si>
  <si>
    <t>DIRECTA-PROC-31-2020-HG-1</t>
  </si>
  <si>
    <t>20502143973 - CORPORACION VALTAKS S.C.R.L.</t>
  </si>
  <si>
    <t xml:space="preserve"> ADQUISICION DE MATERIALES E INSUMOS PARA CIRUGIA LAPAROSCOPICA</t>
  </si>
  <si>
    <t>DIRECTA-PROC-32-2020-HG-1</t>
  </si>
  <si>
    <t>20210456831 - PREMIUM MEDICAL EIRL</t>
  </si>
  <si>
    <t xml:space="preserve"> ADQUISICION DE PRODUCTOS FARMACEUTICOS Y DISPOSITIVOS MEDICOS PARA EL DEPARTAMENTO DE FARMACIA DEL HOSPITAL III GOYENECHE DE AREQUIPA</t>
  </si>
  <si>
    <t>DIRECTA-PROC-33-2020-HG-1</t>
  </si>
  <si>
    <t>20600654293 - MEDINDUSTRIA S.A.C., 20552071787 - CORPORACION GIANYFARMA S.A.C, 20100018625 - MEDIFARMA S A, 20454444907 - J &amp; M MEDIC IMPORT E.I.R.L., 20545717639 - YEMPAC PHARMACEUTICA SOCIEDAD ANONIMA CERRADA-YEMPAC PHARMA S.A.C., 20377339461 - B.BRAUN MEDICAL PERU S.A., 20465722119 - GLOBAL SUPPLY S.A.C.</t>
  </si>
  <si>
    <t xml:space="preserve"> ADQUISICION DE VENTILADOR VOLUMETRICO PORTATIL AVANZADO, PARA EL COMPONENTE 2 DEL PROYECTO "MEJORAMIENTO Y AMPLIACION DE LOS SERVICIOS DE EMERGENCIA PARA LA ATENCION Y MANEJO CLINICO DE CASOS COVID-19, EN EL HOSPITAL III GOYENECHE AREQUIPA DEL DISTRITO DE AREQUIPA - PROVINCIA DE AREQUIPA - DEPARTAMENTO AREQUIPA"</t>
  </si>
  <si>
    <t>DIRECTA-PROC-34-2020-HG-1</t>
  </si>
  <si>
    <t>20465722119 - GLOBAL SUPPLY S.A.C.</t>
  </si>
  <si>
    <t xml:space="preserve"> ADQUISICION DE VENTILADOR MECANICO VOLUMETRICO ADULTO PEDIATRICO, PARA EL COMPONENTE 2 DEL PROYECTO "MEJORAMIENTO Y AMPLIACION DE LOS SERVICIOS DE EMERGENCIA PARA LA ATENCION Y MANEJO CLINICO DE CASOS COVID-19, EN EL HOSPITAL III GOYENECHE AREQUIPA DEL DISTRITO DE AREQUIPA - PROVINCIA DE AREQUIPA - DEPARTAMENTO AREQUIPA"</t>
  </si>
  <si>
    <t>DIRECTA-PROC-35-2020-HG-1</t>
  </si>
  <si>
    <t>20512709088 - CARDIOPULMONARY CARE SOCIEDAD ANONIMA CERRADA</t>
  </si>
  <si>
    <t>ADQUISICION DE CAMAS TIPO UCI, PARA EL COMPONENTE 2 DEL PROYECTO "MEJORAMIENTO Y AMPLIACION DE LOS SERVICIOS DE EMERGENCIA PARA LA ATENCION Y MANEJO CLINICO DE CASOS COVID-19, EN EL HOSPITAL III GOYENECHE AREQUIPA DEL DISTRITO DE AREQUIPA - PROVINCIA DE AREQUIPA - DEPARTAMENTO AREQUIPA"</t>
  </si>
  <si>
    <t>DIRECTA-PROC-36-2020-HG-1</t>
  </si>
  <si>
    <t xml:space="preserve"> ADQUISICION DE MONITORES DE FUNCIONES VITALES DE 8 PARAMETROS, PARA EL COMPONENTE 2 DEL PROYECTO "MEJORAMIENTO Y AMPLIACION DE LOS SERVICIOS DE EMERGENCIA PARA LA ATENCION Y MANEJO CLINICO DE CASOS COVID-19, EN EL HOSPITAL III GOYENECHE AREQUIPA DEL DISTRITO DE AREQUIPA - PROVINCIA DE AREQUIPA - DEPARTAMENTO AREQUIPA"</t>
  </si>
  <si>
    <t>DIRECTA-PROC-37-2020-HG-1</t>
  </si>
  <si>
    <t xml:space="preserve"> CONTRATACION DE SERVICIO ACONDICIONAMIENTO PARA LA INSTALACION DE GRUPO ELECTROGENO, PARA EL COMPONENTE 2 DEL PROYECTO "MEJORAMIENTO Y AMPLIACION DE LOS SERVICIOS DE EMERGENCIA PARA LA ATENCION Y MANEJO CLINICO DE CASOS COVID-19, EN EL HOSPITAL III GOYENECHE AREQUIPA DEL DISTRITO DE AREQUIPA - PROVINCIA DE AREQUIPA - DEPARTAMENTO AREQUIPA"</t>
  </si>
  <si>
    <t>DIRECTA-PROC-38-2020-HG-1</t>
  </si>
  <si>
    <t>20456125621 - MULTISERVICIOS ROS E.I.R.L.</t>
  </si>
  <si>
    <t xml:space="preserve"> ADQUISICION DE GRUPO ELECTROGENO, PARA EL COMPONENTE 2 DEL PROYECTO "MEJORAMIENTO Y AMPLIACION DE LOS SERVICIOS DE EMERGENCIA PARA LA ATENCION Y MANEJO CLINICO DE CASOS COVID-19, EN EL HOSPITAL III GOYENECHE AREQUIPA DEL DISTRITO DE AREQUIPA - PROVINCIA DE AREQUIPA - DEPARTAMENTO AREQUIPA"</t>
  </si>
  <si>
    <t>DIRECTA-PROC-39-2020-HG-1</t>
  </si>
  <si>
    <t>20454974701 - PC GALAX E.I.R.L.</t>
  </si>
  <si>
    <t xml:space="preserve"> ADQUISICION DE MATERIALES E INSUMOS PARA CENTRO QUIRURGICO</t>
  </si>
  <si>
    <t>DIRECTA-PROC-40-2020-HG-1</t>
  </si>
  <si>
    <t xml:space="preserve"> ADQUISICION DE MATERIAL E INSUMOS PARA NEUROCIRUGIA</t>
  </si>
  <si>
    <t>DIRECTA-PROC-41-2020-HG-1</t>
  </si>
  <si>
    <t>20204441007 - JOHNSON &amp; JOHNSON DEL PERU S.A, 20563531356 - REPRESENTACIONES MEDICAS BIOMED S.A.C., 20603797290 - APOLO MEDICAL HIGH TECHNOLOGY SOCIEDAD ANONIMA CERRADA - APOLO MEDICAL HT S.A.C., 20377339461 - B.BRAUN MEDICAL PERU S.A., 20601207193 - GLOBAL HEALTHCARE SOLUTIONS PERU SAC</t>
  </si>
  <si>
    <t xml:space="preserve"> SERVICIO DE MANTENIMIENTO PREVENTIVO Y CORRECTIVO DEL EQUIPO DE COBALTOTERAPIA EQUINOX DEL HOSPITAL III GOYENECHE</t>
  </si>
  <si>
    <t>DIRECTA-PROC-42-2020-HG-1</t>
  </si>
  <si>
    <t>20507055797 - GENELECTRIC SOCIEDAD ANONIMA</t>
  </si>
  <si>
    <t xml:space="preserve"> SERVICIO DE EO-RS PARA RECOJO, TRANSPORTE Y DISPOSICION FINAL DE RESIDUOS SÓLIDOS PELIGROSOS</t>
  </si>
  <si>
    <t>AS-SM-1-2021-HG-2</t>
  </si>
  <si>
    <t>20490436783 - ECO METROPOLI S.R.L.</t>
  </si>
  <si>
    <t xml:space="preserve"> ADQUISICION DE ROPA QUIRURGICA ESTERIL DESCARTABLE PARA EL HOSPITAL III GOYENECHE</t>
  </si>
  <si>
    <t>AS-SM-2-2021-HG.-1</t>
  </si>
  <si>
    <t xml:space="preserve"> ADQUISICIÓN DE LECHE FRESCA (DESTINADA A TRANSFORMACIÓN) PARA EL HOSPITAL III GOYENECHE</t>
  </si>
  <si>
    <t>AS-SM-3-2021-HG.-2</t>
  </si>
  <si>
    <t xml:space="preserve"> ADQUISICIÓN DE TIRAS DE GLUCOSA PARA GLUCOMETRO CON EQUIPO EN CESIÓN DE USO</t>
  </si>
  <si>
    <t>AS-SM-4-2021-HG-1</t>
  </si>
  <si>
    <t>20100177341 - PRODUCTOS ROCHE QF S.A.</t>
  </si>
  <si>
    <t xml:space="preserve"> ADQUISICIÓN DE AGENTE SURFACTANTE PULMONAR PARA EL HOSPITAL GOYENECHE</t>
  </si>
  <si>
    <t>AS-SM-5-2021-HG-1</t>
  </si>
  <si>
    <t>20100085225 - QUIMICA SUIZA S.A.</t>
  </si>
  <si>
    <t xml:space="preserve"> ADQUISICION DE LINEAS PARA BOMBAS DE INFUSION, CON EQUIPO EN CESION DE USO</t>
  </si>
  <si>
    <t>AS-SM-6-2021-HG-1</t>
  </si>
  <si>
    <t xml:space="preserve">20381450377 - FRESENIUS KABI PERU S.A. </t>
  </si>
  <si>
    <t>AS-SM-7-2021-HG-1</t>
  </si>
  <si>
    <t>20605701435 - LINAMES S.A.C.</t>
  </si>
  <si>
    <t>Elaboración de contrato</t>
  </si>
  <si>
    <t xml:space="preserve"> ADQUISICION DE BOLSAS RECOLECTORAS DE SANGRE CUADRUPLE CON EQUIPO EN CESION EN USO</t>
  </si>
  <si>
    <t>AS-SM-8-2021-HG-1</t>
  </si>
  <si>
    <t>Nulo</t>
  </si>
  <si>
    <t xml:space="preserve"> ADQUISICION DE SUMINISTRO DE COMBUSTIBLE BIODIESEL B-5 PARA VEHICULOS Y MAQUINARIA INDUSTRIAL Y ESTACIONARIA DEL HOSPITAL III GOYENECHE</t>
  </si>
  <si>
    <t>SIE-SIE-1-2021-HG-1</t>
  </si>
  <si>
    <t xml:space="preserve"> ADQUISICIÓN DE CLORURO DE SODIO 0.9 %  - 1 LITRO PARA EL HOSPITAL GOYENECHE</t>
  </si>
  <si>
    <t>SIE-SIE-2-2021-HG-1</t>
  </si>
  <si>
    <t xml:space="preserve">20100018625 - MEDIFARMA S.A. </t>
  </si>
  <si>
    <t xml:space="preserve"> ADQUISICION DE GUANTES QUIRURGICOS DESCARTABLES ESTERILES PARA EL HOSPITAL GOYENECHE</t>
  </si>
  <si>
    <t>SIE-SIE-3-2021-HG-2</t>
  </si>
  <si>
    <t>20506744874 - MEDICAL CHANNEL S.A.C.</t>
  </si>
  <si>
    <t>Firma de contrato</t>
  </si>
  <si>
    <t>SERVICIO DE MANTENIMIENTO CORRECTIVO DE ARCO EN C DEL SERVICIO DE RADIOTERAPIA</t>
  </si>
  <si>
    <t>DIRECTA-PROC-1-2021-HG-1</t>
  </si>
  <si>
    <t xml:space="preserve"> ADQUISICION DE BUPRENORFINA PARCHE PARA EL HOSPITAL GOYENECHE</t>
  </si>
  <si>
    <t>DIRECTA-PROC-2-2021-HG-1</t>
  </si>
  <si>
    <t>20100091543 - GRUNENTHAL PERUANA S.A.</t>
  </si>
  <si>
    <t xml:space="preserve"> ADQUISICION DE SUMINISTRO DE FRUTAS Y VERDURAS</t>
  </si>
  <si>
    <t xml:space="preserve"> ADQUISICION DE SUMINISTROS DE CARNES Y VISCERAS</t>
  </si>
  <si>
    <t xml:space="preserve"> ADQUISICION DE SUMINISTRO DE VIVERES SECOS, MISCELADOS Y PRODUCTOS DE PANIFICACION</t>
  </si>
  <si>
    <t xml:space="preserve"> ADQUISICION DE MATERIALES DE OFICINA </t>
  </si>
  <si>
    <t>PERU COMPRAS</t>
  </si>
  <si>
    <t xml:space="preserve"> ADQUISICION DE MATERIAL DESCARTABLE PARA RACIONES DE PACIENTES CAAT</t>
  </si>
  <si>
    <t>COMPRAS MENORES A 8 UIT</t>
  </si>
  <si>
    <t xml:space="preserve"> ADQUISICION DE MEDICAMENTOS DPTO DE FARMACIA</t>
  </si>
  <si>
    <t>LICITACION PUBLICA</t>
  </si>
  <si>
    <t xml:space="preserve"> ADQUISICION DE DISPOSITIVOS MEDICOS DPTO DE FARMACIA</t>
  </si>
  <si>
    <t xml:space="preserve"> ADQUISICION DE DISPOSITIVOS MEDICOS PROGRAMA PRESUPUESTAL MATERNO NEONATAL</t>
  </si>
  <si>
    <t xml:space="preserve"> ADQUISICION DE DISPOSITIVOS MEDICOS PROGRAMA TBC-VIH </t>
  </si>
  <si>
    <t xml:space="preserve"> ADQUISICION DE MATERIAL DE LIMPIEZA MANTENIMIENTO</t>
  </si>
  <si>
    <t xml:space="preserve"> ADQUISICION DE DISPOSITIVOS MEDICOS DIFERENTES PROGRAMAS PRESUPUESTALES</t>
  </si>
  <si>
    <t xml:space="preserve"> ADQUISICION DE FORMULAS POLIMERICAS DPTO DE FARMACIA</t>
  </si>
  <si>
    <t xml:space="preserve"> SERVICIO DE ENERGIA ELECTRICA</t>
  </si>
  <si>
    <t>SIN PROCEDIMIENTO DE SELECCIÓN</t>
  </si>
  <si>
    <t xml:space="preserve"> SERVICIO DE AGUA Y DESAGUE</t>
  </si>
  <si>
    <t xml:space="preserve"> SERVICIO DE TELEFONIA FIJA</t>
  </si>
  <si>
    <t>SERVICIO DE INTERNET</t>
  </si>
  <si>
    <t xml:space="preserve"> SERVICIOS DE MANTENIMIENTO DE INFRAESTRUCTURA</t>
  </si>
  <si>
    <t xml:space="preserve"> SERVICIO DE MANTENIMIENTO DE EQUIPOS BIOMEDICOS VARIOS</t>
  </si>
  <si>
    <t xml:space="preserve"> SERVICIO DE FOTOCOPIAS CAFAE </t>
  </si>
  <si>
    <t xml:space="preserve"> SERVICIO DE DOMETRIA RADIOTERAPIA Y RAYOS X </t>
  </si>
  <si>
    <t xml:space="preserve"> SERVICIO DE IMPRESIONES EN GENERAL</t>
  </si>
  <si>
    <t xml:space="preserve">UNIDAD EJECUTORA : 402 HOSPITAL REGIONAL HONORIO DELGADO </t>
  </si>
  <si>
    <t>ADQUISICIÓN DE GASA QUIRURGICA 1 YD X 100 YD</t>
  </si>
  <si>
    <t>Adjudicaion Simplificada</t>
  </si>
  <si>
    <t>141,500.00</t>
  </si>
  <si>
    <t>LABORATORIO TEXTILES LOS ROSALES S.A.C.</t>
  </si>
  <si>
    <t>Ejecucion contractual</t>
  </si>
  <si>
    <t>ADQUISICIÓN DE ASPIRADOR DE SECRECIONES DE ALTO FLUJO</t>
  </si>
  <si>
    <t>57,000.00</t>
  </si>
  <si>
    <t> OPEN MEDIC S.A.C.</t>
  </si>
  <si>
    <t>MANTENIMIENTO CORRECTIVO DE VIDEO ENDOSCOPIO</t>
  </si>
  <si>
    <t>Contratacion directa</t>
  </si>
  <si>
    <t>67,000.00</t>
  </si>
  <si>
    <t>A JAIME ROJAS REPRESENTACIONES GRLES S A</t>
  </si>
  <si>
    <t>ADQUISICIÓN DE MESA ELECTROHIDRAULICA PARA OPERACION QUIRURGICA PARA EL DEPARTAMENTO DE ANESTESIOLOGIA Y CENTRO QUIRURGICO</t>
  </si>
  <si>
    <t>349,800.00</t>
  </si>
  <si>
    <t>OPEN MEDIC S.A.C.</t>
  </si>
  <si>
    <t>ADQUISICION DE MONITOR DESFIBRILADOR PARA EL DEPARTAMENTO DE ANESTESIOLOGÍA Y CENTRO QUIRURGICO DEL HOSPITAL REGIONAL HONORIO DELGADO</t>
  </si>
  <si>
    <t>60,000.00</t>
  </si>
  <si>
    <t>SERMED INGENIEROS EIRL</t>
  </si>
  <si>
    <t>ADQUISICIÓN ANUAL DE RECTIVOS DE CITOMETRIA DE FLUJO CON EQUIPO EN CESION EN USO</t>
  </si>
  <si>
    <t>302,693.60</t>
  </si>
  <si>
    <t>BECTON DICKINSON DEL URUGUAY SA SUC PERU</t>
  </si>
  <si>
    <t>SUMINISTRO DEL MEDICAMENTO IMIGLUCERASA 400 UI PARA EL ABASTECIMIENTO DEL AÑO 2019 - 2020</t>
  </si>
  <si>
    <t>1,358,886.24</t>
  </si>
  <si>
    <t>GENZYME DEL PERU S.A.C.</t>
  </si>
  <si>
    <t>ADQUISICIÓN DE TELA NO TEJIDA</t>
  </si>
  <si>
    <t>73,693.20</t>
  </si>
  <si>
    <t>L &amp; M MEDICAL SUPPLIES SOCIEDAD ANONIMA CERRADA</t>
  </si>
  <si>
    <t>ADQUISICIÓN DE REACTIVOS PARA DOSAJE DE GASOMETRIA ARTERIAL CON EQUIPO EN CESIÓN EN USO</t>
  </si>
  <si>
    <t>Licitacion publica</t>
  </si>
  <si>
    <t>414,764.95</t>
  </si>
  <si>
    <t>DIAGNOSTICA PERUANA S.A.C.</t>
  </si>
  <si>
    <t>ADQUISICIÓN DE GUANTES PARA EXAMEN POR SUBASTA INVERSA</t>
  </si>
  <si>
    <t>Subasta inversa electronica</t>
  </si>
  <si>
    <t>CRISOF SOLUCIONES INTEGRALES  S.A.C.</t>
  </si>
  <si>
    <t>ADQUISICIÓN DE MASCARILLAS DESCARTABLES TIPO N-95 X 20 PARA PROGRAMAS PRESUPUESTALES DEL HOSPITAL REGIONAL HONORIO DELGADO</t>
  </si>
  <si>
    <t>MULTIMEDICAL SUPPLIES SAC</t>
  </si>
  <si>
    <t>ADQUISICION DE TELA PARA PROGRAMAS PRESUPUESTALES DEL HOSPITAL REGIONAL HONORIO DELGADO</t>
  </si>
  <si>
    <t> JORGE PEÑA S A JORPESA</t>
  </si>
  <si>
    <t>MANTENIMIENTO CORRECTIVO PARA LOS EQUIPOS DE HEMODIALISIS</t>
  </si>
  <si>
    <t> RL SERVICIOS E INVERSIONES S.A.C</t>
  </si>
  <si>
    <t>SUMINISTRO DE LECHE FRESCA  ENTERA Y PRODUCTOS DE PANIFICACIÓN</t>
  </si>
  <si>
    <t> PAREDES VALENCIA MIGUEL ANGEL</t>
  </si>
  <si>
    <t>ADQUISICIÓN DE OXIGENO LIQUIDO MEDICINA PARA LOS SERVICIOS ASISTENCIALES DEL HOSPITAL REGIONAL HONORIO DELGADO</t>
  </si>
  <si>
    <t> PRAXAIR PERU SRL</t>
  </si>
  <si>
    <t>ADQUISICIÓN DE MANGAS MIXTAS Y PAPEL CREPADO</t>
  </si>
  <si>
    <t>FERCO MEDICAL S.A.C.</t>
  </si>
  <si>
    <t>MANTENIMIENTO CORRECTIVO DE RED ELÉCTRICA: CAMBIO DE CONDUCTORES ELÉCTRICOS DE LA ENERGÍA ELÉCTRICA DE RESPALDO DEL GRUPO ELECTRÓGENO EN CASA DE FUERZA A SUB ESTACIÓN ELÉCTRICA EN SÓTANO, E INTERRUPTOR DE POTENCIA A SALIDA DEL GRUPO ELECTRÓGENO</t>
  </si>
  <si>
    <t>Concurso publico</t>
  </si>
  <si>
    <t>INGENIERIA NEGOCIOS Y SERVICIOS MULTIPLES ALPHO EIRL</t>
  </si>
  <si>
    <t>ADQUISICIÓN DE INDICADORES DE ESTERILIZACIÓN Y TEST DE BOWIE &amp; DICK</t>
  </si>
  <si>
    <t>ACGFARMA E.I.R.L.</t>
  </si>
  <si>
    <t>ADQUISICIÓN DE CAMILLA DE METAL PARA TRANSPORTE DE PACIENTE</t>
  </si>
  <si>
    <t>MOBILIARIOS HOSPITALARIOS SIN FIN S.A.C.</t>
  </si>
  <si>
    <t>SERVICIO DE RECOJO, TRASLADO Y DISPOSICIÓN FINAL DE RESIDUOS SÓLIDOS HOSPITALARIOS (BIO-CONTAMINADOS Y ESPECIALES)</t>
  </si>
  <si>
    <t>TRANSPORTES VALDIVIA CARBAJAL E.I.R.L.</t>
  </si>
  <si>
    <t>ADQUISICIÓN DE VENTILADOR VOLUMÉTRICO ADULTO - PEDIÁTRICO PARA EL SERVICIO DE EMERGENCIA DEL HOSPITAL REGIONAL HONORIO DELGADO</t>
  </si>
  <si>
    <t>CARDIOPULMONARY CARE SOCIEDAD ANONIMA CERRADA</t>
  </si>
  <si>
    <t>ADQUISICIÓN DE VENTILADOR VOLUMETRICO MECANICO NEONATAL DE ALTA FRECUENCIA</t>
  </si>
  <si>
    <t>ADQUISICIÓN DE EQUIPO DE RAYOS X PARA RADIOGRAFÍA RODABLE DIGITAL</t>
  </si>
  <si>
    <t>TECNOLOGIA INDUSTRIAL Y NACIONAL S.A.</t>
  </si>
  <si>
    <t>-ADQUISICIÓN DE EQUIPO INCUBADORA PARA BEBES -  INCUBADORA PARA NEONATOS PARA EL SERVICIO DE NEONATOLOGIA DEL HRHD</t>
  </si>
  <si>
    <t> NOVA MEDICAL S.A.C.</t>
  </si>
  <si>
    <t>ADQUISICIÓN DE UNIFORME  INSTITUCIONAL PARA EL PERSONAL DEL HOSPITAL REGIONAL HONORIO DELGADO</t>
  </si>
  <si>
    <t>LA CASA DEL TERNO - PAOLO BORGHINI</t>
  </si>
  <si>
    <t>ADQUISICIÓN DE MONITOR MULTIPARÁMETRO DE FUNCIONES VITALES D 8 PARAMETROS</t>
  </si>
  <si>
    <t>HEMOCARE S.A.C.</t>
  </si>
  <si>
    <t>ADQUISICIÓN DE MESA ELECTROHIDRÁULICA PARA OPERACIÓN QUIRÚRGICA</t>
  </si>
  <si>
    <t>ADQUISIICIÓN DE EQUIPO MÉDICO ECOCARDIÓGRAFO DOPPLER PARA EL SERVICIO DE CARDIOLOGÍA DEL HRHD</t>
  </si>
  <si>
    <t>SUMINISTRO DE HEPARINA SÓDICA 25000 Ui/5 ML INY  5 ML</t>
  </si>
  <si>
    <t>MEDIFARMA S A</t>
  </si>
  <si>
    <t>ADQUISICIÓN DE ARROZ PILADO EXTRA Y AZÚCAR RUBIA DOMÉSTICA</t>
  </si>
  <si>
    <t>LUQUE MADUENO LUZMILA MARILU</t>
  </si>
  <si>
    <t>ADQUISICIÓN  DE ALIMENTOS</t>
  </si>
  <si>
    <t>INVERSIONES BEJUCAR - CORAZON DE JESUS S.A.C.</t>
  </si>
  <si>
    <t>ADQUISICIÓN DE ROPA QUIRÚRGICA ESTÉRIL DESCARTABLE PARA EL ABASTECIMIENTO DEL AÑO 2019 - 2020</t>
  </si>
  <si>
    <t>ADQUISICIÓN DE INSUMOS PARA TOMA DE MUESTRA PARA EL DEPARTAMENTO DE PATOLOGÍA CLÍNICA</t>
  </si>
  <si>
    <t> LABSYSTEMS S.A.C</t>
  </si>
  <si>
    <t>ADQUISICIÓN DE PETROLEO DIESEL B5 - 50 PARA CALDERO DE CASA DE FUERZA</t>
  </si>
  <si>
    <t>ADQUISICIÓN DE INSUMOS Y REACTIVOS PARA BIOQUÍMICA CON EQUIPO EN CESIÓN EN USO PARA EL DEPARTAMENTO DE PATOLOGÍA CLÍNICA</t>
  </si>
  <si>
    <t> USD CORPORATION S.A.C.</t>
  </si>
  <si>
    <t>ADQUISICION DE BOLSA DE POLIETILENO DE DESECHO PARA MANEJO DE RESIDUOS SOLIDOS HOSPITALARIOS</t>
  </si>
  <si>
    <t>PLASTICOS CONTINENTAL S.A.C.</t>
  </si>
  <si>
    <t>ADQUISICIÓN DE DESINFECTANTE POTENCIALIZADO DE USO UNIVERSAL DE APLICACIÓN DIRECTA</t>
  </si>
  <si>
    <t>50,000.00</t>
  </si>
  <si>
    <t> PEREZ &amp; FALCON SOCIEDAD ANONIMA CERRADA</t>
  </si>
  <si>
    <t>15/05/2019 </t>
  </si>
  <si>
    <t>ADQUISICIÓN DE INSUMOS PARA HEMOGRAMA AUTOMATIZADO CON EQUIPO EN CESIÓN EN USO PARA EL DEPARTAMENTO DE PATOLOGÍA CLÍNICA</t>
  </si>
  <si>
    <t>W.P. BIOMED E.I.R.L.</t>
  </si>
  <si>
    <t>UNIDAD EJECUTORA :  403 SALUD CAMANA</t>
  </si>
  <si>
    <t xml:space="preserve"> ADQUISICION DE COMBUSTIBLE</t>
  </si>
  <si>
    <t>ADJUDICCACION SIMPLIFICADA</t>
  </si>
  <si>
    <t>AS</t>
  </si>
  <si>
    <t>0002-2020</t>
  </si>
  <si>
    <t>20455795576-GRUPO CAMANA SAC</t>
  </si>
  <si>
    <t>CONCLUIDO</t>
  </si>
  <si>
    <t>SERVICIO DE ACONDICIONAMIENTO DE AMBIENTE</t>
  </si>
  <si>
    <t>0001-2020</t>
  </si>
  <si>
    <t>20539383290-BUSTAMANTE Y MALAGA CONSTRUCCIONES EN DRYWALL S.A.C.</t>
  </si>
  <si>
    <t>SERVICIO DE ALQUILER DE CAMIONETA</t>
  </si>
  <si>
    <t>CONTRATACIONES DIRECTAS</t>
  </si>
  <si>
    <t>SIE</t>
  </si>
  <si>
    <t>10304103618-AREMAN DE: ELIAS ALBERTO ARENAS MONTOYA</t>
  </si>
  <si>
    <t>UNIDAD EJECUTORA :  404 REGION AREQUIPA - SALUD APLAO(000769)</t>
  </si>
  <si>
    <t xml:space="preserve"> MASCARILLA DESCARTABLE TIPO N-95 X 20</t>
  </si>
  <si>
    <t>ASP</t>
  </si>
  <si>
    <t>ADJ. SIN PROCESO</t>
  </si>
  <si>
    <t>MASCARILLA DESCARTABLE QUIRURGICA 3 PLIEGUES</t>
  </si>
  <si>
    <t>ASP - CD</t>
  </si>
  <si>
    <t>PROCESO ELECTRONICO</t>
  </si>
  <si>
    <t>CD-001</t>
  </si>
  <si>
    <t>OXIGENO MEDICINAL GAS 99.5 %</t>
  </si>
  <si>
    <t xml:space="preserve"> PETROLEO DIESEL </t>
  </si>
  <si>
    <t xml:space="preserve"> MUSLO DE POLLO</t>
  </si>
  <si>
    <t>CARNE DE RES PIERNA</t>
  </si>
  <si>
    <t xml:space="preserve"> LECHE EVAPORADA ENTERA X 400 g APROX.</t>
  </si>
  <si>
    <r>
      <t>UNIDAD EJECUTORA : 409</t>
    </r>
    <r>
      <rPr>
        <b/>
        <u/>
        <sz val="9"/>
        <color rgb="FF4D5156"/>
        <rFont val="Arial"/>
        <family val="2"/>
      </rPr>
      <t> HOSPITAL CENTRAL DE MAJES ING. ANGEL GABRIEL CHURA GALLEGOS</t>
    </r>
  </si>
  <si>
    <t xml:space="preserve"> ADQUISICION DE CARNES  AÑO 2020</t>
  </si>
  <si>
    <t>CONTRATA</t>
  </si>
  <si>
    <t>160,872.00</t>
  </si>
  <si>
    <t>10293144031, INGRID ROSARIO TALAVERA JUAREZ</t>
  </si>
  <si>
    <t>VIGENTE</t>
  </si>
  <si>
    <t>ADQUISICION DE COMBUSTIBLE DIESEL B5 S 50 AÑO 2020</t>
  </si>
  <si>
    <t>20601655943,ESTACION DE SERVICIOS PEDREGAL SUR</t>
  </si>
  <si>
    <t xml:space="preserve"> ADQUISICION DE EQUIPOS DE PROTECCION DE PERSONAL (EPPS) MASCARILLA N 95 AÑO 2020</t>
  </si>
  <si>
    <t>20604895481, S&amp;H PHARMACEUTICAL SOLUTIONS S.R.L.</t>
  </si>
  <si>
    <t xml:space="preserve"> ADQUISICION DE RESPIRADORES CARA COMPLETA Y CARTUCHOS PARA MASCARILLA DE PROTECCION P100, EN EL MARCO DE LA PROTECCION FRENTE A LA COVID 19, AÑO 2020</t>
  </si>
  <si>
    <t>20605781790, ESPECIALISTAS PM E.I.R.L.</t>
  </si>
  <si>
    <t xml:space="preserve"> ADQUISICION DE EQUIPOS DE PROTECCION PERSONAL REUTELIZABLES (MAMELUCO Y MANDILONES); COLOR BLANCO EN TELA ANTIFUIDOS EN EL MARCO DE LA EMERGENCIA SANITARIA DECLARADO POR EL ESTADO ANTE LA PANDEMIA ASOCIADA POR COVID-19, AÑO 2020 </t>
  </si>
  <si>
    <t>20124794413, CASA OMAR IMPORTACIONES Y REPRESENTACIONES S.R.L</t>
  </si>
  <si>
    <t>AÑO 2021</t>
  </si>
  <si>
    <t>1CONTRATACION DE SERVICIO DE SEGURIDAD Y VIGILANCIA</t>
  </si>
  <si>
    <t>AS-001-2021-GRA-GREA</t>
  </si>
  <si>
    <t xml:space="preserve">12 MESES </t>
  </si>
  <si>
    <t>2SERVICIO DE ARRENDAMIENTO BRINDADO A LA SEDE GREA</t>
  </si>
  <si>
    <t>CD N-001-2021-GRA-GREA</t>
  </si>
  <si>
    <t>1 Vales de Consumo</t>
  </si>
  <si>
    <t>Clásica</t>
  </si>
  <si>
    <t>ADJUDICADO</t>
  </si>
  <si>
    <t>2 Uniforme militar de Faena</t>
  </si>
  <si>
    <t>-</t>
  </si>
  <si>
    <t xml:space="preserve"> Uniforme militar de Faena (2da Convocatoria)</t>
  </si>
  <si>
    <t>S/.91725.00</t>
  </si>
  <si>
    <t>EN PROCESO</t>
  </si>
  <si>
    <t>3 Uniforme de Aula</t>
  </si>
  <si>
    <t>20517204073 - DARKEV NEGOCIACIONES SAC</t>
  </si>
  <si>
    <t>20412929625 -  CONSORCIO GARCESS EIRL</t>
  </si>
  <si>
    <t>6 Contratación de Seguros</t>
  </si>
  <si>
    <t>POR CONVOCAR</t>
  </si>
  <si>
    <t>7 Ropa de Deporte</t>
  </si>
  <si>
    <t>Compra Directa</t>
  </si>
  <si>
    <t>O/C Nº52</t>
  </si>
  <si>
    <t>O/C 14-JUL-2021</t>
  </si>
  <si>
    <t>O/C Nº53</t>
  </si>
  <si>
    <t>20328149991 - TODO CUERO EIRL</t>
  </si>
  <si>
    <t>UNIDAD EJECUTORA :302 EDUCACIÓN AREQUIPA NORTE</t>
  </si>
  <si>
    <t>CONTRATACION DE TRANSPORTE 2021</t>
  </si>
  <si>
    <t>10292863301 -
 GALLEGOS MORANTE DILBER GABINO</t>
  </si>
  <si>
    <t xml:space="preserve">EN EJECUCION </t>
  </si>
  <si>
    <t xml:space="preserve">EN ETAPA DE  EJECUCION </t>
  </si>
  <si>
    <t>ADQUISCION DE VESTUARIO AÑO 2021</t>
  </si>
  <si>
    <t>AS -02</t>
  </si>
  <si>
    <t>20124794413 -
 CASA OMAR IMPORT Y REPRESENT. S.R.L</t>
  </si>
  <si>
    <t>SERVICIO DE FOTOCOPIADO E IMPRESIÓN 2021</t>
  </si>
  <si>
    <t>AS-03</t>
  </si>
  <si>
    <t>20559146057 - 
INVERSIONES LAYKACOTA E.I.R.L.</t>
  </si>
  <si>
    <t>EJECUCION
 CONTRACTUAL</t>
  </si>
  <si>
    <t>ETAPA EJECUCION CONTRACTUAL</t>
  </si>
  <si>
    <t>ADQUISICIÓN DE PROTECTORES FACIALES CON VISOR</t>
  </si>
  <si>
    <t>AS-SM-9-2021-UGEL AREQUIPA SUR-1</t>
  </si>
  <si>
    <t>CUADRADO DOMINGUEZ OMAR</t>
  </si>
  <si>
    <t>EJECUCION</t>
  </si>
  <si>
    <t>ADQUISICIÓN DE MATERIAL DIDACTICO PARA EDUCACION BASICA ESPECIAL</t>
  </si>
  <si>
    <t>AS-SM-8-2021-UGEL AREQUIPA SUR-1</t>
  </si>
  <si>
    <t>CORPORACION TECNOLOGICA Y EQUIPAMIENTOS S.A.C</t>
  </si>
  <si>
    <t>SERVICIO DE IMPRESIÓN DE KITS DE MATERIALES EDUCATIVOS</t>
  </si>
  <si>
    <t>AS-SM-6-2021-UGEL AREQUIPA SUR-1</t>
  </si>
  <si>
    <t>INVERSIONES LAYKACOTA E.I.R.L.</t>
  </si>
  <si>
    <t>POR LA ADQUISICIÓN DE UNIFORMES PARA EL PERSONAL</t>
  </si>
  <si>
    <t>AS-SM-5-2021-UGEL AREQUIPA SUR-1</t>
  </si>
  <si>
    <t>CASA OMAR IMPORT Y REPRESENT. S.R.L.</t>
  </si>
  <si>
    <t>SEGUNDA CONTRATACIÓN DE SERVICIO DE INTERNET "SERVICIO DE DATOS DE INTERNET, POR MEDIO DE CHIP TELEFONICO MOVIL PARA LOS ESTUDIANTES DE LAS INSTITUCIONES DE EDUCACIÓN BÁSICA REGULAR (ZONA RURAL) Y EDUCACIÓN BÁSICA ESPECIAL (ZONA RURAL Y URBANA) DEL ÁMBITO JURISDICCIONAL DE LA UGEL AREQUIPA SUR"</t>
  </si>
  <si>
    <t>AS-SM-2-2021-UGEL AREQUIPA SUR-2</t>
  </si>
  <si>
    <t>ENTEL PERU S.A</t>
  </si>
  <si>
    <t>VALE DE CONSUMO DE ALIMENTOS "ADQUISICIÓN DE VIVERES EN TARJETAS ELECTRONICAS DE CONSUMO DE ALIMENTOS PARA PERSONAL DE LA UGEL - AREQUIPA SUR"</t>
  </si>
  <si>
    <t>AS-SM-4-2021-UGEL AREQUIPA SUR-1</t>
  </si>
  <si>
    <t>SUPERMERCADOS PERUANOS SOCIEDAD ANONIMA 'O ' S.P.S.A.</t>
  </si>
  <si>
    <t>ADQUISICIÓN DE MASCARILLAS FACIALES TEXTILES DE USO COMUNITARIO REUTILIZABLES PARA ESTUDIANTES, DOCENTES Y NO DOCENTES DE LAS INSTITUCIONES EDUCATIVAS DEL ÁMBITO DE LA UGEL - AREQUIPA SUR</t>
  </si>
  <si>
    <t>LP-SM-1-2021-UGEL AREQUIPA SUR-1</t>
  </si>
  <si>
    <t>ISIS DISTRIBUCIONES SOCIEDAD ANONIMA CERRADA</t>
  </si>
  <si>
    <t>ADQUISICIÓN DE PROTECTORES FACIALES PARA DOCENTES Y NO DOCENTES DE LAS INSTITUCIONES EDUCATIVAS DEL AMBITO DE LA UGEL - AREQUIPA SUR</t>
  </si>
  <si>
    <t>AS-SM-3-2021-UGEL AREQUIPA SUR-1</t>
  </si>
  <si>
    <t>SERVICIOS DE INTERNET PARA IIEE</t>
  </si>
  <si>
    <t>AS-SM-1-2021-GRA-GRE-UGEL.AS-2</t>
  </si>
  <si>
    <t>AMERCIA MOVIL SAC</t>
  </si>
  <si>
    <t>ADQUISICION DE SURFACTANTE PULMONAR DE ORIGEN NATURAL 25MG/ML 8ML SUSPENSION INTRATRAQUEAL</t>
  </si>
  <si>
    <t xml:space="preserve">AS	</t>
  </si>
  <si>
    <t>SIN MODALIDAD</t>
  </si>
  <si>
    <t>AS-SM-1-2020-HRHD-1</t>
  </si>
  <si>
    <t>20554356690 - ABBVIE SAS, SUCURSAL DEL PERU</t>
  </si>
  <si>
    <t xml:space="preserve">15/06/2020	</t>
  </si>
  <si>
    <t>SUMINISTRO DE VALPROATO DE SODIO 500MG</t>
  </si>
  <si>
    <t xml:space="preserve">SIE-SIE-1-2020-HRHD-1	</t>
  </si>
  <si>
    <t xml:space="preserve">20171586608 - DISTRIBUIDORA DROGUERIA SAGITARIO S.R.L.	</t>
  </si>
  <si>
    <t xml:space="preserve">02/07/2020	</t>
  </si>
  <si>
    <t>ADQUISICIÓN DE PRODUCTOS FARMACÉUTICOS PARA LOS PACIENTES DE HEMODIÁLISIS PARA EL ABASTECIMIENTO DEL AÑO 2020-2021 (12 MESES)</t>
  </si>
  <si>
    <t>LP</t>
  </si>
  <si>
    <t xml:space="preserve">LP-SM-1-2020-HRHD-1	</t>
  </si>
  <si>
    <t xml:space="preserve">REPRESENTACIONES QUIMICA EUROPEA SAC	</t>
  </si>
  <si>
    <t xml:space="preserve">12/08/2020	</t>
  </si>
  <si>
    <t xml:space="preserve">MEDIFARMA S A	</t>
  </si>
  <si>
    <t xml:space="preserve">21/08/2020	</t>
  </si>
  <si>
    <t xml:space="preserve">1,168,104.00	</t>
  </si>
  <si>
    <t xml:space="preserve">FRESENIUS MEDICAL CARE DEL PERU S.A.	</t>
  </si>
  <si>
    <t xml:space="preserve">19/08/2020	</t>
  </si>
  <si>
    <t xml:space="preserve">ACGFARMA E.I.R.L.	</t>
  </si>
  <si>
    <t xml:space="preserve">10/08/2020	</t>
  </si>
  <si>
    <t>ADQUISICIÓN DE INSUMOS Y REACTIVOS PARA TAMIZAJE CON EQUIPOS EN CESIÓN EN USO</t>
  </si>
  <si>
    <t>LLAVE EN MANO</t>
  </si>
  <si>
    <t xml:space="preserve">LP-SM-3-2020-HRHD-1	</t>
  </si>
  <si>
    <t>20472172701 - UNIVERSAL SD S.A.C.</t>
  </si>
  <si>
    <t xml:space="preserve">AS-SM-2-2020-HRHD-1	</t>
  </si>
  <si>
    <t>20601552176 - IMPORTADORA MEDICAL PERUANA S.A.C.</t>
  </si>
  <si>
    <t xml:space="preserve">07/08/2020	</t>
  </si>
  <si>
    <t xml:space="preserve">	ADQUISICIÓN DE PRODUCTOS PARA EL TRATAMIENTO DE DIÁLISIS PERITONEAL DE PACIENTES CONTINUADORES CON ENFERMEDAD RENAL CRÓNICA (ERC-SISTEMA ANDY DISC) DEL HOSPITAL III REGIONAL HONORIO DELGADO ESPINOZA</t>
  </si>
  <si>
    <t>CD</t>
  </si>
  <si>
    <t>DIRECTA-PROC-5-2020-HRHD-1</t>
  </si>
  <si>
    <t xml:space="preserve">20462793791 - FRESENIUS MEDICAL CARE DEL PERU S.A.	</t>
  </si>
  <si>
    <t xml:space="preserve">22/07/2020	</t>
  </si>
  <si>
    <t xml:space="preserve">LP-SM-2-2020-HRHD-1	</t>
  </si>
  <si>
    <t xml:space="preserve">20492721469 - USD CORPORATION S.A.C.	</t>
  </si>
  <si>
    <t xml:space="preserve">ADQUISICIÓN DE INSUMOS MARCADORES PARA PACIENTES COVID 19 SOLICITADO POR EL DEPATAMENTO DE PATOLOGÍA CLÍNICA	</t>
  </si>
  <si>
    <t xml:space="preserve">DIRECTA-PROC-2-2020-HRHD-1	</t>
  </si>
  <si>
    <t xml:space="preserve">20472172701 - UNIVERSAL SD S.A.C.	</t>
  </si>
  <si>
    <t xml:space="preserve">24/07/2020	</t>
  </si>
  <si>
    <t xml:space="preserve">ADQUISICIÓN DE SET DE TRAQUEOSTOMIA PERCUTANEA PARA PACIENTES DEL SERVICIO DE UCI- COVID-19 DEL HOSPITAL REGIONAL HONORIO DELGADO DE AREQUIPA	</t>
  </si>
  <si>
    <t xml:space="preserve">DIRECTA-PROC-6-2020-HRHD-1	</t>
  </si>
  <si>
    <t xml:space="preserve">95,000.00	</t>
  </si>
  <si>
    <t xml:space="preserve">20415955821 - VISCANDINA S.A.C.	</t>
  </si>
  <si>
    <t xml:space="preserve">13/08/2020	</t>
  </si>
  <si>
    <t xml:space="preserve">ADQUISICIÓN DE GUANTES QUIRURGICOS ESTERILES 7 Y 7 1/2 DESCARTABLES PARA EL DPTO. DE ENFERMERÍA	</t>
  </si>
  <si>
    <t xml:space="preserve">DIRECTA-PROC-4-2020-HRHD-1	</t>
  </si>
  <si>
    <t xml:space="preserve">69,920.00	</t>
  </si>
  <si>
    <t xml:space="preserve">20601626986 - ASTRA MEDICAL E.I.R.L.	</t>
  </si>
  <si>
    <t xml:space="preserve">ADQUISICION DE LINEAS PARA BOMBAS DE INFUSION ICU MEDICAL O EQUIVALENTE POR ESTANDARIZACION PARA PACIENTES DEL SERVICIO DE UCI-COVID19 DEL HOSPITAL	</t>
  </si>
  <si>
    <t xml:space="preserve">DIRECTA-PROC-7-2020-HRHD-1	</t>
  </si>
  <si>
    <t xml:space="preserve">20537758377 - ICU MEDICAL PERU S.R.L.	</t>
  </si>
  <si>
    <t xml:space="preserve">18/08/2020	</t>
  </si>
  <si>
    <t xml:space="preserve">ADQUISICIÓN DE MAMELUCOS DESCARTABLE TALLA L PARA EL HOSPITAL III REGIONAL HONORIO DELGADO ESPINOZA	</t>
  </si>
  <si>
    <t xml:space="preserve">DIRECTA-PROC-1-2020-HRHD-1	</t>
  </si>
  <si>
    <t xml:space="preserve">120,000.00	</t>
  </si>
  <si>
    <t xml:space="preserve">20601490324 - ACGFARMA E.I.R.L.	</t>
  </si>
  <si>
    <t xml:space="preserve">ADQUISICIÓN DE PRODUCTOS PARA EL TRATAMIENTO DE DIALISIS PERITONEAL DE PACIENTES CONTINUADORES CON ENFERMEDAD RENAL CRONICA (ERC-SISTEMA ANDY DISC), PARA EL ABASTECIMIENTO DE UN AÑO (12 MESES) DEL HOSPITAL III REGIONAL HONORIO DELGADO ESPINOZA	</t>
  </si>
  <si>
    <t xml:space="preserve">DIRECTA-PROC-8-2020-HRHD-1	</t>
  </si>
  <si>
    <t xml:space="preserve">ADQUISICION DE INSUMOS PARA PERSONAL DEL HOSPITAL KIT DE GORROS Y MASCARAS REQUERIDO POR ENFERMERIA	</t>
  </si>
  <si>
    <t xml:space="preserve">DIRECTA-PROC-9-2020-HRHD-1	</t>
  </si>
  <si>
    <t xml:space="preserve">20552427638 - STERILAB DISTRIBUIDORA S.R.L.	</t>
  </si>
  <si>
    <t xml:space="preserve">17/08/2020	</t>
  </si>
  <si>
    <t xml:space="preserve">ADQUISICION DE RESPIRADORES DE UNA PIEZA CON FILTROS INTERCAMBIABLES POR CONTRATACION DIRECTA	</t>
  </si>
  <si>
    <t xml:space="preserve">DIRECTA-PROC-12-2020-HRHD-1	</t>
  </si>
  <si>
    <t xml:space="preserve">20603568975 - DISTRIBUIDOR MEDICO DE FARMACOS Y MATERIALES E.I.R.L. - DISMEFARMA E.I.R.L.	</t>
  </si>
  <si>
    <t xml:space="preserve">MANTENIMIENTO CORRECTIVO DE 04 (CUATRO) TAMBORES DE LAVADORA INDUSTRIAL MULTIPLE DEL HOSPITAL REGIONAL HONORIO DELGADO	</t>
  </si>
  <si>
    <t xml:space="preserve">DIRECTA-PROC-10-2020-HRHD-1	</t>
  </si>
  <si>
    <t xml:space="preserve">20216907834 - MANTENIMIENTO INDUSTRIAL MECANICO SRL	</t>
  </si>
  <si>
    <t xml:space="preserve">SERVICIO DE CREMACION DE CADAVERES COVID 19 PARA EL HOSPITAL REGIONAL HONORIO DELGADO	</t>
  </si>
  <si>
    <t xml:space="preserve">DIRECTA-PROC-13-2020-HRHD-1	</t>
  </si>
  <si>
    <t xml:space="preserve">20145137366 - ASOCIACION CIVIL SAN JUAN BAUTISTA	</t>
  </si>
  <si>
    <t xml:space="preserve">ADQUISICION DE MAMELUCOS DESCARTABLE TALLA L - XL, PARA EL HOSPITAL III REGIONAL HONORIO DELGADO ESPINOZA	</t>
  </si>
  <si>
    <t xml:space="preserve">DIRECTA-PROC-15-2020-HRHD-1	</t>
  </si>
  <si>
    <t xml:space="preserve">20603370628 - GLOBAL SCIENTIFIC S.A.C.	</t>
  </si>
  <si>
    <t xml:space="preserve">27/08/2020	</t>
  </si>
  <si>
    <t xml:space="preserve">ADQUISICION DE ALIMENTOS MEDIANTE PROCESO DE SUBASTA INVERSA ELECTRONICA	</t>
  </si>
  <si>
    <t xml:space="preserve">SIE-SIE-3-2020-HRHD-1	</t>
  </si>
  <si>
    <t xml:space="preserve">10292692477 - DIAZ TAPIA GUINA BELINDA	</t>
  </si>
  <si>
    <t xml:space="preserve">ADQUISICION CAFAEINA CITRATO 20 MG/ML INY	</t>
  </si>
  <si>
    <t xml:space="preserve">SIE-SIE-2-2020-HRHD-1	</t>
  </si>
  <si>
    <t>CANCELADO</t>
  </si>
  <si>
    <t xml:space="preserve">ADQUISICIÓN DE ACCESORIOS PARA ABASTECIMIENTO DE OXIGENO MEDICINAL A PACIENTES CON COVID-19 EN EL HOSPITAL REGIONAL HONORIO DELGADO - AREQUIPA	</t>
  </si>
  <si>
    <t xml:space="preserve">DIRECTA-PROC-17-2020-HRHD-1	</t>
  </si>
  <si>
    <t xml:space="preserve">20557041631 - INTECWELD IMPORT S.A.C.	</t>
  </si>
  <si>
    <t xml:space="preserve">ADQUISICIÓN DE BOLSAS DE PLASTICO PVC PARA CADAVER COVID-19 PARA EL HOSPITAL III REGIONAL HONORIO DELGADO ESPINOZA	</t>
  </si>
  <si>
    <t xml:space="preserve">DIRECTA-PROC-16-2020-HRHD-1	</t>
  </si>
  <si>
    <t xml:space="preserve">20456110194 - PROFESSIONAL MED CARE S.A.C.	</t>
  </si>
  <si>
    <t>DFF</t>
  </si>
  <si>
    <t xml:space="preserve">SUMINISTRO ANUAL DE PETROLEO DIESEL B5 S-50 PARA EL HOSPITAL REGIONAL HONORIO DELGADO - AREQUIPA	</t>
  </si>
  <si>
    <t xml:space="preserve">SIE-SIE-4-2020-HRHD-1	</t>
  </si>
  <si>
    <t xml:space="preserve">20370508659 - GRIFO J.H.P. E.I.R.LTDA.	</t>
  </si>
  <si>
    <t xml:space="preserve">ADQUISICION DE DISPOSITIVOS MÉDICOS PARA PACIENTES DEL SERVICIO DE UCI-COVID-19 DEL HOSPITAL REGIONAL HONORIO DELGADO	</t>
  </si>
  <si>
    <t xml:space="preserve">DIRECTA-PROC-18-2020-HRHD-1	</t>
  </si>
  <si>
    <t xml:space="preserve">20419385442 - UTILITARIOS MEDICOS S.A.C.	</t>
  </si>
  <si>
    <t xml:space="preserve">20453886892 - CORPORACION CASTILLO SOCIEDAD ANONIMA-CORPCAS	</t>
  </si>
  <si>
    <t xml:space="preserve">ADQUISICIÓN DE ALCOHOL ETILICO (ETANOL) 96° X 1 L PARA EL HOSPITAL III REGIONAL HONORIO DELGADO ESPINOZA	</t>
  </si>
  <si>
    <t xml:space="preserve">DIRECTA-PROC-19-2020-HRHD-1	</t>
  </si>
  <si>
    <t xml:space="preserve">20369964632 - FARMAGOLD S.A.C.	</t>
  </si>
  <si>
    <t xml:space="preserve">ADQUISICIÓN DE BOLSAS DE POLIETILENO DE DESECHO PARA MANEJO DE RESIDUOS SÓLIDOS HOSPITALARIOS	</t>
  </si>
  <si>
    <t xml:space="preserve">DIRECTA-PROC-20-2020-HRHD-1	</t>
  </si>
  <si>
    <t xml:space="preserve">20413792607 - MULTIPRODUCTOS SOLCAR E.I.R.L.	</t>
  </si>
  <si>
    <t xml:space="preserve">ADQUISICIÓN DE CHAQUETAS Y PANTALONES DESCARTABLES TALLA XL Y XXL PARA EL HOSPITAL III REGIONAL HONORIO DELGADO ESPINOZA	</t>
  </si>
  <si>
    <t xml:space="preserve">DIRECTA-PROC-21-2020-HRHD-1	</t>
  </si>
  <si>
    <t xml:space="preserve">20371326082 - IMC S.R.L.	</t>
  </si>
  <si>
    <t xml:space="preserve">COMPRA DIRECTA DE INSUMOS PARA PACIENTES COVID	</t>
  </si>
  <si>
    <t xml:space="preserve">DIRECTA-PROC-11-2020-HRHD-1	</t>
  </si>
  <si>
    <t xml:space="preserve">ADQUISICIÓN DE OXIGENO MEDICINAL GASEOSO PARA ATENCIÓN DE PACIENTES COVID 19 DE LOS DIFERENTES SERVICIOS ASISTENCIALES DEL HOSPITAL REGIONAL HONORIO DELGADO ESPINOZA	</t>
  </si>
  <si>
    <t xml:space="preserve">DIRECTA-PROC-14-2020-HRHD-1	</t>
  </si>
  <si>
    <t xml:space="preserve">20338570041 - PRAXAIR PERU SRL	</t>
  </si>
  <si>
    <t xml:space="preserve">ADQUISICIÓN DE MANDILONES TALLA L Y XL PARA EL HOSPITAL III REGIONAL HONORIO DELGADO ESPINOZA	</t>
  </si>
  <si>
    <t xml:space="preserve">DIRECTA-PROC-3-2020-HRHD-1	</t>
  </si>
  <si>
    <t xml:space="preserve">ADQUISICION POR REPOSISICION DE IMPLEMENTACION DE EQUIPO DE OSMOSIS INVERSA PORTATIL PARA EL HOSPITAL REGIONAL HONORIO DELGADO, DISTRITO DE AREQUIPA, PROVINCIA Y REGION DE AREQUIPA	</t>
  </si>
  <si>
    <t>DIRECTA-PROC-24-2020-HRHD-1</t>
  </si>
  <si>
    <t>20601209391 - TECNOLOGÍA ODONTOMEDICA E.I.R.L.</t>
  </si>
  <si>
    <t>ADQUISICION DE OXIGENO MEDICINAL</t>
  </si>
  <si>
    <t>0001-2021</t>
  </si>
  <si>
    <t>20221229917-DISTRIBUIDORA BILLAR E.I.R.LTDA</t>
  </si>
  <si>
    <t>SIS</t>
  </si>
  <si>
    <t>SERVICIO DE ACONDICIONAMIENTO DE ALMACEN DE FARMACIA</t>
  </si>
  <si>
    <t>20607646725-SAPEAL LOGISTICA E INGENIERIA E.I.R.L.</t>
  </si>
  <si>
    <t>RDR - SIS</t>
  </si>
  <si>
    <t xml:space="preserve"> COLCHONETA DE ESPUMA FORRADO CON MARROQUIN DE 10 CM X 1.80 M X 80 CM</t>
  </si>
  <si>
    <t>20555803835 CONSORCIO PREMIUM PERU S.A.C.</t>
  </si>
  <si>
    <t xml:space="preserve"> UNIDAD CENTRAL DE PROCESO - CPU</t>
  </si>
  <si>
    <t>20454348266 CONTACTO INFORMATICO E.I.R.L.</t>
  </si>
  <si>
    <t xml:space="preserve"> CASETE DE MEDICIÓN PARA ANALIZADOR DE GASES ARTERIALES</t>
  </si>
  <si>
    <t>20524590876 MEDIDEN SOCIEDAD ANONIMA CERRADA - MEDIDEN S.A.C.</t>
  </si>
  <si>
    <t>20501584623 ARGO MEDIC S.A.C.</t>
  </si>
  <si>
    <t>20496358423  EUROMEDIC  E.I.R.L.</t>
  </si>
  <si>
    <t xml:space="preserve"> MASCARILLA DESCARTABLE TIPO N-95</t>
  </si>
  <si>
    <t xml:space="preserve"> ACETILCISTEINA 300 mg INY 3 mL</t>
  </si>
  <si>
    <t>20100220700 DIMEXA S.A.</t>
  </si>
  <si>
    <t xml:space="preserve"> ARNÉS DE NAILON CON SUJECIÓN A LAS PIERNAS Y EL PECHO</t>
  </si>
  <si>
    <t>20604879389 MATETO E.I.R.L.</t>
  </si>
  <si>
    <t xml:space="preserve"> TROCAR PARA CIRUGIA LAPAROSCOPICA DE 10 mm DE DIAMETRO DESCARTABLE</t>
  </si>
  <si>
    <t>20521982081 INVERSIONES HIKARI S.A.C.</t>
  </si>
  <si>
    <t xml:space="preserve"> PAPEL TOALLA DOBLE HOJA INTERFOLIADO BLANCO X 200 HOJAS</t>
  </si>
  <si>
    <t>20347268683 ACGFARMA E.I.R.L.</t>
  </si>
  <si>
    <t xml:space="preserve"> PELICULA RADIOGRAFICA LASER 10 in X 12 in X 125</t>
  </si>
  <si>
    <t xml:space="preserve"> PELICULA RADIOGRAFICA LASER 8 in X 10 in X 125</t>
  </si>
  <si>
    <t>20511399506 INVERSIONES GONZAMED S.A.C.</t>
  </si>
  <si>
    <t xml:space="preserve"> SOLUCION DILUYENTE PARA ANALIZADOR HEMATOLOGICO X 20 L</t>
  </si>
  <si>
    <t>20505110651 W.P. BIOMED E.I.R.L.</t>
  </si>
  <si>
    <t xml:space="preserve"> CARPA PARA CAMPAMENTO DE LONA IMPERMEABLE DE 6 M X 4 M X 3.5 M</t>
  </si>
  <si>
    <t>AÑO 2022</t>
  </si>
  <si>
    <t>1. CONTRATACION DE SERVICIO DE SEGURIDAD Y VIGILANCIA</t>
  </si>
  <si>
    <t>ADJ SIMPLIFICADA</t>
  </si>
  <si>
    <t>PROYECCION AÑO 2022</t>
  </si>
  <si>
    <t>2. SERVICIO DE ARRENDAMIENTO BRINDADO A LA SEDE GREA</t>
  </si>
  <si>
    <t>CONTRATAC DIRECTA</t>
  </si>
  <si>
    <t>3.  ADQUISICION DE MATERIAL DE ESCRITORIO Y CONSUMIBLES</t>
  </si>
  <si>
    <t xml:space="preserve">SEGÚN PAC </t>
  </si>
  <si>
    <t>1 Combuatible</t>
  </si>
  <si>
    <t>UNIDAD EJECUTORA    :  302 EDUCACIÓN AREQUIPA NORTE</t>
  </si>
  <si>
    <t>CONTRATACION DE TRANSPORTE 2022</t>
  </si>
  <si>
    <t xml:space="preserve">PROYECTADO </t>
  </si>
  <si>
    <t>ADQUISCION DE VESTUARIO AÑO 2022</t>
  </si>
  <si>
    <t>POR DEFINIR</t>
  </si>
  <si>
    <t>CONTRATACION DE SERVICIO DE TRASNPORTE PARA LA DISTRIBUCION DE MATERIAL EDUCTAIVO Y FUNGIBLE A II.EE PUBLCIAS DEK AMBITO DE LA UGEL.AS</t>
  </si>
  <si>
    <t>UNIDAD EJECUTORA : 304 UGEL CAMANA</t>
  </si>
  <si>
    <t xml:space="preserve"> SERVICIO DE IMPRESIONES</t>
  </si>
  <si>
    <t xml:space="preserve"> SERVICIO DE TRANSPORTE Y TRASLADO DE CARGA, BIENES Y MATERIALES</t>
  </si>
  <si>
    <t>ADQUISICIÓN DE SERVICIOS BASICOS</t>
  </si>
  <si>
    <t>LP-SM - 2021-HRHD</t>
  </si>
  <si>
    <t xml:space="preserve">SUMINISTRO DE OXIGENO </t>
  </si>
  <si>
    <t>ADQUISICIÓN DE INSUMOS Y REACTIVOS PARA EL DEPARTAMENTO DE PATOLOGÍA CLÍNICA</t>
  </si>
  <si>
    <t>ADQUISICIÓN DE INSUMOS PARA ENFERMERIA</t>
  </si>
  <si>
    <t>ADQUISICION DE ALIMIENTOS</t>
  </si>
  <si>
    <t>0001-2022</t>
  </si>
  <si>
    <t xml:space="preserve"> ADQUICION DE MATERIALES DE ASEO Y LIMPIEZA</t>
  </si>
  <si>
    <t>COMPRA DE MATERIAL DE MATERIAL, INSUMOS</t>
  </si>
  <si>
    <t>ADQUISICION DE MATERIAL DE ESCRITORIO</t>
  </si>
  <si>
    <t>CONVENIO MARCO</t>
  </si>
  <si>
    <r>
      <t>UNIDAD EJECUTORA : 409</t>
    </r>
    <r>
      <rPr>
        <b/>
        <u/>
        <sz val="9"/>
        <color rgb="FF4D5156"/>
        <rFont val="Calibri"/>
        <family val="2"/>
        <scheme val="minor"/>
      </rPr>
      <t> HOSPITAL CENTRAL DE MAJES ING. ANGEL GABRIEL CHURA GALLEGOS</t>
    </r>
  </si>
  <si>
    <t>ADQUISICION DE CARNES AÑO 2022</t>
  </si>
  <si>
    <t>ADQUISICION DE COMBUSTIBLEPARA CALDERO AÑO 2022</t>
  </si>
  <si>
    <t>SUBASTA INVERSA</t>
  </si>
  <si>
    <t>PROYECTO DE PRESUPUSTO 2022</t>
  </si>
  <si>
    <t>PLIEGO 443-GOBIERNO REGIONAL DE AREQUIPA</t>
  </si>
  <si>
    <t>ADQUISICION DE BIENES PARA PRESTACION FUNERARIA</t>
  </si>
  <si>
    <t>AGROPECUARIO, GANADERO Y DE JARDINERIA</t>
  </si>
  <si>
    <t>AGUINALDOS DE C.A.S.</t>
  </si>
  <si>
    <t>ALIMENTOS Y BEBIDAS PARA CONSUMO ANIMAL</t>
  </si>
  <si>
    <t>ALIMENTOS Y BEBIDAS PARA CONSUMO HUMANO</t>
  </si>
  <si>
    <t>ANIMADORAS Y ALFABETIZADORES</t>
  </si>
  <si>
    <t>ANIMALES PARA ESTUDIO</t>
  </si>
  <si>
    <t>ASEO, LIMPIEZA Y TOCADOR</t>
  </si>
  <si>
    <t>ASESORIA LEGAL PARA ENTIDADES PUBLICAS EN EL MARCO DE CONTROVERSIAS CONTRACTUALES NACIONALES O INTERNACIONALES</t>
  </si>
  <si>
    <t>ATENCIONES OFICIALES Y CELEBRACIONES INSTITUCIONALES</t>
  </si>
  <si>
    <t>AUSPICIO Y PATROCINIO DE EVENTOS CULTURALES Y DE ARTE</t>
  </si>
  <si>
    <t>BONIFICACION EXTRAORDINARIA POR EMERGENCIA SANITARIA</t>
  </si>
  <si>
    <t>BONIFICACION EXTRAORDINARIA POR REACTIVACION ECONOMICA</t>
  </si>
  <si>
    <t>CALZADO</t>
  </si>
  <si>
    <t>CARGOS BANCARIOS</t>
  </si>
  <si>
    <t>COMBUSTIBLES Y CARBURANTES</t>
  </si>
  <si>
    <t>CONSULTORIAS PERSONAS JURIDICAS</t>
  </si>
  <si>
    <t>CONSULTORIAS PERSONAS NATURALES</t>
  </si>
  <si>
    <t>CONTRIBUCIONES A ESSALUD DE C.A.S.</t>
  </si>
  <si>
    <t>CONTRIBUCIONES A LOS SEGUROS DE SALUD</t>
  </si>
  <si>
    <t>CORREOS Y SERVICIOS DE MENSAJERIA</t>
  </si>
  <si>
    <t>DE CARRETERAS, CAMINOS Y PUENTES  NO CONCESIONADOS</t>
  </si>
  <si>
    <t>DE COCINA, COMEDOR Y CAFETERIA</t>
  </si>
  <si>
    <t>DE COMUNICACIONES Y TELECOMUNICACIONES</t>
  </si>
  <si>
    <t>DE CONSTRUCCION Y MAQUINAS</t>
  </si>
  <si>
    <t>DE EDIFICACIONES, OFICINAS Y ESTRUCTURAS</t>
  </si>
  <si>
    <t>DE EDIFICIOS Y ESTRUCTURAS</t>
  </si>
  <si>
    <t>DE MAQUINARIAS Y EQUIPOS DE MANTENIMIENTO</t>
  </si>
  <si>
    <t>DE MAQUINARIAS Y EQUIPOS  POR ALQUILER</t>
  </si>
  <si>
    <t>DE MOBILIARIO Y SIMILARES MANTENIMEINTO</t>
  </si>
  <si>
    <t>DE MOBILIARIO Y SIMILARES ALQUILER</t>
  </si>
  <si>
    <t>DE OTROS BIENES Y ACTIVOS MANTENIMIENTO</t>
  </si>
  <si>
    <t>DE OTROS BIENES Y ACTIVOS POR ALQUILER</t>
  </si>
  <si>
    <t>DE SEGURIDAD</t>
  </si>
  <si>
    <t>DE VEHICULOS</t>
  </si>
  <si>
    <t>DE VEHICULOS-MANTENIMIENTO</t>
  </si>
  <si>
    <t>DIFUSION EN EL DIARIO OFICIAL</t>
  </si>
  <si>
    <t>ELABORACION DE PROGRAMAS INFORMATICOS</t>
  </si>
  <si>
    <t>ELECTRICIDAD, ILUMINACION Y ELECTRONICA</t>
  </si>
  <si>
    <t>EMBALAJE Y ALMACENAJE</t>
  </si>
  <si>
    <t>ENTREGA ECONOMICA POR PRESTACIONES ADICIONALES EN SALUD</t>
  </si>
  <si>
    <t>ENTREGA ECONOMICA POR PRESTACIONES ADICIONALES PARA LA VACUNACION CONTRA LA COVID-19 PARA LOS CONTRATOS DE ADMINISTRACION DE SERVICIOS</t>
  </si>
  <si>
    <t>ESTUDIOS</t>
  </si>
  <si>
    <t>FERTILIZANTES, INSECTICIDAS, FUNGICIDAS Y SIMILARES</t>
  </si>
  <si>
    <t>GASES</t>
  </si>
  <si>
    <t>GASTOS LEGALES Y JUDICIALES</t>
  </si>
  <si>
    <t>GASTOS NOTARIALES</t>
  </si>
  <si>
    <t>GASTOS POR PRESTACIONES DE SALUD</t>
  </si>
  <si>
    <t>HERRAMIENTAS</t>
  </si>
  <si>
    <t>INTERNOS DE MEDICINA Y ODONTOLOGIA</t>
  </si>
  <si>
    <t>LIBROS Y TEXTOS PARA BIBLIOTECAS</t>
  </si>
  <si>
    <t>LIBROS, DIARIOS, REVISTAS Y OTROS BIENES IMPRESOS NO VINCULADOS A ENSEÑANZA</t>
  </si>
  <si>
    <t>LIBROS, TEXTOS Y OTROS MATERIALES IMPRESOS</t>
  </si>
  <si>
    <t>LOCACION DE SERVICIOS REALIZADOS POR PERSONAS NATURALES RELACIONADAS AL ROL DE LA ENTIDAD</t>
  </si>
  <si>
    <t>LUBRICANTES, GRASAS Y AFINES</t>
  </si>
  <si>
    <t>MATERIAL DIDACTICO, ACCESORIOS Y UTILES DE ENSEÑANZA</t>
  </si>
  <si>
    <t>MATERIAL, INSUMOS, INSTRUMENTAL Y ACCESORIOS  MEDICOS, QUIRURGICOS, ODONTOLOGICOS Y DE LABORATORIO</t>
  </si>
  <si>
    <t>MATERIALES DE  ACONDICIONAMIENTO</t>
  </si>
  <si>
    <t>MEDICAMENTOS</t>
  </si>
  <si>
    <t>ORGANIZACION DE EVENTOS CULTURALES</t>
  </si>
  <si>
    <t>ORGANIZACION Y CONDUCCION DE EVENTOS DEPORTIVOS</t>
  </si>
  <si>
    <t>OTRAS ATENCIONES Y CELEBRACIONES</t>
  </si>
  <si>
    <t>OTROS ACCESORIOS Y REPUESTOS</t>
  </si>
  <si>
    <t>OTROS BIENES</t>
  </si>
  <si>
    <t>OTROS GASTOS EXTERIOR</t>
  </si>
  <si>
    <t>OTROS GASTOS LOCAL</t>
  </si>
  <si>
    <t>OTROS MATERIALES DE MANTENIMIENTO</t>
  </si>
  <si>
    <t>OTROS MATERIALES DIVERSOS DE ENSEÑANZA</t>
  </si>
  <si>
    <t>OTROS PRODUCTOS SIMILARES</t>
  </si>
  <si>
    <t>OTROS RELACIONADOS A ORGANIZACION DE EVENTOS</t>
  </si>
  <si>
    <t>OTROS SEGUROS DE  BIENES MUEBLES E INMUEBLES</t>
  </si>
  <si>
    <t>OTROS SEGUROS PERSONALES</t>
  </si>
  <si>
    <t>OTROS SERVICIOS DE COMUNICACION</t>
  </si>
  <si>
    <t>OTROS SERVICIOS DE INFORMATICA</t>
  </si>
  <si>
    <t>OTROS SERVICIOS FINANCIEROS</t>
  </si>
  <si>
    <t>OTROS SERVICIOS SIMILARES PERSONAS JURIDICAS</t>
  </si>
  <si>
    <t>OTROS SERVICIOS SIMILARES PERSONAS NATURALES</t>
  </si>
  <si>
    <t>OTROS SERVICIOS TÉCNICOS SIMILARES</t>
  </si>
  <si>
    <t>PAPELERIA EN GENERAL, UTILES Y MATERIALES DE OFICINA</t>
  </si>
  <si>
    <t>PARA EDIFICIOS Y ESTRUCTURAS</t>
  </si>
  <si>
    <t>PARA MAQUINARIAS Y EQUIPOS</t>
  </si>
  <si>
    <t>PARA MOBILIARIO Y SIMILARES</t>
  </si>
  <si>
    <t>PARA VEHICULOS</t>
  </si>
  <si>
    <t>PRESTACION FUNERARIA</t>
  </si>
  <si>
    <t>PROCESAMIENTOS DE DATOS</t>
  </si>
  <si>
    <t>PRODUCTOS FARMACEUTICOS DE USO ANIMAL</t>
  </si>
  <si>
    <t>PRODUCTOS QUIMICOS</t>
  </si>
  <si>
    <t>PROPINAS PARA PRACTICANTES</t>
  </si>
  <si>
    <t>REALIZADO POR PERSONAS JURIDICAS</t>
  </si>
  <si>
    <t>REALIZADO POR PERSONAS NATURALES</t>
  </si>
  <si>
    <t>SEGURO DE VEHICULOS</t>
  </si>
  <si>
    <t>SEGURO DE VIDA</t>
  </si>
  <si>
    <t>SEGURO OBLIGATORIO ACCIDENTES DE TRANSITO (SOAT)</t>
  </si>
  <si>
    <t>SEMINARIOS ,TALLERES Y SIMILARES ORGANIZADOS POR LA  INSTITUCION</t>
  </si>
  <si>
    <t>SERVICIO DE AGUA Y DESAGUE</t>
  </si>
  <si>
    <t>SERVICIO DE IMPRESIONES, ENCUADERNACION Y EMPASTADO</t>
  </si>
  <si>
    <t>SERVICIO DE LEVANTAMIENTO DE INFORMACION, MEDICIONES Y SIMILARES POR PERSONAS NATURALES</t>
  </si>
  <si>
    <t>SERVICIO DE PUBLICIDAD</t>
  </si>
  <si>
    <t>SERVICIO DE SUMINISTRO DE ENERGIA ELECTRICA</t>
  </si>
  <si>
    <t>SERVICIO DE TELEFONIA FIJA</t>
  </si>
  <si>
    <t>SERVICIO DE TELEFONIA MOVIL</t>
  </si>
  <si>
    <t>SERVICIOS COMPLEMENTARIOS DE SALUD</t>
  </si>
  <si>
    <t>SERVICIOS DE ALIMENTACION DE CONSUMO HUMANO</t>
  </si>
  <si>
    <t>SERVICIOS DE AUDITORIAS</t>
  </si>
  <si>
    <t>SERVICIOS DE ANALISIS, PROYECCIONES ECONOMICAS O FINANCIERAS, ESTRUCTURACION FINANCIERA Y SIMILARES</t>
  </si>
  <si>
    <t>SERVICIOS DE IMAGEN INSTITUCIONAL</t>
  </si>
  <si>
    <t>SERVICIOS DE LIMPIEZA E HIGIENE</t>
  </si>
  <si>
    <t>SERVICIOS DE SEGURIDAD Y VIGILANCIA</t>
  </si>
  <si>
    <t>SERVICIOS DIVERSOS</t>
  </si>
  <si>
    <t>SERVICIOS RELACIONADOS CON EL MEDIO AMBIENTE</t>
  </si>
  <si>
    <t>SERVICIOS RELACIONADOS CON EL TRATAMIENTO DE AGUA</t>
  </si>
  <si>
    <t>SERVICIOS RELACIONADOS CON FLORERIA, JARDINERIA Y OTRAS ACTIVIDADES SIMILARES</t>
  </si>
  <si>
    <t>SIMBOLOS, DISTINTIVOS Y CONDECORACIONES</t>
  </si>
  <si>
    <t>SOPORTE TECNICO</t>
  </si>
  <si>
    <t>SUMINISTROS DE ACCESORIOS Y/O MATERIALES DE USO FORESTAL</t>
  </si>
  <si>
    <t>SUMINISTROS DE USO ZOOTECNICO</t>
  </si>
  <si>
    <t>TEXTILES Y ACABADOS TEXTILES</t>
  </si>
  <si>
    <t>TRANSPORTE Y TRASLADO DE CARGA, BIENES Y MATERIALES</t>
  </si>
  <si>
    <t>VACACIONES TRUNCAS DE C.A.S.</t>
  </si>
  <si>
    <t>VACUNAS</t>
  </si>
  <si>
    <t>VESTUARIO, ACCESORIOS Y PRENDAS DIVERSAS</t>
  </si>
  <si>
    <t>VIATICOS Y ASIGNACIONES POR COMISION DE SERVICIO EXTERIOR</t>
  </si>
  <si>
    <t>VIATICOS Y ASIGNACIONES POR COMISION DE SERVICIO INTERIOR</t>
  </si>
  <si>
    <t>VIATICOS Y FLETES POR CAMBIO DE COLOCACION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</si>
</sst>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_ &quot;S/&quot;\ * #,##0.00_ ;_ &quot;S/&quot;\ * \-#,##0.00_ ;_ &quot;S/&quot;\ * &quot;-&quot;??_ ;_ @_ "/>
    <numFmt numFmtId="166" formatCode="[$-280A]d&quot; de &quot;mmmm&quot; de &quot;yyyy;@"/>
    <numFmt numFmtId="167" formatCode="_-* #,##0.00\ _€_-;\-* #,##0.00\ _€_-;_-* &quot;-&quot;??\ _€_-;_-@_-"/>
    <numFmt numFmtId="168" formatCode="_-* #,##0_-;\-* #,##0_-;_-* &quot;-&quot;??_-;_-@_-"/>
    <numFmt numFmtId="169" formatCode="#,##0_ ;\-#,##0\ "/>
    <numFmt numFmtId="170" formatCode="_ * #,##0_ ;_ * \-#,##0_ ;_ * &quot;-&quot;??_ ;_ @_ "/>
    <numFmt numFmtId="171" formatCode="00000000"/>
    <numFmt numFmtId="172" formatCode="#,##0.00_ ;\-#,##0.00\ "/>
    <numFmt numFmtId="173" formatCode="[$-280A]d&quot; de &quot;mmmm&quot; de &quot;yyyy"/>
    <numFmt numFmtId="174" formatCode="#,##0;\-#,##0;&quot;&quot;"/>
  </numFmts>
  <fonts count="6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b/>
      <u/>
      <sz val="8"/>
      <name val="Arial"/>
      <family val="2"/>
    </font>
    <font>
      <b/>
      <sz val="11"/>
      <name val="Calibri"/>
      <family val="2"/>
      <scheme val="minor"/>
    </font>
    <font>
      <b/>
      <sz val="10"/>
      <name val="Calibri"/>
      <family val="2"/>
      <scheme val="minor"/>
    </font>
    <font>
      <b/>
      <sz val="12"/>
      <color indexed="8"/>
      <name val="Arial"/>
      <family val="2"/>
    </font>
    <font>
      <sz val="9"/>
      <color indexed="10"/>
      <name val="Arial"/>
      <family val="2"/>
    </font>
    <font>
      <sz val="9"/>
      <name val="Arial Narrow"/>
      <family val="2"/>
    </font>
    <font>
      <b/>
      <sz val="9"/>
      <name val="Arial Narrow"/>
      <family val="2"/>
    </font>
    <font>
      <b/>
      <sz val="9"/>
      <color indexed="57"/>
      <name val="Arial Narrow"/>
      <family val="2"/>
    </font>
    <font>
      <sz val="11"/>
      <name val="Arial"/>
      <family val="2"/>
    </font>
    <font>
      <sz val="10"/>
      <color theme="1"/>
      <name val="Arial"/>
      <family val="2"/>
    </font>
    <font>
      <sz val="11"/>
      <color indexed="8"/>
      <name val="Calibri"/>
      <family val="2"/>
    </font>
    <font>
      <sz val="9"/>
      <name val="Calibri"/>
      <family val="2"/>
      <scheme val="minor"/>
    </font>
    <font>
      <b/>
      <sz val="10"/>
      <color theme="1"/>
      <name val="Arial"/>
      <family val="2"/>
    </font>
    <font>
      <b/>
      <sz val="12"/>
      <color theme="1"/>
      <name val="Arial"/>
      <family val="2"/>
    </font>
    <font>
      <sz val="9"/>
      <color theme="1"/>
      <name val="Arial"/>
      <family val="2"/>
    </font>
    <font>
      <b/>
      <sz val="9"/>
      <color theme="1"/>
      <name val="Arial"/>
      <family val="2"/>
    </font>
    <font>
      <b/>
      <sz val="8"/>
      <color theme="1"/>
      <name val="Arial"/>
      <family val="2"/>
    </font>
    <font>
      <sz val="8"/>
      <color theme="1"/>
      <name val="Arial"/>
      <family val="2"/>
    </font>
    <font>
      <sz val="8"/>
      <color rgb="FF000000"/>
      <name val="Calibri"/>
      <family val="2"/>
    </font>
    <font>
      <b/>
      <sz val="11"/>
      <name val="Arial"/>
      <family val="2"/>
    </font>
    <font>
      <sz val="10"/>
      <name val="Arial"/>
      <family val="2"/>
    </font>
    <font>
      <b/>
      <sz val="11"/>
      <color rgb="FF3F3F3F"/>
      <name val="Calibri"/>
      <family val="2"/>
      <scheme val="minor"/>
    </font>
    <font>
      <sz val="9"/>
      <color rgb="FF676A6C"/>
      <name val="Arial"/>
      <family val="2"/>
    </font>
    <font>
      <b/>
      <sz val="9"/>
      <color rgb="FF676A6C"/>
      <name val="Arial"/>
      <family val="2"/>
    </font>
    <font>
      <sz val="9"/>
      <color rgb="FF000000"/>
      <name val="Arial"/>
      <family val="2"/>
    </font>
    <font>
      <sz val="9"/>
      <color rgb="FF3F3F3F"/>
      <name val="Arial"/>
      <family val="2"/>
    </font>
    <font>
      <sz val="9"/>
      <color rgb="FFFF0000"/>
      <name val="Arial"/>
      <family val="2"/>
    </font>
    <font>
      <b/>
      <sz val="7"/>
      <name val="Arial"/>
      <family val="2"/>
    </font>
    <font>
      <sz val="7"/>
      <color indexed="8"/>
      <name val="Arial"/>
      <family val="2"/>
    </font>
    <font>
      <sz val="7"/>
      <name val="Arial"/>
      <family val="2"/>
    </font>
    <font>
      <sz val="7"/>
      <name val="Calibri"/>
      <family val="2"/>
      <scheme val="minor"/>
    </font>
    <font>
      <b/>
      <sz val="7"/>
      <name val="Calibri"/>
      <family val="2"/>
      <scheme val="minor"/>
    </font>
    <font>
      <sz val="10"/>
      <color indexed="63"/>
      <name val="Arial"/>
      <family val="2"/>
    </font>
    <font>
      <b/>
      <u/>
      <sz val="9"/>
      <name val="Arial"/>
      <family val="2"/>
    </font>
    <font>
      <sz val="9"/>
      <color rgb="FF333333"/>
      <name val="Arial"/>
      <family val="2"/>
    </font>
    <font>
      <b/>
      <u/>
      <sz val="9"/>
      <color rgb="FF4D5156"/>
      <name val="Arial"/>
      <family val="2"/>
    </font>
    <font>
      <u/>
      <sz val="9"/>
      <name val="Arial"/>
      <family val="2"/>
    </font>
    <font>
      <b/>
      <u/>
      <sz val="9"/>
      <name val="Calibri"/>
      <family val="2"/>
      <scheme val="minor"/>
    </font>
    <font>
      <sz val="9"/>
      <color rgb="FF000000"/>
      <name val="Calibri"/>
      <family val="2"/>
      <scheme val="minor"/>
    </font>
    <font>
      <b/>
      <u/>
      <sz val="9"/>
      <color rgb="FF4D5156"/>
      <name val="Calibri"/>
      <family val="2"/>
      <scheme val="minor"/>
    </font>
    <font>
      <b/>
      <sz val="9"/>
      <name val="Calibri"/>
      <family val="2"/>
      <scheme val="minor"/>
    </font>
    <font>
      <sz val="9"/>
      <color rgb="FF000000"/>
      <name val="Arial Narrow"/>
      <family val="2"/>
    </font>
  </fonts>
  <fills count="2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E26B0A"/>
        <bgColor indexed="64"/>
      </patternFill>
    </fill>
    <fill>
      <patternFill patternType="solid">
        <fgColor rgb="FFC0C0C0"/>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A6A6A6"/>
        <bgColor indexed="64"/>
      </patternFill>
    </fill>
    <fill>
      <patternFill patternType="solid">
        <fgColor rgb="FF808080"/>
        <bgColor indexed="64"/>
      </patternFill>
    </fill>
    <fill>
      <patternFill patternType="solid">
        <fgColor rgb="FFFFFF00"/>
        <bgColor indexed="64"/>
      </patternFill>
    </fill>
    <fill>
      <patternFill patternType="solid">
        <fgColor rgb="FFE36C09"/>
        <bgColor indexed="64"/>
      </patternFill>
    </fill>
    <fill>
      <patternFill patternType="solid">
        <fgColor rgb="FFC4BD97"/>
        <bgColor indexed="64"/>
      </patternFill>
    </fill>
    <fill>
      <patternFill patternType="solid">
        <fgColor rgb="FFEBF1DE"/>
        <bgColor indexed="64"/>
      </patternFill>
    </fill>
    <fill>
      <patternFill patternType="solid">
        <fgColor rgb="FFBFBFBF"/>
        <bgColor indexed="64"/>
      </patternFill>
    </fill>
    <fill>
      <patternFill patternType="solid">
        <fgColor theme="0"/>
        <bgColor theme="0"/>
      </patternFill>
    </fill>
    <fill>
      <patternFill patternType="solid">
        <fgColor rgb="FFE36C09"/>
        <bgColor rgb="FFE36C09"/>
      </patternFill>
    </fill>
    <fill>
      <patternFill patternType="solid">
        <fgColor rgb="FFF2F2F2"/>
      </patternFill>
    </fill>
    <fill>
      <patternFill patternType="solid">
        <fgColor theme="7" tint="0.59999389629810485"/>
        <bgColor indexed="64"/>
      </patternFill>
    </fill>
  </fills>
  <borders count="251">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style="thin">
        <color rgb="FF999999"/>
      </top>
      <bottom/>
      <diagonal/>
    </border>
    <border>
      <left/>
      <right style="medium">
        <color indexed="64"/>
      </right>
      <top style="thin">
        <color rgb="FF999999"/>
      </top>
      <bottom/>
      <diagonal/>
    </border>
    <border>
      <left style="medium">
        <color indexed="64"/>
      </left>
      <right style="medium">
        <color indexed="64"/>
      </right>
      <top style="thin">
        <color rgb="FF999999"/>
      </top>
      <bottom/>
      <diagonal/>
    </border>
    <border>
      <left style="thin">
        <color rgb="FF999999"/>
      </left>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medium">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thin">
        <color auto="1"/>
      </right>
      <top style="medium">
        <color auto="1"/>
      </top>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auto="1"/>
      </left>
      <right style="medium">
        <color auto="1"/>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hair">
        <color auto="1"/>
      </right>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right style="medium">
        <color rgb="FF000000"/>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top style="thin">
        <color auto="1"/>
      </top>
      <bottom style="thin">
        <color auto="1"/>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bottom style="dotted">
        <color indexed="64"/>
      </bottom>
      <diagonal/>
    </border>
  </borders>
  <cellStyleXfs count="16">
    <xf numFmtId="0" fontId="0" fillId="0" borderId="0"/>
    <xf numFmtId="0" fontId="6" fillId="0" borderId="0"/>
    <xf numFmtId="0" fontId="6" fillId="0" borderId="0"/>
    <xf numFmtId="49" fontId="9" fillId="0" borderId="0"/>
    <xf numFmtId="0" fontId="3" fillId="0" borderId="0"/>
    <xf numFmtId="0" fontId="31" fillId="0" borderId="0"/>
    <xf numFmtId="0" fontId="3" fillId="0" borderId="0"/>
    <xf numFmtId="0" fontId="3" fillId="0" borderId="0"/>
    <xf numFmtId="43" fontId="3" fillId="0" borderId="0" applyFont="0" applyFill="0" applyBorder="0" applyAlignment="0" applyProtection="0"/>
    <xf numFmtId="164" fontId="41" fillId="0" borderId="0" applyFont="0" applyFill="0" applyBorder="0" applyAlignment="0" applyProtection="0"/>
    <xf numFmtId="165" fontId="41" fillId="0" borderId="0" applyFont="0" applyFill="0" applyBorder="0" applyAlignment="0" applyProtection="0"/>
    <xf numFmtId="0" fontId="42" fillId="23" borderId="246" applyNumberFormat="0" applyAlignment="0" applyProtection="0"/>
    <xf numFmtId="0" fontId="2" fillId="0" borderId="0"/>
    <xf numFmtId="0" fontId="2" fillId="0" borderId="0"/>
    <xf numFmtId="9" fontId="3" fillId="0" borderId="0" applyFont="0" applyFill="0" applyBorder="0" applyAlignment="0" applyProtection="0"/>
    <xf numFmtId="0" fontId="1" fillId="0" borderId="0"/>
  </cellStyleXfs>
  <cellXfs count="1463">
    <xf numFmtId="0" fontId="0" fillId="0" borderId="0" xfId="0"/>
    <xf numFmtId="0" fontId="11" fillId="0" borderId="0" xfId="2" applyFont="1" applyFill="1" applyBorder="1" applyAlignment="1">
      <alignment horizontal="left" vertical="center"/>
    </xf>
    <xf numFmtId="0" fontId="12" fillId="0" borderId="0" xfId="2" applyFont="1" applyFill="1" applyBorder="1" applyAlignment="1">
      <alignment vertical="center"/>
    </xf>
    <xf numFmtId="0" fontId="11" fillId="0" borderId="0" xfId="0" applyFont="1"/>
    <xf numFmtId="0" fontId="11" fillId="0" borderId="3" xfId="0" applyFont="1" applyBorder="1"/>
    <xf numFmtId="0" fontId="11" fillId="0" borderId="0" xfId="0" applyFont="1" applyFill="1"/>
    <xf numFmtId="0" fontId="12" fillId="0" borderId="0" xfId="0" applyFont="1" applyFill="1" applyAlignment="1">
      <alignment horizontal="center"/>
    </xf>
    <xf numFmtId="0" fontId="11" fillId="0" borderId="0" xfId="0" applyFont="1" applyBorder="1"/>
    <xf numFmtId="0" fontId="12" fillId="0" borderId="0" xfId="0" applyFont="1" applyBorder="1"/>
    <xf numFmtId="49" fontId="11" fillId="0" borderId="0" xfId="3" applyFont="1" applyAlignment="1">
      <alignment vertical="center"/>
    </xf>
    <xf numFmtId="0" fontId="12" fillId="0" borderId="0" xfId="0" applyFont="1"/>
    <xf numFmtId="0" fontId="11" fillId="0" borderId="11" xfId="0" applyFont="1" applyBorder="1"/>
    <xf numFmtId="49" fontId="15" fillId="0" borderId="0" xfId="1" quotePrefix="1" applyNumberFormat="1" applyFont="1" applyFill="1" applyAlignment="1">
      <alignment horizontal="left" vertical="center"/>
    </xf>
    <xf numFmtId="0" fontId="11" fillId="0" borderId="6" xfId="0" applyFont="1" applyBorder="1"/>
    <xf numFmtId="49" fontId="11" fillId="0" borderId="3" xfId="0" applyNumberFormat="1" applyFont="1" applyBorder="1" applyAlignment="1">
      <alignment horizontal="left"/>
    </xf>
    <xf numFmtId="0" fontId="11" fillId="0" borderId="7" xfId="0" applyFont="1" applyBorder="1" applyAlignment="1">
      <alignment horizontal="right"/>
    </xf>
    <xf numFmtId="0" fontId="11" fillId="0" borderId="3" xfId="0" applyFont="1" applyBorder="1" applyAlignment="1">
      <alignment horizontal="center"/>
    </xf>
    <xf numFmtId="0" fontId="11" fillId="0" borderId="0" xfId="2" applyFont="1" applyAlignment="1">
      <alignment vertical="center"/>
    </xf>
    <xf numFmtId="0" fontId="12" fillId="0" borderId="0" xfId="2" applyFont="1" applyFill="1" applyBorder="1" applyAlignment="1">
      <alignment horizontal="center" vertical="center"/>
    </xf>
    <xf numFmtId="0" fontId="12" fillId="2" borderId="15" xfId="2" applyFont="1" applyFill="1" applyBorder="1" applyAlignment="1">
      <alignment horizontal="center" vertical="center"/>
    </xf>
    <xf numFmtId="0" fontId="12" fillId="2" borderId="9" xfId="2" applyFont="1" applyFill="1" applyBorder="1" applyAlignment="1">
      <alignment horizontal="center" vertical="center"/>
    </xf>
    <xf numFmtId="0" fontId="11" fillId="0" borderId="44" xfId="2" applyFont="1" applyBorder="1" applyAlignment="1">
      <alignment vertical="center"/>
    </xf>
    <xf numFmtId="0" fontId="12" fillId="2" borderId="5" xfId="2" applyFont="1" applyFill="1" applyBorder="1" applyAlignment="1">
      <alignment horizontal="center" vertical="center"/>
    </xf>
    <xf numFmtId="0" fontId="12" fillId="2" borderId="15" xfId="2" applyFont="1" applyFill="1" applyBorder="1" applyAlignment="1">
      <alignment vertical="center"/>
    </xf>
    <xf numFmtId="0" fontId="12" fillId="2" borderId="5" xfId="2" applyFont="1" applyFill="1" applyBorder="1" applyAlignment="1">
      <alignment vertical="center"/>
    </xf>
    <xf numFmtId="0" fontId="11" fillId="0" borderId="10" xfId="0" applyFont="1" applyBorder="1"/>
    <xf numFmtId="0" fontId="12" fillId="2" borderId="7" xfId="2" applyFont="1" applyFill="1" applyBorder="1" applyAlignment="1">
      <alignment horizontal="center" vertical="center"/>
    </xf>
    <xf numFmtId="0" fontId="12" fillId="2" borderId="18" xfId="2" applyFont="1" applyFill="1" applyBorder="1" applyAlignment="1">
      <alignment horizontal="center" vertical="center"/>
    </xf>
    <xf numFmtId="0" fontId="11" fillId="0" borderId="13" xfId="0" applyFont="1" applyBorder="1"/>
    <xf numFmtId="166" fontId="11" fillId="0" borderId="0" xfId="0" applyNumberFormat="1" applyFont="1"/>
    <xf numFmtId="0" fontId="11" fillId="0" borderId="44" xfId="0" applyFont="1" applyBorder="1"/>
    <xf numFmtId="0" fontId="12" fillId="2" borderId="8" xfId="2" applyFont="1" applyFill="1" applyBorder="1" applyAlignment="1">
      <alignment horizontal="center" vertical="center"/>
    </xf>
    <xf numFmtId="0" fontId="12" fillId="2" borderId="4" xfId="2" applyFont="1" applyFill="1" applyBorder="1" applyAlignment="1">
      <alignment horizontal="center" vertical="center"/>
    </xf>
    <xf numFmtId="49" fontId="11" fillId="0" borderId="7" xfId="0" applyNumberFormat="1" applyFont="1" applyBorder="1" applyAlignment="1">
      <alignment horizontal="left"/>
    </xf>
    <xf numFmtId="0" fontId="11" fillId="0" borderId="3" xfId="0" applyFont="1" applyBorder="1" applyAlignment="1">
      <alignment horizontal="left"/>
    </xf>
    <xf numFmtId="0" fontId="11" fillId="0" borderId="0" xfId="2" applyFont="1" applyFill="1" applyBorder="1" applyAlignment="1">
      <alignment vertical="center"/>
    </xf>
    <xf numFmtId="0" fontId="11" fillId="0" borderId="0" xfId="0" applyFont="1" applyAlignment="1">
      <alignment horizontal="center" wrapText="1"/>
    </xf>
    <xf numFmtId="0" fontId="12" fillId="0" borderId="0" xfId="0" applyFont="1" applyAlignment="1">
      <alignment horizontal="center" textRotation="90" wrapText="1"/>
    </xf>
    <xf numFmtId="0" fontId="4" fillId="0" borderId="0" xfId="0" applyFont="1" applyAlignment="1">
      <alignment horizontal="center" vertical="center" wrapText="1"/>
    </xf>
    <xf numFmtId="0" fontId="4" fillId="0" borderId="0" xfId="0" applyFont="1"/>
    <xf numFmtId="0" fontId="11" fillId="0" borderId="0" xfId="0" applyFont="1"/>
    <xf numFmtId="0" fontId="12" fillId="2" borderId="18" xfId="2" applyFont="1" applyFill="1" applyBorder="1" applyAlignment="1">
      <alignment horizontal="center" vertical="center"/>
    </xf>
    <xf numFmtId="0" fontId="11" fillId="3" borderId="9" xfId="0" applyFont="1" applyFill="1" applyBorder="1" applyAlignment="1">
      <alignment horizontal="right"/>
    </xf>
    <xf numFmtId="0" fontId="11" fillId="0" borderId="47" xfId="0" applyNumberFormat="1" applyFont="1" applyBorder="1"/>
    <xf numFmtId="0" fontId="11" fillId="0" borderId="28" xfId="0" applyNumberFormat="1" applyFont="1" applyBorder="1"/>
    <xf numFmtId="0" fontId="11" fillId="0" borderId="27" xfId="0" applyNumberFormat="1" applyFont="1" applyBorder="1"/>
    <xf numFmtId="0" fontId="11" fillId="0" borderId="26" xfId="0" applyNumberFormat="1" applyFont="1" applyBorder="1"/>
    <xf numFmtId="0" fontId="11" fillId="0" borderId="22" xfId="0" applyNumberFormat="1" applyFont="1" applyBorder="1"/>
    <xf numFmtId="0" fontId="11" fillId="0" borderId="24" xfId="0" applyNumberFormat="1" applyFont="1" applyBorder="1"/>
    <xf numFmtId="0" fontId="11" fillId="0" borderId="25" xfId="0" applyNumberFormat="1" applyFont="1" applyBorder="1"/>
    <xf numFmtId="0" fontId="11" fillId="0" borderId="23" xfId="0" applyNumberFormat="1" applyFont="1" applyBorder="1"/>
    <xf numFmtId="0" fontId="11" fillId="0" borderId="30" xfId="0" applyNumberFormat="1" applyFont="1" applyBorder="1"/>
    <xf numFmtId="0" fontId="11" fillId="0" borderId="32" xfId="0" applyNumberFormat="1" applyFont="1" applyBorder="1"/>
    <xf numFmtId="0" fontId="11" fillId="0" borderId="33" xfId="0" applyNumberFormat="1" applyFont="1" applyBorder="1"/>
    <xf numFmtId="0" fontId="11" fillId="0" borderId="31" xfId="0" applyNumberFormat="1" applyFont="1" applyBorder="1"/>
    <xf numFmtId="0" fontId="11" fillId="3" borderId="34" xfId="0" applyNumberFormat="1" applyFont="1" applyFill="1" applyBorder="1"/>
    <xf numFmtId="0" fontId="11" fillId="3" borderId="36" xfId="0" applyNumberFormat="1" applyFont="1" applyFill="1" applyBorder="1"/>
    <xf numFmtId="0" fontId="11" fillId="3" borderId="35" xfId="0" applyNumberFormat="1" applyFont="1" applyFill="1" applyBorder="1"/>
    <xf numFmtId="0" fontId="11" fillId="3" borderId="42" xfId="0" applyNumberFormat="1" applyFont="1" applyFill="1" applyBorder="1"/>
    <xf numFmtId="0" fontId="11" fillId="0" borderId="19" xfId="0" applyNumberFormat="1" applyFont="1" applyBorder="1"/>
    <xf numFmtId="0" fontId="11" fillId="0" borderId="20" xfId="0" applyNumberFormat="1" applyFont="1" applyBorder="1"/>
    <xf numFmtId="0" fontId="11" fillId="0" borderId="21" xfId="0" applyNumberFormat="1" applyFont="1" applyBorder="1"/>
    <xf numFmtId="0" fontId="11" fillId="0" borderId="39" xfId="0" applyNumberFormat="1" applyFont="1" applyBorder="1"/>
    <xf numFmtId="0" fontId="11" fillId="3" borderId="36" xfId="0" applyNumberFormat="1" applyFont="1" applyFill="1" applyBorder="1" applyAlignment="1"/>
    <xf numFmtId="0" fontId="11" fillId="0" borderId="0" xfId="0" applyFont="1"/>
    <xf numFmtId="0" fontId="12" fillId="2" borderId="16"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5" xfId="2" applyFont="1" applyFill="1" applyBorder="1" applyAlignment="1">
      <alignment horizontal="center" vertical="center"/>
    </xf>
    <xf numFmtId="0" fontId="12" fillId="2" borderId="9" xfId="2" applyFont="1" applyFill="1" applyBorder="1" applyAlignment="1">
      <alignment horizontal="center" vertical="center"/>
    </xf>
    <xf numFmtId="0" fontId="12" fillId="0" borderId="0" xfId="0" applyFont="1" applyFill="1"/>
    <xf numFmtId="0" fontId="10" fillId="5" borderId="0" xfId="0" applyFont="1" applyFill="1" applyBorder="1"/>
    <xf numFmtId="0" fontId="11" fillId="5" borderId="0" xfId="0" applyFont="1" applyFill="1" applyBorder="1"/>
    <xf numFmtId="0" fontId="10" fillId="5" borderId="0" xfId="0" applyFont="1" applyFill="1"/>
    <xf numFmtId="0" fontId="11" fillId="0" borderId="0" xfId="0" applyFont="1"/>
    <xf numFmtId="0" fontId="10" fillId="4" borderId="0" xfId="0" applyFont="1" applyFill="1" applyAlignment="1">
      <alignment vertical="center"/>
    </xf>
    <xf numFmtId="0" fontId="18" fillId="4" borderId="0" xfId="0" applyFont="1" applyFill="1" applyAlignment="1">
      <alignment vertical="center" wrapText="1"/>
    </xf>
    <xf numFmtId="0" fontId="18"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vertical="center"/>
    </xf>
    <xf numFmtId="0" fontId="18"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1" fillId="0" borderId="0" xfId="0" applyFont="1"/>
    <xf numFmtId="0" fontId="12" fillId="0" borderId="0" xfId="2" applyFont="1" applyFill="1" applyAlignment="1">
      <alignment vertical="center"/>
    </xf>
    <xf numFmtId="0" fontId="12" fillId="0" borderId="0" xfId="0" applyFont="1" applyFill="1" applyAlignment="1"/>
    <xf numFmtId="0" fontId="10" fillId="0" borderId="0" xfId="0" applyFont="1" applyFill="1"/>
    <xf numFmtId="0" fontId="10" fillId="0" borderId="0" xfId="2" applyFont="1" applyFill="1" applyAlignment="1">
      <alignment vertical="center"/>
    </xf>
    <xf numFmtId="0" fontId="18" fillId="0" borderId="0" xfId="0" applyFont="1" applyFill="1"/>
    <xf numFmtId="0" fontId="18" fillId="0" borderId="0" xfId="0" applyFont="1" applyFill="1" applyBorder="1"/>
    <xf numFmtId="49" fontId="10" fillId="0" borderId="0" xfId="3" applyFont="1" applyFill="1" applyAlignment="1">
      <alignment vertical="center"/>
    </xf>
    <xf numFmtId="49" fontId="10" fillId="0" borderId="0" xfId="3" applyFont="1" applyFill="1" applyBorder="1" applyAlignment="1">
      <alignment vertical="center"/>
    </xf>
    <xf numFmtId="0" fontId="8" fillId="0" borderId="0" xfId="0" applyFont="1" applyFill="1" applyAlignment="1">
      <alignment horizontal="left"/>
    </xf>
    <xf numFmtId="0" fontId="4" fillId="0" borderId="0" xfId="0" applyFont="1" applyFill="1" applyAlignment="1">
      <alignment horizontal="left"/>
    </xf>
    <xf numFmtId="0" fontId="8" fillId="0" borderId="0" xfId="2" applyFont="1" applyFill="1" applyAlignment="1">
      <alignment vertical="center"/>
    </xf>
    <xf numFmtId="0" fontId="4" fillId="0" borderId="22"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0" xfId="0" applyFont="1" applyAlignment="1">
      <alignment horizontal="justify" vertical="center" wrapText="1"/>
    </xf>
    <xf numFmtId="0" fontId="4" fillId="0" borderId="34" xfId="0" applyFont="1" applyBorder="1" applyAlignment="1">
      <alignment horizontal="justify" vertical="center" wrapText="1"/>
    </xf>
    <xf numFmtId="0" fontId="4" fillId="0" borderId="36" xfId="0" applyFont="1" applyBorder="1" applyAlignment="1">
      <alignment horizontal="justify" vertical="center" wrapText="1"/>
    </xf>
    <xf numFmtId="0" fontId="20" fillId="0" borderId="0" xfId="0" applyFont="1" applyFill="1" applyAlignment="1"/>
    <xf numFmtId="0" fontId="20" fillId="0" borderId="0" xfId="2" applyFont="1" applyFill="1" applyAlignment="1">
      <alignment vertical="center"/>
    </xf>
    <xf numFmtId="0" fontId="19" fillId="0" borderId="0" xfId="0" applyFont="1" applyFill="1"/>
    <xf numFmtId="0" fontId="19" fillId="0" borderId="0" xfId="0" applyFont="1"/>
    <xf numFmtId="0" fontId="19" fillId="0" borderId="5" xfId="0" applyFont="1" applyBorder="1"/>
    <xf numFmtId="0" fontId="19" fillId="0" borderId="0" xfId="0" applyFont="1" applyFill="1" applyAlignment="1">
      <alignment horizontal="centerContinuous"/>
    </xf>
    <xf numFmtId="49" fontId="20" fillId="0" borderId="0" xfId="3" applyFont="1" applyBorder="1" applyAlignment="1">
      <alignment horizontal="left" vertical="center"/>
    </xf>
    <xf numFmtId="3" fontId="19" fillId="0" borderId="0" xfId="3" applyNumberFormat="1" applyFont="1" applyAlignment="1">
      <alignment vertical="center"/>
    </xf>
    <xf numFmtId="3" fontId="19" fillId="0" borderId="0" xfId="3" applyNumberFormat="1" applyFont="1" applyAlignment="1">
      <alignment horizontal="right" vertical="center"/>
    </xf>
    <xf numFmtId="3" fontId="19" fillId="0" borderId="11" xfId="0" applyNumberFormat="1" applyFont="1" applyBorder="1"/>
    <xf numFmtId="3" fontId="19" fillId="0" borderId="0" xfId="0" applyNumberFormat="1" applyFont="1" applyBorder="1"/>
    <xf numFmtId="3" fontId="19" fillId="0" borderId="4" xfId="0" applyNumberFormat="1" applyFont="1" applyBorder="1"/>
    <xf numFmtId="3" fontId="19" fillId="0" borderId="0" xfId="0" applyNumberFormat="1" applyFont="1" applyBorder="1" applyAlignment="1"/>
    <xf numFmtId="3" fontId="19" fillId="0" borderId="11" xfId="0" applyNumberFormat="1" applyFont="1" applyBorder="1" applyAlignment="1"/>
    <xf numFmtId="0" fontId="19" fillId="0" borderId="9" xfId="0" applyFont="1" applyBorder="1"/>
    <xf numFmtId="0" fontId="20" fillId="0" borderId="11" xfId="0" applyFont="1" applyBorder="1" applyAlignment="1"/>
    <xf numFmtId="0" fontId="20" fillId="0" borderId="0" xfId="0" applyFont="1" applyFill="1" applyAlignment="1">
      <alignment horizontal="center" vertical="center" wrapText="1"/>
    </xf>
    <xf numFmtId="0" fontId="19" fillId="0" borderId="11" xfId="0" applyFont="1" applyBorder="1"/>
    <xf numFmtId="3" fontId="19" fillId="0" borderId="4" xfId="0" applyNumberFormat="1" applyFont="1" applyBorder="1" applyAlignment="1"/>
    <xf numFmtId="0" fontId="19" fillId="0" borderId="0" xfId="0" applyFont="1" applyBorder="1"/>
    <xf numFmtId="0" fontId="19" fillId="0" borderId="4" xfId="0" applyFont="1" applyBorder="1"/>
    <xf numFmtId="49" fontId="20" fillId="0" borderId="16" xfId="3" applyFont="1" applyBorder="1" applyAlignment="1">
      <alignment horizontal="left" vertical="center"/>
    </xf>
    <xf numFmtId="0" fontId="11" fillId="0" borderId="14" xfId="0" applyFont="1" applyBorder="1"/>
    <xf numFmtId="0" fontId="5" fillId="0" borderId="0" xfId="0" applyFont="1" applyAlignment="1">
      <alignment horizontal="center" vertical="center"/>
    </xf>
    <xf numFmtId="0" fontId="3" fillId="0" borderId="24" xfId="0" applyFont="1" applyFill="1" applyBorder="1" applyAlignment="1">
      <alignment horizontal="left" indent="2"/>
    </xf>
    <xf numFmtId="0" fontId="3" fillId="0" borderId="24" xfId="0" applyFont="1" applyFill="1" applyBorder="1"/>
    <xf numFmtId="0" fontId="3" fillId="0" borderId="0" xfId="0" applyFont="1" applyFill="1"/>
    <xf numFmtId="0" fontId="5" fillId="6" borderId="24" xfId="0" applyFont="1" applyFill="1" applyBorder="1"/>
    <xf numFmtId="0" fontId="3" fillId="0" borderId="0" xfId="0" applyFont="1" applyFill="1" applyBorder="1"/>
    <xf numFmtId="0" fontId="5" fillId="6" borderId="24" xfId="0" applyFont="1" applyFill="1" applyBorder="1" applyAlignment="1">
      <alignment horizontal="right" vertical="center"/>
    </xf>
    <xf numFmtId="0" fontId="3" fillId="0" borderId="0" xfId="0" applyFont="1" applyFill="1" applyAlignment="1">
      <alignment vertical="center"/>
    </xf>
    <xf numFmtId="0" fontId="5" fillId="6" borderId="24" xfId="0" applyFont="1" applyFill="1" applyBorder="1" applyAlignment="1">
      <alignment horizontal="right" vertical="center" indent="2"/>
    </xf>
    <xf numFmtId="0" fontId="5" fillId="7" borderId="24" xfId="0" applyFont="1" applyFill="1" applyBorder="1" applyAlignment="1">
      <alignment horizontal="center" vertical="center" wrapText="1"/>
    </xf>
    <xf numFmtId="0" fontId="5" fillId="7" borderId="24" xfId="0" applyFont="1" applyFill="1" applyBorder="1" applyAlignment="1">
      <alignment horizontal="center" vertical="center"/>
    </xf>
    <xf numFmtId="0" fontId="8" fillId="7" borderId="28"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20" fillId="7" borderId="15" xfId="0" applyFont="1" applyFill="1" applyBorder="1" applyAlignment="1">
      <alignment horizontal="center" vertical="center" textRotation="90" wrapText="1"/>
    </xf>
    <xf numFmtId="0" fontId="20" fillId="7" borderId="5" xfId="0" applyFont="1" applyFill="1" applyBorder="1" applyAlignment="1">
      <alignment horizontal="center" vertical="center" textRotation="90" wrapText="1"/>
    </xf>
    <xf numFmtId="0" fontId="20" fillId="7" borderId="17" xfId="0" applyFont="1" applyFill="1" applyBorder="1" applyAlignment="1">
      <alignment horizontal="center" vertical="center" textRotation="90" wrapText="1"/>
    </xf>
    <xf numFmtId="49" fontId="16" fillId="7" borderId="34" xfId="3" applyFont="1" applyFill="1" applyBorder="1" applyAlignment="1">
      <alignment horizontal="center" textRotation="90" wrapText="1"/>
    </xf>
    <xf numFmtId="49" fontId="16" fillId="7" borderId="36" xfId="3" applyFont="1" applyFill="1" applyBorder="1" applyAlignment="1">
      <alignment horizontal="center" textRotation="90" wrapText="1"/>
    </xf>
    <xf numFmtId="49" fontId="16" fillId="7" borderId="35" xfId="3" applyFont="1" applyFill="1" applyBorder="1" applyAlignment="1">
      <alignment horizontal="center" textRotation="90" wrapText="1"/>
    </xf>
    <xf numFmtId="49" fontId="16" fillId="7" borderId="42" xfId="3" applyFont="1" applyFill="1" applyBorder="1" applyAlignment="1">
      <alignment horizontal="center" textRotation="90" wrapText="1"/>
    </xf>
    <xf numFmtId="49" fontId="14" fillId="7" borderId="36" xfId="3" applyFont="1" applyFill="1" applyBorder="1" applyAlignment="1">
      <alignment horizontal="center" textRotation="90" wrapText="1"/>
    </xf>
    <xf numFmtId="0" fontId="12" fillId="7" borderId="5" xfId="2" applyFont="1" applyFill="1" applyBorder="1" applyAlignment="1">
      <alignment horizontal="center" vertical="center"/>
    </xf>
    <xf numFmtId="0" fontId="12" fillId="7" borderId="15" xfId="2" applyFont="1" applyFill="1" applyBorder="1" applyAlignment="1">
      <alignment horizontal="center" vertical="center" wrapText="1"/>
    </xf>
    <xf numFmtId="0" fontId="12" fillId="7" borderId="16" xfId="2" applyFont="1" applyFill="1" applyBorder="1" applyAlignment="1">
      <alignment horizontal="center" vertical="center"/>
    </xf>
    <xf numFmtId="0" fontId="12" fillId="7" borderId="5" xfId="2"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17" xfId="0" applyFont="1" applyFill="1" applyBorder="1" applyAlignment="1">
      <alignment horizontal="center" vertical="center" wrapText="1"/>
    </xf>
    <xf numFmtId="166" fontId="12" fillId="7" borderId="37" xfId="0" applyNumberFormat="1" applyFont="1" applyFill="1" applyBorder="1" applyAlignment="1">
      <alignment horizontal="center" textRotation="90" wrapText="1"/>
    </xf>
    <xf numFmtId="166" fontId="12" fillId="7" borderId="13" xfId="0" applyNumberFormat="1" applyFont="1" applyFill="1" applyBorder="1" applyAlignment="1">
      <alignment horizontal="center" textRotation="90" wrapText="1"/>
    </xf>
    <xf numFmtId="166" fontId="12" fillId="7" borderId="38" xfId="0" applyNumberFormat="1" applyFont="1" applyFill="1" applyBorder="1" applyAlignment="1">
      <alignment horizontal="center" textRotation="90" wrapText="1"/>
    </xf>
    <xf numFmtId="0" fontId="12" fillId="7" borderId="5" xfId="0" applyFont="1" applyFill="1" applyBorder="1" applyAlignment="1">
      <alignment horizontal="center" vertical="center" wrapText="1"/>
    </xf>
    <xf numFmtId="0" fontId="12" fillId="7" borderId="16" xfId="0" applyFont="1" applyFill="1" applyBorder="1" applyAlignment="1">
      <alignment horizontal="center" vertical="center" wrapText="1"/>
    </xf>
    <xf numFmtId="166" fontId="12" fillId="7" borderId="13" xfId="0" applyNumberFormat="1" applyFont="1" applyFill="1" applyBorder="1" applyAlignment="1">
      <alignment horizontal="center" vertical="center" textRotation="90" wrapText="1"/>
    </xf>
    <xf numFmtId="166" fontId="12" fillId="7" borderId="38" xfId="0" applyNumberFormat="1" applyFont="1" applyFill="1" applyBorder="1" applyAlignment="1">
      <alignment horizontal="center" vertical="center" textRotation="90" wrapText="1"/>
    </xf>
    <xf numFmtId="0" fontId="12" fillId="7" borderId="15" xfId="0" applyFont="1" applyFill="1" applyBorder="1" applyAlignment="1">
      <alignment horizontal="center" vertical="center" wrapText="1"/>
    </xf>
    <xf numFmtId="0" fontId="5" fillId="0" borderId="0" xfId="2" applyFont="1" applyFill="1" applyAlignment="1">
      <alignment vertical="center"/>
    </xf>
    <xf numFmtId="0" fontId="5" fillId="5" borderId="0" xfId="0" applyFont="1" applyFill="1"/>
    <xf numFmtId="0" fontId="12" fillId="2" borderId="13" xfId="2" applyFont="1" applyFill="1" applyBorder="1" applyAlignment="1">
      <alignment vertical="center"/>
    </xf>
    <xf numFmtId="0" fontId="11" fillId="0" borderId="0" xfId="4" applyFo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5" fillId="6" borderId="32" xfId="0" applyFont="1" applyFill="1" applyBorder="1" applyAlignment="1">
      <alignment horizontal="right" vertical="center"/>
    </xf>
    <xf numFmtId="0" fontId="4" fillId="0" borderId="55" xfId="0" applyFont="1" applyFill="1" applyBorder="1" applyAlignment="1">
      <alignment horizontal="left" indent="2"/>
    </xf>
    <xf numFmtId="0" fontId="4" fillId="0" borderId="0" xfId="0" applyFont="1" applyFill="1" applyBorder="1" applyAlignment="1">
      <alignment horizontal="left" indent="2"/>
    </xf>
    <xf numFmtId="0" fontId="5" fillId="0" borderId="24" xfId="0" applyFont="1" applyBorder="1" applyAlignment="1">
      <alignment horizontal="left" vertical="center"/>
    </xf>
    <xf numFmtId="49" fontId="12" fillId="7" borderId="28" xfId="3"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22" xfId="0" applyFont="1" applyBorder="1" applyAlignment="1">
      <alignment horizontal="center" vertical="center"/>
    </xf>
    <xf numFmtId="10" fontId="4" fillId="0" borderId="24"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horizontal="justify" vertical="center"/>
    </xf>
    <xf numFmtId="0" fontId="4" fillId="0" borderId="22" xfId="0" applyFont="1" applyBorder="1" applyAlignment="1">
      <alignment horizontal="center" vertical="center" wrapText="1"/>
    </xf>
    <xf numFmtId="2" fontId="4" fillId="0" borderId="24" xfId="0" applyNumberFormat="1" applyFont="1" applyBorder="1" applyAlignment="1">
      <alignment horizontal="center" vertical="center" wrapText="1"/>
    </xf>
    <xf numFmtId="4" fontId="3" fillId="0" borderId="24" xfId="0" applyNumberFormat="1" applyFont="1" applyFill="1" applyBorder="1"/>
    <xf numFmtId="4" fontId="5" fillId="6" borderId="24" xfId="0" applyNumberFormat="1" applyFont="1" applyFill="1" applyBorder="1"/>
    <xf numFmtId="4" fontId="5" fillId="6" borderId="24" xfId="0" applyNumberFormat="1" applyFont="1" applyFill="1" applyBorder="1" applyAlignment="1">
      <alignment vertical="center"/>
    </xf>
    <xf numFmtId="4" fontId="0" fillId="0" borderId="56" xfId="0" applyNumberFormat="1" applyBorder="1"/>
    <xf numFmtId="4" fontId="0" fillId="0" borderId="57" xfId="0" applyNumberFormat="1" applyBorder="1"/>
    <xf numFmtId="4" fontId="0" fillId="0" borderId="24" xfId="0" applyNumberFormat="1" applyFill="1" applyBorder="1"/>
    <xf numFmtId="4" fontId="0" fillId="0" borderId="0" xfId="0" applyNumberFormat="1"/>
    <xf numFmtId="4" fontId="0" fillId="0" borderId="24" xfId="0" applyNumberFormat="1" applyBorder="1"/>
    <xf numFmtId="4" fontId="0" fillId="0" borderId="58" xfId="0" applyNumberFormat="1" applyBorder="1"/>
    <xf numFmtId="3" fontId="19" fillId="0" borderId="10" xfId="0" applyNumberFormat="1" applyFont="1" applyBorder="1"/>
    <xf numFmtId="4" fontId="0" fillId="0" borderId="59" xfId="0" applyNumberFormat="1" applyBorder="1"/>
    <xf numFmtId="4" fontId="0" fillId="0" borderId="60" xfId="0" applyNumberFormat="1" applyBorder="1"/>
    <xf numFmtId="3" fontId="19" fillId="0" borderId="18" xfId="0" applyNumberFormat="1" applyFont="1" applyBorder="1"/>
    <xf numFmtId="4" fontId="0" fillId="0" borderId="61" xfId="0" applyNumberFormat="1" applyBorder="1"/>
    <xf numFmtId="4" fontId="0" fillId="0" borderId="11" xfId="0" applyNumberFormat="1" applyBorder="1"/>
    <xf numFmtId="4" fontId="5" fillId="0" borderId="60" xfId="0" applyNumberFormat="1" applyFont="1" applyBorder="1"/>
    <xf numFmtId="3" fontId="20" fillId="0" borderId="4" xfId="0" applyNumberFormat="1" applyFont="1" applyBorder="1"/>
    <xf numFmtId="0" fontId="20" fillId="0" borderId="4" xfId="0" applyFont="1" applyBorder="1"/>
    <xf numFmtId="4" fontId="5" fillId="0" borderId="5" xfId="0" applyNumberFormat="1" applyFont="1" applyBorder="1"/>
    <xf numFmtId="4" fontId="0" fillId="0" borderId="5" xfId="0" applyNumberFormat="1" applyBorder="1"/>
    <xf numFmtId="4" fontId="3" fillId="0" borderId="5" xfId="0" applyNumberFormat="1" applyFont="1" applyBorder="1"/>
    <xf numFmtId="0" fontId="22" fillId="0" borderId="11" xfId="0" applyFont="1" applyBorder="1"/>
    <xf numFmtId="0" fontId="22" fillId="0" borderId="5" xfId="0" applyFont="1" applyBorder="1"/>
    <xf numFmtId="49" fontId="14" fillId="7" borderId="35" xfId="3" applyFont="1" applyFill="1" applyBorder="1" applyAlignment="1">
      <alignment horizontal="center" textRotation="90" wrapText="1"/>
    </xf>
    <xf numFmtId="0" fontId="12" fillId="0" borderId="27" xfId="0" applyNumberFormat="1" applyFont="1" applyBorder="1"/>
    <xf numFmtId="0" fontId="12" fillId="0" borderId="25" xfId="0" applyNumberFormat="1" applyFont="1" applyBorder="1"/>
    <xf numFmtId="0" fontId="12" fillId="0" borderId="33" xfId="0" applyNumberFormat="1" applyFont="1" applyBorder="1"/>
    <xf numFmtId="0" fontId="12" fillId="3" borderId="35" xfId="0" applyNumberFormat="1" applyFont="1" applyFill="1" applyBorder="1"/>
    <xf numFmtId="0" fontId="12" fillId="0" borderId="21" xfId="0" applyNumberFormat="1" applyFont="1" applyBorder="1"/>
    <xf numFmtId="4" fontId="12" fillId="0" borderId="25" xfId="0" applyNumberFormat="1" applyFont="1" applyBorder="1"/>
    <xf numFmtId="4" fontId="11" fillId="0" borderId="24" xfId="0" applyNumberFormat="1" applyFont="1" applyBorder="1"/>
    <xf numFmtId="4" fontId="12" fillId="0" borderId="24" xfId="0" applyNumberFormat="1" applyFont="1" applyBorder="1"/>
    <xf numFmtId="4" fontId="0" fillId="0" borderId="20" xfId="0" applyNumberFormat="1" applyBorder="1"/>
    <xf numFmtId="0" fontId="11" fillId="0" borderId="62" xfId="0" applyNumberFormat="1" applyFont="1" applyBorder="1"/>
    <xf numFmtId="4" fontId="0" fillId="0" borderId="32" xfId="0" applyNumberFormat="1" applyBorder="1"/>
    <xf numFmtId="4" fontId="0" fillId="0" borderId="33" xfId="0" applyNumberFormat="1" applyBorder="1"/>
    <xf numFmtId="4" fontId="0" fillId="0" borderId="63" xfId="0" applyNumberFormat="1" applyBorder="1"/>
    <xf numFmtId="4" fontId="12" fillId="0" borderId="33" xfId="0" applyNumberFormat="1" applyFont="1" applyBorder="1"/>
    <xf numFmtId="4" fontId="12" fillId="0" borderId="32" xfId="0" applyNumberFormat="1" applyFont="1" applyBorder="1"/>
    <xf numFmtId="0" fontId="11" fillId="3" borderId="37" xfId="0" applyNumberFormat="1" applyFont="1" applyFill="1" applyBorder="1"/>
    <xf numFmtId="1" fontId="11" fillId="3" borderId="13" xfId="0" applyNumberFormat="1" applyFont="1" applyFill="1" applyBorder="1"/>
    <xf numFmtId="1" fontId="11" fillId="3" borderId="36" xfId="0" applyNumberFormat="1" applyFont="1" applyFill="1" applyBorder="1"/>
    <xf numFmtId="1" fontId="12" fillId="3" borderId="36" xfId="0" applyNumberFormat="1" applyFont="1" applyFill="1" applyBorder="1"/>
    <xf numFmtId="0" fontId="12" fillId="0" borderId="28" xfId="0" applyNumberFormat="1" applyFont="1" applyBorder="1"/>
    <xf numFmtId="0" fontId="12" fillId="0" borderId="24" xfId="0" applyNumberFormat="1" applyFont="1" applyBorder="1"/>
    <xf numFmtId="0" fontId="12" fillId="3" borderId="36" xfId="0" applyNumberFormat="1" applyFont="1" applyFill="1" applyBorder="1"/>
    <xf numFmtId="1" fontId="22" fillId="0" borderId="11" xfId="0" applyNumberFormat="1" applyFont="1" applyBorder="1"/>
    <xf numFmtId="0" fontId="8" fillId="0" borderId="0" xfId="2" applyFont="1" applyAlignment="1">
      <alignment vertical="center"/>
    </xf>
    <xf numFmtId="0" fontId="20" fillId="0" borderId="0" xfId="2" applyFont="1" applyAlignment="1">
      <alignment vertical="center"/>
    </xf>
    <xf numFmtId="49" fontId="20" fillId="0" borderId="0" xfId="3" applyFont="1" applyAlignment="1">
      <alignment horizontal="left" vertical="center"/>
    </xf>
    <xf numFmtId="0" fontId="3" fillId="0" borderId="0" xfId="0" applyFont="1"/>
    <xf numFmtId="0" fontId="3" fillId="0" borderId="0" xfId="0" applyNumberFormat="1" applyFont="1" applyFill="1" applyBorder="1" applyAlignment="1" applyProtection="1"/>
    <xf numFmtId="0" fontId="11" fillId="0" borderId="0" xfId="0" applyNumberFormat="1" applyFont="1" applyFill="1" applyBorder="1" applyAlignment="1" applyProtection="1"/>
    <xf numFmtId="0" fontId="11" fillId="0" borderId="0" xfId="0" applyNumberFormat="1" applyFont="1" applyFill="1" applyBorder="1" applyAlignment="1" applyProtection="1">
      <alignment vertical="center"/>
    </xf>
    <xf numFmtId="0" fontId="8" fillId="9" borderId="65" xfId="0" applyNumberFormat="1" applyFont="1" applyFill="1" applyBorder="1" applyAlignment="1" applyProtection="1">
      <alignment horizontal="center" vertical="center"/>
    </xf>
    <xf numFmtId="0" fontId="8" fillId="9" borderId="69" xfId="0" applyNumberFormat="1" applyFont="1" applyFill="1" applyBorder="1" applyAlignment="1" applyProtection="1">
      <alignment horizontal="center" vertical="center" wrapText="1"/>
    </xf>
    <xf numFmtId="0" fontId="4" fillId="9" borderId="70" xfId="0" applyNumberFormat="1" applyFont="1" applyFill="1" applyBorder="1" applyAlignment="1" applyProtection="1">
      <alignment horizontal="center" vertical="center" textRotation="90" wrapText="1"/>
    </xf>
    <xf numFmtId="0" fontId="4" fillId="9" borderId="71" xfId="0" applyNumberFormat="1" applyFont="1" applyFill="1" applyBorder="1" applyAlignment="1" applyProtection="1">
      <alignment horizontal="center" vertical="center" textRotation="90" wrapText="1"/>
    </xf>
    <xf numFmtId="0" fontId="8" fillId="9" borderId="71" xfId="0" applyNumberFormat="1" applyFont="1" applyFill="1" applyBorder="1" applyAlignment="1" applyProtection="1">
      <alignment horizontal="center" vertical="center" textRotation="90" wrapText="1"/>
    </xf>
    <xf numFmtId="0" fontId="8" fillId="9" borderId="72" xfId="0" applyNumberFormat="1" applyFont="1" applyFill="1" applyBorder="1" applyAlignment="1" applyProtection="1">
      <alignment horizontal="center" vertical="center" textRotation="90" wrapText="1"/>
    </xf>
    <xf numFmtId="0" fontId="8" fillId="9" borderId="73" xfId="0" applyNumberFormat="1" applyFont="1" applyFill="1" applyBorder="1" applyAlignment="1" applyProtection="1">
      <alignment horizontal="center" vertical="center" textRotation="90" wrapText="1"/>
    </xf>
    <xf numFmtId="0" fontId="11" fillId="0" borderId="74" xfId="0" applyNumberFormat="1" applyFont="1" applyFill="1" applyBorder="1" applyAlignment="1" applyProtection="1">
      <alignment horizontal="center" vertical="center"/>
    </xf>
    <xf numFmtId="0" fontId="11" fillId="0" borderId="75" xfId="0" applyNumberFormat="1" applyFont="1" applyFill="1" applyBorder="1" applyAlignment="1" applyProtection="1">
      <alignment vertical="center"/>
    </xf>
    <xf numFmtId="0" fontId="12" fillId="10" borderId="74" xfId="0" applyNumberFormat="1" applyFont="1" applyFill="1" applyBorder="1" applyAlignment="1" applyProtection="1">
      <alignment horizontal="center" vertical="center"/>
    </xf>
    <xf numFmtId="0" fontId="12" fillId="10" borderId="0" xfId="0" applyNumberFormat="1" applyFont="1" applyFill="1" applyBorder="1" applyAlignment="1" applyProtection="1">
      <alignment vertical="center"/>
    </xf>
    <xf numFmtId="43" fontId="12" fillId="10" borderId="75" xfId="0" applyNumberFormat="1" applyFont="1" applyFill="1" applyBorder="1" applyAlignment="1" applyProtection="1">
      <alignment vertical="center"/>
    </xf>
    <xf numFmtId="43" fontId="11" fillId="0" borderId="0" xfId="0" applyNumberFormat="1" applyFont="1" applyFill="1" applyBorder="1" applyAlignment="1" applyProtection="1">
      <alignment vertical="center"/>
    </xf>
    <xf numFmtId="43" fontId="11" fillId="0" borderId="75" xfId="0" applyNumberFormat="1" applyFont="1" applyFill="1" applyBorder="1" applyAlignment="1" applyProtection="1">
      <alignment vertical="center"/>
    </xf>
    <xf numFmtId="43" fontId="12" fillId="10" borderId="0" xfId="0" applyNumberFormat="1" applyFont="1" applyFill="1" applyBorder="1" applyAlignment="1" applyProtection="1">
      <alignment vertical="center"/>
    </xf>
    <xf numFmtId="0" fontId="12" fillId="10" borderId="75" xfId="0" applyNumberFormat="1" applyFont="1" applyFill="1" applyBorder="1" applyAlignment="1" applyProtection="1">
      <alignment vertical="center"/>
    </xf>
    <xf numFmtId="0" fontId="12" fillId="10" borderId="76" xfId="0" applyNumberFormat="1" applyFont="1" applyFill="1" applyBorder="1" applyAlignment="1" applyProtection="1">
      <alignment horizontal="center" vertical="center"/>
    </xf>
    <xf numFmtId="0" fontId="12" fillId="10" borderId="77" xfId="0" applyNumberFormat="1" applyFont="1" applyFill="1" applyBorder="1" applyAlignment="1" applyProtection="1">
      <alignment vertical="center"/>
    </xf>
    <xf numFmtId="164" fontId="12" fillId="10" borderId="78"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1" fillId="11" borderId="0" xfId="0" applyNumberFormat="1" applyFont="1" applyFill="1" applyBorder="1" applyAlignment="1" applyProtection="1"/>
    <xf numFmtId="0" fontId="12" fillId="9" borderId="79" xfId="0" applyNumberFormat="1" applyFont="1" applyFill="1" applyBorder="1" applyAlignment="1" applyProtection="1">
      <alignment horizontal="center" vertical="center"/>
    </xf>
    <xf numFmtId="0" fontId="12" fillId="9" borderId="79" xfId="0" applyNumberFormat="1" applyFont="1" applyFill="1" applyBorder="1" applyAlignment="1" applyProtection="1">
      <alignment horizontal="center" vertical="center" wrapText="1"/>
    </xf>
    <xf numFmtId="0" fontId="12" fillId="9" borderId="85" xfId="0" applyNumberFormat="1" applyFont="1" applyFill="1" applyBorder="1" applyAlignment="1" applyProtection="1">
      <alignment horizontal="center" vertical="center" wrapText="1"/>
    </xf>
    <xf numFmtId="0" fontId="12" fillId="9" borderId="86" xfId="0" applyNumberFormat="1" applyFont="1" applyFill="1" applyBorder="1" applyAlignment="1" applyProtection="1">
      <alignment horizontal="center" vertical="center" wrapText="1"/>
    </xf>
    <xf numFmtId="0" fontId="12" fillId="9" borderId="87" xfId="0" applyNumberFormat="1" applyFont="1" applyFill="1" applyBorder="1" applyAlignment="1" applyProtection="1">
      <alignment horizontal="center" vertical="center" wrapText="1"/>
    </xf>
    <xf numFmtId="0" fontId="11" fillId="0" borderId="88" xfId="0" applyNumberFormat="1" applyFont="1" applyFill="1" applyBorder="1" applyAlignment="1" applyProtection="1">
      <alignment horizontal="left" vertical="center"/>
    </xf>
    <xf numFmtId="0" fontId="12" fillId="0" borderId="89" xfId="0" applyNumberFormat="1" applyFont="1" applyFill="1" applyBorder="1" applyAlignment="1" applyProtection="1">
      <alignment vertical="center"/>
    </xf>
    <xf numFmtId="43" fontId="12" fillId="0" borderId="90" xfId="0" applyNumberFormat="1" applyFont="1" applyFill="1" applyBorder="1" applyAlignment="1" applyProtection="1">
      <alignment vertical="center"/>
    </xf>
    <xf numFmtId="0" fontId="12" fillId="0" borderId="91" xfId="0" applyNumberFormat="1" applyFont="1" applyFill="1" applyBorder="1" applyAlignment="1" applyProtection="1">
      <alignment vertical="center"/>
    </xf>
    <xf numFmtId="43" fontId="12" fillId="0" borderId="92" xfId="0" applyNumberFormat="1" applyFont="1" applyFill="1" applyBorder="1" applyAlignment="1" applyProtection="1">
      <alignment vertical="center"/>
    </xf>
    <xf numFmtId="164" fontId="12" fillId="0" borderId="92" xfId="0" applyNumberFormat="1" applyFont="1" applyFill="1" applyBorder="1" applyAlignment="1" applyProtection="1">
      <alignment vertical="center"/>
    </xf>
    <xf numFmtId="0" fontId="11" fillId="0" borderId="93" xfId="0" applyNumberFormat="1" applyFont="1" applyFill="1" applyBorder="1" applyAlignment="1" applyProtection="1">
      <alignment horizontal="left" vertical="center"/>
    </xf>
    <xf numFmtId="0" fontId="12" fillId="10" borderId="83" xfId="0" applyNumberFormat="1" applyFont="1" applyFill="1" applyBorder="1" applyAlignment="1" applyProtection="1">
      <alignment horizontal="center" vertical="center"/>
    </xf>
    <xf numFmtId="0" fontId="12" fillId="10" borderId="84" xfId="0" applyNumberFormat="1" applyFont="1" applyFill="1" applyBorder="1" applyAlignment="1" applyProtection="1">
      <alignment vertical="center"/>
    </xf>
    <xf numFmtId="43" fontId="12" fillId="10" borderId="84" xfId="0" applyNumberFormat="1" applyFont="1" applyFill="1" applyBorder="1" applyAlignment="1" applyProtection="1">
      <alignment vertical="center"/>
    </xf>
    <xf numFmtId="0" fontId="12" fillId="10" borderId="94" xfId="0" applyNumberFormat="1" applyFont="1" applyFill="1" applyBorder="1" applyAlignment="1" applyProtection="1">
      <alignment vertical="center"/>
    </xf>
    <xf numFmtId="0" fontId="12" fillId="11" borderId="0" xfId="0" applyNumberFormat="1" applyFont="1" applyFill="1" applyBorder="1" applyAlignment="1" applyProtection="1"/>
    <xf numFmtId="0" fontId="12" fillId="11" borderId="0" xfId="0" applyNumberFormat="1" applyFont="1" applyFill="1" applyBorder="1" applyAlignment="1" applyProtection="1">
      <alignment vertical="center"/>
    </xf>
    <xf numFmtId="0" fontId="12" fillId="9" borderId="79" xfId="0" applyNumberFormat="1" applyFont="1" applyFill="1" applyBorder="1" applyAlignment="1" applyProtection="1">
      <alignment horizontal="center" vertical="center" textRotation="90" wrapText="1"/>
    </xf>
    <xf numFmtId="0" fontId="12" fillId="9" borderId="96" xfId="0" applyNumberFormat="1" applyFont="1" applyFill="1" applyBorder="1" applyAlignment="1" applyProtection="1">
      <alignment horizontal="center" vertical="center" textRotation="90" wrapText="1"/>
    </xf>
    <xf numFmtId="0" fontId="12" fillId="9" borderId="97" xfId="0" applyNumberFormat="1" applyFont="1" applyFill="1" applyBorder="1" applyAlignment="1" applyProtection="1">
      <alignment horizontal="center" vertical="center" textRotation="90" wrapText="1"/>
    </xf>
    <xf numFmtId="0" fontId="12" fillId="9" borderId="98" xfId="0" applyNumberFormat="1" applyFont="1" applyFill="1" applyBorder="1" applyAlignment="1" applyProtection="1">
      <alignment horizontal="center" vertical="center" textRotation="90" wrapText="1"/>
    </xf>
    <xf numFmtId="0" fontId="12" fillId="9" borderId="99" xfId="0" applyNumberFormat="1" applyFont="1" applyFill="1" applyBorder="1" applyAlignment="1" applyProtection="1">
      <alignment horizontal="center" vertical="center" textRotation="90" wrapText="1"/>
    </xf>
    <xf numFmtId="0" fontId="12" fillId="9" borderId="85" xfId="0" applyNumberFormat="1" applyFont="1" applyFill="1" applyBorder="1" applyAlignment="1" applyProtection="1">
      <alignment horizontal="center" vertical="center" textRotation="90" wrapText="1"/>
    </xf>
    <xf numFmtId="0" fontId="12" fillId="9" borderId="93" xfId="0" applyNumberFormat="1" applyFont="1" applyFill="1" applyBorder="1" applyAlignment="1" applyProtection="1">
      <alignment horizontal="center" vertical="center" textRotation="90" wrapText="1"/>
    </xf>
    <xf numFmtId="0" fontId="12" fillId="9" borderId="95" xfId="0" applyNumberFormat="1" applyFont="1" applyFill="1" applyBorder="1" applyAlignment="1" applyProtection="1">
      <alignment horizontal="center"/>
    </xf>
    <xf numFmtId="0" fontId="12" fillId="9" borderId="100" xfId="0" applyNumberFormat="1" applyFont="1" applyFill="1" applyBorder="1" applyAlignment="1" applyProtection="1">
      <alignment horizontal="center"/>
    </xf>
    <xf numFmtId="0" fontId="12" fillId="9" borderId="101" xfId="0" applyNumberFormat="1" applyFont="1" applyFill="1" applyBorder="1" applyAlignment="1" applyProtection="1">
      <alignment horizontal="center"/>
    </xf>
    <xf numFmtId="0" fontId="12" fillId="9" borderId="101" xfId="0" quotePrefix="1" applyNumberFormat="1" applyFont="1" applyFill="1" applyBorder="1" applyAlignment="1" applyProtection="1">
      <alignment horizontal="center"/>
    </xf>
    <xf numFmtId="0" fontId="12" fillId="9" borderId="102" xfId="0" quotePrefix="1" applyNumberFormat="1" applyFont="1" applyFill="1" applyBorder="1" applyAlignment="1" applyProtection="1">
      <alignment horizontal="center"/>
    </xf>
    <xf numFmtId="0" fontId="12" fillId="9" borderId="103" xfId="0" quotePrefix="1" applyNumberFormat="1" applyFont="1" applyFill="1" applyBorder="1" applyAlignment="1" applyProtection="1">
      <alignment horizontal="center"/>
    </xf>
    <xf numFmtId="0" fontId="12" fillId="9" borderId="104" xfId="0" applyNumberFormat="1" applyFont="1" applyFill="1" applyBorder="1" applyAlignment="1" applyProtection="1">
      <alignment horizontal="center"/>
    </xf>
    <xf numFmtId="0" fontId="12" fillId="9" borderId="104" xfId="0" quotePrefix="1" applyNumberFormat="1" applyFont="1" applyFill="1" applyBorder="1" applyAlignment="1" applyProtection="1">
      <alignment horizontal="center"/>
    </xf>
    <xf numFmtId="0" fontId="11" fillId="0" borderId="79" xfId="0" applyNumberFormat="1" applyFont="1" applyFill="1" applyBorder="1" applyAlignment="1" applyProtection="1"/>
    <xf numFmtId="0" fontId="11" fillId="0" borderId="93" xfId="0" applyNumberFormat="1" applyFont="1" applyFill="1" applyBorder="1" applyAlignment="1" applyProtection="1"/>
    <xf numFmtId="0" fontId="11" fillId="0" borderId="96" xfId="0" applyNumberFormat="1" applyFont="1" applyFill="1" applyBorder="1" applyAlignment="1" applyProtection="1"/>
    <xf numFmtId="0" fontId="11" fillId="0" borderId="105" xfId="0" applyNumberFormat="1" applyFont="1" applyFill="1" applyBorder="1" applyAlignment="1" applyProtection="1"/>
    <xf numFmtId="0" fontId="11" fillId="0" borderId="106" xfId="0" applyNumberFormat="1" applyFont="1" applyFill="1" applyBorder="1" applyAlignment="1" applyProtection="1"/>
    <xf numFmtId="164" fontId="11" fillId="0" borderId="106" xfId="0" applyNumberFormat="1" applyFont="1" applyFill="1" applyBorder="1" applyAlignment="1" applyProtection="1"/>
    <xf numFmtId="43" fontId="11" fillId="0" borderId="106" xfId="0" applyNumberFormat="1" applyFont="1" applyFill="1" applyBorder="1" applyAlignment="1" applyProtection="1"/>
    <xf numFmtId="167" fontId="11" fillId="0" borderId="106" xfId="0" applyNumberFormat="1" applyFont="1" applyFill="1" applyBorder="1" applyAlignment="1" applyProtection="1"/>
    <xf numFmtId="43" fontId="11" fillId="0" borderId="93" xfId="0" applyNumberFormat="1" applyFont="1" applyFill="1" applyBorder="1" applyAlignment="1" applyProtection="1"/>
    <xf numFmtId="43" fontId="11" fillId="0" borderId="96" xfId="0" applyNumberFormat="1" applyFont="1" applyFill="1" applyBorder="1" applyAlignment="1" applyProtection="1"/>
    <xf numFmtId="43" fontId="11" fillId="0" borderId="0" xfId="0" applyNumberFormat="1" applyFont="1" applyFill="1" applyBorder="1" applyAlignment="1" applyProtection="1"/>
    <xf numFmtId="43" fontId="11" fillId="0" borderId="105" xfId="0" applyNumberFormat="1" applyFont="1" applyFill="1" applyBorder="1" applyAlignment="1" applyProtection="1"/>
    <xf numFmtId="168" fontId="11" fillId="0" borderId="106" xfId="0" applyNumberFormat="1" applyFont="1" applyFill="1" applyBorder="1" applyAlignment="1" applyProtection="1"/>
    <xf numFmtId="0" fontId="8" fillId="0" borderId="93" xfId="0" applyNumberFormat="1" applyFont="1" applyFill="1" applyBorder="1" applyAlignment="1" applyProtection="1"/>
    <xf numFmtId="0" fontId="4" fillId="0" borderId="93" xfId="0" applyNumberFormat="1" applyFont="1" applyFill="1" applyBorder="1" applyAlignment="1" applyProtection="1"/>
    <xf numFmtId="0" fontId="11" fillId="0" borderId="95" xfId="0" applyNumberFormat="1" applyFont="1" applyFill="1" applyBorder="1" applyAlignment="1" applyProtection="1"/>
    <xf numFmtId="0" fontId="11" fillId="0" borderId="107" xfId="0" applyNumberFormat="1" applyFont="1" applyFill="1" applyBorder="1" applyAlignment="1" applyProtection="1"/>
    <xf numFmtId="0" fontId="11" fillId="0" borderId="108" xfId="0" applyNumberFormat="1" applyFont="1" applyFill="1" applyBorder="1" applyAlignment="1" applyProtection="1"/>
    <xf numFmtId="0" fontId="11" fillId="0" borderId="109" xfId="0" applyNumberFormat="1" applyFont="1" applyFill="1" applyBorder="1" applyAlignment="1" applyProtection="1"/>
    <xf numFmtId="0" fontId="11" fillId="0" borderId="110" xfId="0" applyNumberFormat="1" applyFont="1" applyFill="1" applyBorder="1" applyAlignment="1" applyProtection="1"/>
    <xf numFmtId="0" fontId="11" fillId="0" borderId="111" xfId="0" applyNumberFormat="1" applyFont="1" applyFill="1" applyBorder="1" applyAlignment="1" applyProtection="1"/>
    <xf numFmtId="0" fontId="12" fillId="0" borderId="95" xfId="0" applyNumberFormat="1" applyFont="1" applyFill="1" applyBorder="1" applyAlignment="1" applyProtection="1">
      <alignment horizontal="center"/>
    </xf>
    <xf numFmtId="0" fontId="11" fillId="0" borderId="112" xfId="0" applyNumberFormat="1" applyFont="1" applyFill="1" applyBorder="1" applyAlignment="1" applyProtection="1"/>
    <xf numFmtId="0" fontId="11" fillId="0" borderId="113" xfId="0" applyNumberFormat="1" applyFont="1" applyFill="1" applyBorder="1" applyAlignment="1" applyProtection="1"/>
    <xf numFmtId="0" fontId="11" fillId="0" borderId="114" xfId="0" applyNumberFormat="1" applyFont="1" applyFill="1" applyBorder="1" applyAlignment="1" applyProtection="1"/>
    <xf numFmtId="0" fontId="11" fillId="0" borderId="115" xfId="0" applyNumberFormat="1" applyFont="1" applyFill="1" applyBorder="1" applyAlignment="1" applyProtection="1"/>
    <xf numFmtId="0" fontId="11" fillId="0" borderId="116" xfId="0" applyNumberFormat="1" applyFont="1" applyFill="1" applyBorder="1" applyAlignment="1" applyProtection="1"/>
    <xf numFmtId="43" fontId="12" fillId="0" borderId="104" xfId="0" applyNumberFormat="1" applyFont="1" applyFill="1" applyBorder="1" applyAlignment="1" applyProtection="1"/>
    <xf numFmtId="0" fontId="18"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2" fillId="9" borderId="117" xfId="0" applyNumberFormat="1" applyFont="1" applyFill="1" applyBorder="1" applyAlignment="1" applyProtection="1">
      <alignment horizontal="center" vertical="center"/>
    </xf>
    <xf numFmtId="0" fontId="12" fillId="9" borderId="117" xfId="0" applyNumberFormat="1" applyFont="1" applyFill="1" applyBorder="1" applyAlignment="1" applyProtection="1">
      <alignment horizontal="center" vertical="center" wrapText="1"/>
    </xf>
    <xf numFmtId="0" fontId="12" fillId="9" borderId="124" xfId="0" applyNumberFormat="1" applyFont="1" applyFill="1" applyBorder="1" applyAlignment="1" applyProtection="1">
      <alignment horizontal="center" vertical="center" wrapText="1"/>
    </xf>
    <xf numFmtId="0" fontId="12" fillId="9" borderId="125" xfId="0" applyNumberFormat="1" applyFont="1" applyFill="1" applyBorder="1" applyAlignment="1" applyProtection="1">
      <alignment horizontal="center" vertical="center" wrapText="1"/>
    </xf>
    <xf numFmtId="0" fontId="12" fillId="9" borderId="126" xfId="0" applyNumberFormat="1" applyFont="1" applyFill="1" applyBorder="1" applyAlignment="1" applyProtection="1">
      <alignment horizontal="center" vertical="center" wrapText="1"/>
    </xf>
    <xf numFmtId="0" fontId="12" fillId="0" borderId="127" xfId="0" applyNumberFormat="1" applyFont="1" applyFill="1" applyBorder="1" applyAlignment="1" applyProtection="1">
      <alignment vertical="center"/>
    </xf>
    <xf numFmtId="4" fontId="12" fillId="0" borderId="128" xfId="0" applyNumberFormat="1" applyFont="1" applyFill="1" applyBorder="1" applyAlignment="1" applyProtection="1">
      <alignment vertical="center"/>
    </xf>
    <xf numFmtId="0" fontId="12" fillId="0" borderId="129" xfId="0" applyNumberFormat="1" applyFont="1" applyFill="1" applyBorder="1" applyAlignment="1" applyProtection="1">
      <alignment vertical="center"/>
    </xf>
    <xf numFmtId="4" fontId="12" fillId="0" borderId="130" xfId="0" applyNumberFormat="1" applyFont="1" applyFill="1" applyBorder="1" applyAlignment="1" applyProtection="1">
      <alignment vertical="center"/>
    </xf>
    <xf numFmtId="0" fontId="12" fillId="0" borderId="131" xfId="0" applyNumberFormat="1" applyFont="1" applyFill="1" applyBorder="1" applyAlignment="1" applyProtection="1">
      <alignment vertical="center"/>
    </xf>
    <xf numFmtId="2" fontId="12" fillId="0" borderId="130" xfId="0" applyNumberFormat="1" applyFont="1" applyFill="1" applyBorder="1" applyAlignment="1" applyProtection="1">
      <alignment horizontal="center" vertical="center"/>
    </xf>
    <xf numFmtId="0" fontId="11" fillId="0" borderId="132" xfId="0" applyNumberFormat="1" applyFont="1" applyFill="1" applyBorder="1" applyAlignment="1" applyProtection="1">
      <alignment horizontal="left" vertical="center"/>
    </xf>
    <xf numFmtId="0" fontId="12" fillId="0" borderId="133" xfId="0" applyNumberFormat="1" applyFont="1" applyFill="1" applyBorder="1" applyAlignment="1" applyProtection="1">
      <alignment vertical="center"/>
    </xf>
    <xf numFmtId="4" fontId="12" fillId="0" borderId="134" xfId="0" applyNumberFormat="1" applyFont="1" applyFill="1" applyBorder="1" applyAlignment="1" applyProtection="1">
      <alignment vertical="center"/>
    </xf>
    <xf numFmtId="4" fontId="12" fillId="0" borderId="135" xfId="0" applyNumberFormat="1" applyFont="1" applyFill="1" applyBorder="1" applyAlignment="1" applyProtection="1">
      <alignment vertical="center"/>
    </xf>
    <xf numFmtId="0" fontId="12" fillId="0" borderId="135" xfId="0" applyNumberFormat="1" applyFont="1" applyFill="1" applyBorder="1" applyAlignment="1" applyProtection="1">
      <alignment horizontal="center" vertical="center"/>
    </xf>
    <xf numFmtId="0" fontId="11" fillId="0" borderId="136" xfId="0" applyNumberFormat="1" applyFont="1" applyFill="1" applyBorder="1" applyAlignment="1" applyProtection="1">
      <alignment horizontal="left" vertical="center"/>
    </xf>
    <xf numFmtId="0" fontId="11" fillId="0" borderId="137" xfId="0" applyNumberFormat="1" applyFont="1" applyFill="1" applyBorder="1" applyAlignment="1" applyProtection="1">
      <alignment horizontal="left" vertical="center"/>
    </xf>
    <xf numFmtId="3" fontId="12" fillId="0" borderId="0" xfId="0" applyNumberFormat="1" applyFont="1" applyFill="1" applyBorder="1" applyAlignment="1" applyProtection="1"/>
    <xf numFmtId="0" fontId="12" fillId="10" borderId="122" xfId="0" applyNumberFormat="1" applyFont="1" applyFill="1" applyBorder="1" applyAlignment="1" applyProtection="1">
      <alignment horizontal="center" vertical="center"/>
    </xf>
    <xf numFmtId="0" fontId="12" fillId="10" borderId="138" xfId="0" applyNumberFormat="1" applyFont="1" applyFill="1" applyBorder="1" applyAlignment="1" applyProtection="1">
      <alignment vertical="center"/>
    </xf>
    <xf numFmtId="4" fontId="12" fillId="10" borderId="123" xfId="0" applyNumberFormat="1" applyFont="1" applyFill="1" applyBorder="1" applyAlignment="1" applyProtection="1">
      <alignment vertical="center"/>
    </xf>
    <xf numFmtId="2" fontId="12" fillId="12" borderId="130" xfId="0" applyNumberFormat="1" applyFont="1" applyFill="1" applyBorder="1" applyAlignment="1" applyProtection="1">
      <alignment horizontal="center" vertical="center"/>
    </xf>
    <xf numFmtId="0" fontId="11" fillId="0" borderId="133" xfId="0" applyNumberFormat="1" applyFont="1" applyFill="1" applyBorder="1" applyAlignment="1" applyProtection="1">
      <alignment vertical="center"/>
    </xf>
    <xf numFmtId="4" fontId="11" fillId="0" borderId="134" xfId="0" applyNumberFormat="1" applyFont="1" applyFill="1" applyBorder="1" applyAlignment="1" applyProtection="1">
      <alignment vertical="center"/>
    </xf>
    <xf numFmtId="0" fontId="11" fillId="0" borderId="131" xfId="0" applyNumberFormat="1" applyFont="1" applyFill="1" applyBorder="1" applyAlignment="1" applyProtection="1">
      <alignment vertical="center"/>
    </xf>
    <xf numFmtId="4" fontId="11" fillId="0" borderId="135" xfId="0" applyNumberFormat="1" applyFont="1" applyFill="1" applyBorder="1" applyAlignment="1" applyProtection="1">
      <alignment vertical="center"/>
    </xf>
    <xf numFmtId="0" fontId="11" fillId="10" borderId="123" xfId="0" applyNumberFormat="1" applyFont="1" applyFill="1" applyBorder="1" applyAlignment="1" applyProtection="1">
      <alignment vertical="center"/>
    </xf>
    <xf numFmtId="4" fontId="11" fillId="10" borderId="123" xfId="0" applyNumberFormat="1" applyFont="1" applyFill="1" applyBorder="1" applyAlignment="1" applyProtection="1">
      <alignment vertical="center"/>
    </xf>
    <xf numFmtId="0" fontId="11" fillId="10" borderId="138" xfId="0" applyNumberFormat="1" applyFont="1" applyFill="1" applyBorder="1" applyAlignment="1" applyProtection="1">
      <alignment vertical="center"/>
    </xf>
    <xf numFmtId="4" fontId="11" fillId="10" borderId="139" xfId="0" applyNumberFormat="1" applyFont="1" applyFill="1" applyBorder="1" applyAlignment="1" applyProtection="1">
      <alignment vertical="center"/>
    </xf>
    <xf numFmtId="4" fontId="11" fillId="10" borderId="139" xfId="0" applyNumberFormat="1" applyFont="1" applyFill="1" applyBorder="1" applyAlignment="1" applyProtection="1">
      <alignment horizontal="center" vertical="center"/>
    </xf>
    <xf numFmtId="3" fontId="12" fillId="0" borderId="133" xfId="0" applyNumberFormat="1" applyFont="1" applyFill="1" applyBorder="1" applyAlignment="1" applyProtection="1">
      <alignment vertical="center"/>
    </xf>
    <xf numFmtId="3" fontId="12" fillId="0" borderId="134" xfId="0" applyNumberFormat="1" applyFont="1" applyFill="1" applyBorder="1" applyAlignment="1" applyProtection="1">
      <alignment vertical="center"/>
    </xf>
    <xf numFmtId="3" fontId="12" fillId="0" borderId="131" xfId="0" applyNumberFormat="1" applyFont="1" applyFill="1" applyBorder="1" applyAlignment="1" applyProtection="1">
      <alignment vertical="center"/>
    </xf>
    <xf numFmtId="3" fontId="12" fillId="0" borderId="135" xfId="0" applyNumberFormat="1" applyFont="1" applyFill="1" applyBorder="1" applyAlignment="1" applyProtection="1">
      <alignment vertical="center"/>
    </xf>
    <xf numFmtId="0" fontId="12" fillId="0" borderId="135" xfId="0" applyNumberFormat="1" applyFont="1" applyFill="1" applyBorder="1" applyAlignment="1" applyProtection="1">
      <alignment vertical="center"/>
    </xf>
    <xf numFmtId="3" fontId="12" fillId="10" borderId="123" xfId="0" applyNumberFormat="1" applyFont="1" applyFill="1" applyBorder="1" applyAlignment="1" applyProtection="1">
      <alignment vertical="center"/>
    </xf>
    <xf numFmtId="3" fontId="12" fillId="10" borderId="139" xfId="0" applyNumberFormat="1" applyFont="1" applyFill="1" applyBorder="1" applyAlignment="1" applyProtection="1">
      <alignment vertical="center"/>
    </xf>
    <xf numFmtId="3" fontId="12" fillId="10" borderId="138" xfId="0" applyNumberFormat="1" applyFont="1" applyFill="1" applyBorder="1" applyAlignment="1" applyProtection="1">
      <alignment vertical="center"/>
    </xf>
    <xf numFmtId="0" fontId="12" fillId="0" borderId="0" xfId="0" applyNumberFormat="1" applyFont="1" applyFill="1" applyBorder="1" applyAlignment="1" applyProtection="1"/>
    <xf numFmtId="49" fontId="11" fillId="0" borderId="0" xfId="0" applyNumberFormat="1" applyFont="1" applyFill="1" applyBorder="1" applyAlignment="1" applyProtection="1">
      <alignment vertical="center"/>
    </xf>
    <xf numFmtId="0" fontId="12" fillId="10" borderId="123" xfId="0" applyNumberFormat="1" applyFont="1" applyFill="1" applyBorder="1" applyAlignment="1" applyProtection="1">
      <alignment vertical="center"/>
    </xf>
    <xf numFmtId="0" fontId="11" fillId="11" borderId="0" xfId="0" applyNumberFormat="1" applyFont="1" applyFill="1" applyBorder="1" applyAlignment="1" applyProtection="1"/>
    <xf numFmtId="0" fontId="12" fillId="9" borderId="117" xfId="0" applyNumberFormat="1" applyFont="1" applyFill="1" applyBorder="1" applyAlignment="1" applyProtection="1">
      <alignment horizontal="center" vertical="center" textRotation="90" wrapText="1"/>
    </xf>
    <xf numFmtId="0" fontId="12" fillId="9" borderId="142" xfId="0" applyNumberFormat="1" applyFont="1" applyFill="1" applyBorder="1" applyAlignment="1" applyProtection="1">
      <alignment horizontal="center" vertical="center" textRotation="90" wrapText="1"/>
    </xf>
    <xf numFmtId="0" fontId="12" fillId="9" borderId="143" xfId="0" applyNumberFormat="1" applyFont="1" applyFill="1" applyBorder="1" applyAlignment="1" applyProtection="1">
      <alignment horizontal="center" vertical="center" textRotation="90" wrapText="1"/>
    </xf>
    <xf numFmtId="0" fontId="12" fillId="9" borderId="144" xfId="0" applyNumberFormat="1" applyFont="1" applyFill="1" applyBorder="1" applyAlignment="1" applyProtection="1">
      <alignment horizontal="center" vertical="center" textRotation="90" wrapText="1"/>
    </xf>
    <xf numFmtId="0" fontId="12" fillId="9" borderId="145" xfId="0" applyNumberFormat="1" applyFont="1" applyFill="1" applyBorder="1" applyAlignment="1" applyProtection="1">
      <alignment horizontal="center" vertical="center" textRotation="90" wrapText="1"/>
    </xf>
    <xf numFmtId="0" fontId="12" fillId="9" borderId="118" xfId="0" applyNumberFormat="1" applyFont="1" applyFill="1" applyBorder="1" applyAlignment="1" applyProtection="1">
      <alignment horizontal="center" vertical="center" textRotation="90" wrapText="1"/>
    </xf>
    <xf numFmtId="0" fontId="12" fillId="9" borderId="124" xfId="0" applyNumberFormat="1" applyFont="1" applyFill="1" applyBorder="1" applyAlignment="1" applyProtection="1">
      <alignment horizontal="center" vertical="center" textRotation="90" wrapText="1"/>
    </xf>
    <xf numFmtId="0" fontId="12" fillId="9" borderId="136" xfId="0" applyNumberFormat="1" applyFont="1" applyFill="1" applyBorder="1" applyAlignment="1" applyProtection="1">
      <alignment horizontal="center" vertical="center" textRotation="90" wrapText="1"/>
    </xf>
    <xf numFmtId="0" fontId="12" fillId="9" borderId="146" xfId="0" applyNumberFormat="1" applyFont="1" applyFill="1" applyBorder="1" applyAlignment="1" applyProtection="1">
      <alignment horizontal="center"/>
    </xf>
    <xf numFmtId="0" fontId="12" fillId="9" borderId="147" xfId="0" applyNumberFormat="1" applyFont="1" applyFill="1" applyBorder="1" applyAlignment="1" applyProtection="1">
      <alignment horizontal="center"/>
    </xf>
    <xf numFmtId="0" fontId="12" fillId="9" borderId="148" xfId="0" applyNumberFormat="1" applyFont="1" applyFill="1" applyBorder="1" applyAlignment="1" applyProtection="1">
      <alignment horizontal="center"/>
    </xf>
    <xf numFmtId="0" fontId="12" fillId="9" borderId="148" xfId="0" quotePrefix="1" applyNumberFormat="1" applyFont="1" applyFill="1" applyBorder="1" applyAlignment="1" applyProtection="1">
      <alignment horizontal="center"/>
    </xf>
    <xf numFmtId="0" fontId="12" fillId="9" borderId="149" xfId="0" quotePrefix="1" applyNumberFormat="1" applyFont="1" applyFill="1" applyBorder="1" applyAlignment="1" applyProtection="1">
      <alignment horizontal="center"/>
    </xf>
    <xf numFmtId="0" fontId="12" fillId="9" borderId="150" xfId="0" quotePrefix="1" applyNumberFormat="1" applyFont="1" applyFill="1" applyBorder="1" applyAlignment="1" applyProtection="1">
      <alignment horizontal="center"/>
    </xf>
    <xf numFmtId="0" fontId="12" fillId="9" borderId="151" xfId="0" quotePrefix="1" applyNumberFormat="1" applyFont="1" applyFill="1" applyBorder="1" applyAlignment="1" applyProtection="1">
      <alignment horizontal="center"/>
    </xf>
    <xf numFmtId="0" fontId="12" fillId="9" borderId="152" xfId="0" applyNumberFormat="1" applyFont="1" applyFill="1" applyBorder="1" applyAlignment="1" applyProtection="1">
      <alignment horizontal="center"/>
    </xf>
    <xf numFmtId="0" fontId="12" fillId="9" borderId="152" xfId="0" quotePrefix="1" applyNumberFormat="1" applyFont="1" applyFill="1" applyBorder="1" applyAlignment="1" applyProtection="1">
      <alignment horizontal="center"/>
    </xf>
    <xf numFmtId="0" fontId="11" fillId="0" borderId="140" xfId="0" applyNumberFormat="1" applyFont="1" applyFill="1" applyBorder="1" applyAlignment="1" applyProtection="1"/>
    <xf numFmtId="0" fontId="11" fillId="0" borderId="136" xfId="0" applyNumberFormat="1" applyFont="1" applyFill="1" applyBorder="1" applyAlignment="1" applyProtection="1"/>
    <xf numFmtId="0" fontId="11" fillId="0" borderId="142" xfId="0" applyNumberFormat="1" applyFont="1" applyFill="1" applyBorder="1" applyAlignment="1" applyProtection="1"/>
    <xf numFmtId="0" fontId="11" fillId="0" borderId="153" xfId="0" applyNumberFormat="1" applyFont="1" applyFill="1" applyBorder="1" applyAlignment="1" applyProtection="1"/>
    <xf numFmtId="0" fontId="11" fillId="13" borderId="136" xfId="0" applyNumberFormat="1" applyFont="1" applyFill="1" applyBorder="1" applyAlignment="1" applyProtection="1"/>
    <xf numFmtId="0" fontId="11" fillId="0" borderId="154" xfId="0" applyNumberFormat="1" applyFont="1" applyFill="1" applyBorder="1" applyAlignment="1" applyProtection="1"/>
    <xf numFmtId="0" fontId="11" fillId="0" borderId="117" xfId="0" applyNumberFormat="1" applyFont="1" applyFill="1" applyBorder="1" applyAlignment="1" applyProtection="1"/>
    <xf numFmtId="0" fontId="11" fillId="0" borderId="155" xfId="0" applyNumberFormat="1" applyFont="1" applyFill="1" applyBorder="1" applyAlignment="1" applyProtection="1"/>
    <xf numFmtId="0" fontId="11" fillId="14" borderId="119" xfId="0" applyNumberFormat="1" applyFont="1" applyFill="1" applyBorder="1" applyAlignment="1" applyProtection="1"/>
    <xf numFmtId="0" fontId="11" fillId="14" borderId="136" xfId="0" applyNumberFormat="1" applyFont="1" applyFill="1" applyBorder="1" applyAlignment="1" applyProtection="1"/>
    <xf numFmtId="43" fontId="4" fillId="14" borderId="155" xfId="0" applyNumberFormat="1" applyFont="1" applyFill="1" applyBorder="1" applyAlignment="1" applyProtection="1"/>
    <xf numFmtId="43" fontId="4" fillId="14" borderId="136" xfId="0" applyNumberFormat="1" applyFont="1" applyFill="1" applyBorder="1" applyAlignment="1" applyProtection="1"/>
    <xf numFmtId="43" fontId="4" fillId="14" borderId="119" xfId="0" applyNumberFormat="1" applyFont="1" applyFill="1" applyBorder="1" applyAlignment="1" applyProtection="1"/>
    <xf numFmtId="168" fontId="4" fillId="15" borderId="136" xfId="0" applyNumberFormat="1" applyFont="1" applyFill="1" applyBorder="1" applyAlignment="1" applyProtection="1">
      <alignment horizontal="center"/>
    </xf>
    <xf numFmtId="43" fontId="4" fillId="14" borderId="153" xfId="0" applyNumberFormat="1" applyFont="1" applyFill="1" applyBorder="1" applyAlignment="1" applyProtection="1"/>
    <xf numFmtId="43" fontId="4" fillId="14" borderId="143" xfId="0" applyNumberFormat="1" applyFont="1" applyFill="1" applyBorder="1" applyAlignment="1" applyProtection="1"/>
    <xf numFmtId="168" fontId="4" fillId="15" borderId="136" xfId="0" applyNumberFormat="1" applyFont="1" applyFill="1" applyBorder="1" applyAlignment="1" applyProtection="1"/>
    <xf numFmtId="0" fontId="12" fillId="13" borderId="119" xfId="0" applyNumberFormat="1" applyFont="1" applyFill="1" applyBorder="1" applyAlignment="1" applyProtection="1">
      <alignment horizontal="center" vertical="center"/>
    </xf>
    <xf numFmtId="0" fontId="12" fillId="13" borderId="136" xfId="0" applyNumberFormat="1" applyFont="1" applyFill="1" applyBorder="1" applyAlignment="1" applyProtection="1"/>
    <xf numFmtId="43" fontId="8" fillId="13" borderId="153" xfId="0" applyNumberFormat="1" applyFont="1" applyFill="1" applyBorder="1" applyAlignment="1" applyProtection="1"/>
    <xf numFmtId="43" fontId="8" fillId="13" borderId="143" xfId="0" applyNumberFormat="1" applyFont="1" applyFill="1" applyBorder="1" applyAlignment="1" applyProtection="1"/>
    <xf numFmtId="43" fontId="8" fillId="13" borderId="0" xfId="0" applyNumberFormat="1" applyFont="1" applyFill="1" applyBorder="1" applyAlignment="1" applyProtection="1"/>
    <xf numFmtId="168" fontId="8" fillId="12" borderId="136" xfId="0" applyNumberFormat="1" applyFont="1" applyFill="1" applyBorder="1" applyAlignment="1" applyProtection="1">
      <alignment horizontal="center"/>
    </xf>
    <xf numFmtId="43" fontId="8" fillId="13" borderId="142" xfId="0" applyNumberFormat="1" applyFont="1" applyFill="1" applyBorder="1" applyAlignment="1" applyProtection="1"/>
    <xf numFmtId="43" fontId="8" fillId="13" borderId="144" xfId="0" applyNumberFormat="1" applyFont="1" applyFill="1" applyBorder="1" applyAlignment="1" applyProtection="1"/>
    <xf numFmtId="43" fontId="8" fillId="13" borderId="136" xfId="0" applyNumberFormat="1" applyFont="1" applyFill="1" applyBorder="1" applyAlignment="1" applyProtection="1"/>
    <xf numFmtId="43" fontId="8" fillId="13" borderId="155" xfId="0" applyNumberFormat="1" applyFont="1" applyFill="1" applyBorder="1" applyAlignment="1" applyProtection="1"/>
    <xf numFmtId="168" fontId="8" fillId="12" borderId="136" xfId="0" applyNumberFormat="1" applyFont="1" applyFill="1" applyBorder="1" applyAlignment="1" applyProtection="1"/>
    <xf numFmtId="49" fontId="11" fillId="11" borderId="156" xfId="0" applyNumberFormat="1" applyFont="1" applyFill="1" applyBorder="1" applyAlignment="1" applyProtection="1">
      <alignment horizontal="center" vertical="center"/>
    </xf>
    <xf numFmtId="0" fontId="11" fillId="0" borderId="136" xfId="0" applyNumberFormat="1" applyFont="1" applyFill="1" applyBorder="1" applyAlignment="1" applyProtection="1">
      <alignment horizontal="right"/>
    </xf>
    <xf numFmtId="43" fontId="11" fillId="0" borderId="142" xfId="0" applyNumberFormat="1" applyFont="1" applyFill="1" applyBorder="1" applyAlignment="1" applyProtection="1"/>
    <xf numFmtId="43" fontId="11" fillId="0" borderId="143" xfId="0" applyNumberFormat="1" applyFont="1" applyFill="1" applyBorder="1" applyAlignment="1" applyProtection="1"/>
    <xf numFmtId="168" fontId="11" fillId="13" borderId="136" xfId="0" applyNumberFormat="1" applyFont="1" applyFill="1" applyBorder="1" applyAlignment="1" applyProtection="1">
      <alignment horizontal="center"/>
    </xf>
    <xf numFmtId="43" fontId="11" fillId="0" borderId="136" xfId="0" applyNumberFormat="1" applyFont="1" applyFill="1" applyBorder="1" applyAlignment="1" applyProtection="1"/>
    <xf numFmtId="43" fontId="11" fillId="0" borderId="144" xfId="0" applyNumberFormat="1" applyFont="1" applyFill="1" applyBorder="1" applyAlignment="1" applyProtection="1"/>
    <xf numFmtId="43" fontId="11" fillId="0" borderId="155" xfId="0" applyNumberFormat="1" applyFont="1" applyFill="1" applyBorder="1" applyAlignment="1" applyProtection="1"/>
    <xf numFmtId="168" fontId="11" fillId="13" borderId="136" xfId="0" applyNumberFormat="1" applyFont="1" applyFill="1" applyBorder="1" applyAlignment="1" applyProtection="1"/>
    <xf numFmtId="43" fontId="11" fillId="11" borderId="142" xfId="0" applyNumberFormat="1" applyFont="1" applyFill="1" applyBorder="1" applyAlignment="1" applyProtection="1"/>
    <xf numFmtId="43" fontId="11" fillId="11" borderId="136" xfId="0" applyNumberFormat="1" applyFont="1" applyFill="1" applyBorder="1" applyAlignment="1" applyProtection="1"/>
    <xf numFmtId="1" fontId="11" fillId="0" borderId="136" xfId="0" applyNumberFormat="1" applyFont="1" applyFill="1" applyBorder="1" applyAlignment="1" applyProtection="1">
      <alignment horizontal="right"/>
    </xf>
    <xf numFmtId="43" fontId="11" fillId="0" borderId="0" xfId="0" applyNumberFormat="1" applyFont="1" applyFill="1" applyBorder="1" applyAlignment="1" applyProtection="1">
      <alignment horizontal="right"/>
    </xf>
    <xf numFmtId="43" fontId="11" fillId="0" borderId="143" xfId="0" applyNumberFormat="1" applyFont="1" applyFill="1" applyBorder="1" applyAlignment="1" applyProtection="1">
      <alignment horizontal="right"/>
    </xf>
    <xf numFmtId="43" fontId="11" fillId="0" borderId="142" xfId="0" applyNumberFormat="1" applyFont="1" applyFill="1" applyBorder="1" applyAlignment="1" applyProtection="1">
      <alignment horizontal="right"/>
    </xf>
    <xf numFmtId="49" fontId="11" fillId="11" borderId="157" xfId="0" applyNumberFormat="1" applyFont="1" applyFill="1" applyBorder="1" applyAlignment="1" applyProtection="1">
      <alignment horizontal="center" vertical="center"/>
    </xf>
    <xf numFmtId="3" fontId="11" fillId="11" borderId="136" xfId="0" applyNumberFormat="1" applyFont="1" applyFill="1" applyBorder="1" applyAlignment="1" applyProtection="1">
      <alignment horizontal="right" vertical="center"/>
    </xf>
    <xf numFmtId="0" fontId="12" fillId="13" borderId="0" xfId="0" applyNumberFormat="1" applyFont="1" applyFill="1" applyBorder="1" applyAlignment="1" applyProtection="1">
      <alignment horizontal="center" vertical="center"/>
    </xf>
    <xf numFmtId="3" fontId="12" fillId="13" borderId="0" xfId="0" applyNumberFormat="1" applyFont="1" applyFill="1" applyBorder="1" applyAlignment="1" applyProtection="1">
      <alignment horizontal="right" vertical="center"/>
    </xf>
    <xf numFmtId="43" fontId="12" fillId="13" borderId="142" xfId="0" applyNumberFormat="1" applyFont="1" applyFill="1" applyBorder="1" applyAlignment="1" applyProtection="1">
      <alignment horizontal="right" vertical="center"/>
    </xf>
    <xf numFmtId="43" fontId="12" fillId="13" borderId="143" xfId="0" applyNumberFormat="1" applyFont="1" applyFill="1" applyBorder="1" applyAlignment="1" applyProtection="1">
      <alignment horizontal="right" vertical="center"/>
    </xf>
    <xf numFmtId="43" fontId="11" fillId="13" borderId="143" xfId="0" applyNumberFormat="1" applyFont="1" applyFill="1" applyBorder="1" applyAlignment="1" applyProtection="1">
      <alignment horizontal="right"/>
    </xf>
    <xf numFmtId="168" fontId="11" fillId="13" borderId="0" xfId="0" applyNumberFormat="1" applyFont="1" applyFill="1" applyBorder="1" applyAlignment="1" applyProtection="1">
      <alignment horizontal="center"/>
    </xf>
    <xf numFmtId="43" fontId="11" fillId="13" borderId="142" xfId="0" applyNumberFormat="1" applyFont="1" applyFill="1" applyBorder="1" applyAlignment="1" applyProtection="1"/>
    <xf numFmtId="43" fontId="11" fillId="13" borderId="143" xfId="0" applyNumberFormat="1" applyFont="1" applyFill="1" applyBorder="1" applyAlignment="1" applyProtection="1"/>
    <xf numFmtId="43" fontId="11" fillId="13" borderId="0" xfId="0" applyNumberFormat="1" applyFont="1" applyFill="1" applyBorder="1" applyAlignment="1" applyProtection="1"/>
    <xf numFmtId="168" fontId="11" fillId="13" borderId="143" xfId="0" applyNumberFormat="1" applyFont="1" applyFill="1" applyBorder="1" applyAlignment="1" applyProtection="1"/>
    <xf numFmtId="49" fontId="11" fillId="11" borderId="158" xfId="0" applyNumberFormat="1" applyFont="1" applyFill="1" applyBorder="1" applyAlignment="1" applyProtection="1">
      <alignment horizontal="center" vertical="center"/>
    </xf>
    <xf numFmtId="49" fontId="11" fillId="11" borderId="159" xfId="0" applyNumberFormat="1" applyFont="1" applyFill="1" applyBorder="1" applyAlignment="1" applyProtection="1">
      <alignment horizontal="center" vertical="center"/>
    </xf>
    <xf numFmtId="1" fontId="11" fillId="0" borderId="155" xfId="0" applyNumberFormat="1" applyFont="1" applyFill="1" applyBorder="1" applyAlignment="1" applyProtection="1">
      <alignment horizontal="right"/>
    </xf>
    <xf numFmtId="43" fontId="11" fillId="11" borderId="155" xfId="0" applyNumberFormat="1" applyFont="1" applyFill="1" applyBorder="1" applyAlignment="1" applyProtection="1"/>
    <xf numFmtId="3" fontId="12" fillId="13" borderId="136" xfId="0" applyNumberFormat="1" applyFont="1" applyFill="1" applyBorder="1" applyAlignment="1" applyProtection="1">
      <alignment horizontal="right" vertical="center"/>
    </xf>
    <xf numFmtId="43" fontId="12" fillId="13" borderId="0" xfId="0" applyNumberFormat="1" applyFont="1" applyFill="1" applyBorder="1" applyAlignment="1" applyProtection="1">
      <alignment horizontal="right" vertical="center"/>
    </xf>
    <xf numFmtId="43" fontId="11" fillId="13" borderId="142" xfId="0" applyNumberFormat="1" applyFont="1" applyFill="1" applyBorder="1" applyAlignment="1" applyProtection="1">
      <alignment horizontal="right"/>
    </xf>
    <xf numFmtId="43" fontId="11" fillId="13" borderId="0" xfId="0" applyNumberFormat="1" applyFont="1" applyFill="1" applyBorder="1" applyAlignment="1" applyProtection="1">
      <alignment horizontal="right"/>
    </xf>
    <xf numFmtId="168" fontId="11" fillId="13" borderId="155" xfId="0" applyNumberFormat="1" applyFont="1" applyFill="1" applyBorder="1" applyAlignment="1" applyProtection="1">
      <alignment horizontal="center"/>
    </xf>
    <xf numFmtId="43" fontId="11" fillId="13" borderId="153" xfId="0" applyNumberFormat="1" applyFont="1" applyFill="1" applyBorder="1" applyAlignment="1" applyProtection="1"/>
    <xf numFmtId="43" fontId="11" fillId="13" borderId="155" xfId="0" applyNumberFormat="1" applyFont="1" applyFill="1" applyBorder="1" applyAlignment="1" applyProtection="1"/>
    <xf numFmtId="43" fontId="11" fillId="13" borderId="144" xfId="0" applyNumberFormat="1" applyFont="1" applyFill="1" applyBorder="1" applyAlignment="1" applyProtection="1"/>
    <xf numFmtId="43" fontId="11" fillId="13" borderId="136" xfId="0" applyNumberFormat="1" applyFont="1" applyFill="1" applyBorder="1" applyAlignment="1" applyProtection="1"/>
    <xf numFmtId="0" fontId="12" fillId="13" borderId="119" xfId="0" applyNumberFormat="1" applyFont="1" applyFill="1" applyBorder="1" applyAlignment="1" applyProtection="1">
      <alignment horizontal="left" vertical="center"/>
    </xf>
    <xf numFmtId="43" fontId="11" fillId="0" borderId="153" xfId="0" applyNumberFormat="1" applyFont="1" applyFill="1" applyBorder="1" applyAlignment="1" applyProtection="1"/>
    <xf numFmtId="0" fontId="11" fillId="0" borderId="119" xfId="0" applyNumberFormat="1" applyFont="1" applyFill="1" applyBorder="1" applyAlignment="1" applyProtection="1"/>
    <xf numFmtId="43" fontId="11" fillId="14" borderId="142" xfId="0" applyNumberFormat="1" applyFont="1" applyFill="1" applyBorder="1" applyAlignment="1" applyProtection="1"/>
    <xf numFmtId="43" fontId="11" fillId="14" borderId="143" xfId="0" applyNumberFormat="1" applyFont="1" applyFill="1" applyBorder="1" applyAlignment="1" applyProtection="1"/>
    <xf numFmtId="43" fontId="11" fillId="14" borderId="155" xfId="0" applyNumberFormat="1" applyFont="1" applyFill="1" applyBorder="1" applyAlignment="1" applyProtection="1"/>
    <xf numFmtId="43" fontId="11" fillId="14" borderId="153" xfId="0" applyNumberFormat="1" applyFont="1" applyFill="1" applyBorder="1" applyAlignment="1" applyProtection="1"/>
    <xf numFmtId="43" fontId="11" fillId="14" borderId="0" xfId="0" applyNumberFormat="1" applyFont="1" applyFill="1" applyBorder="1" applyAlignment="1" applyProtection="1"/>
    <xf numFmtId="168" fontId="11" fillId="14" borderId="136" xfId="0" applyNumberFormat="1" applyFont="1" applyFill="1" applyBorder="1" applyAlignment="1" applyProtection="1">
      <alignment horizontal="center"/>
    </xf>
    <xf numFmtId="43" fontId="11" fillId="14" borderId="136" xfId="0" applyNumberFormat="1" applyFont="1" applyFill="1" applyBorder="1" applyAlignment="1" applyProtection="1"/>
    <xf numFmtId="168" fontId="11" fillId="14" borderId="136" xfId="0" applyNumberFormat="1" applyFont="1" applyFill="1" applyBorder="1" applyAlignment="1" applyProtection="1"/>
    <xf numFmtId="0" fontId="11" fillId="0" borderId="0" xfId="0" applyNumberFormat="1" applyFont="1" applyFill="1" applyBorder="1" applyAlignment="1" applyProtection="1">
      <alignment horizontal="center"/>
    </xf>
    <xf numFmtId="0" fontId="11" fillId="0" borderId="0" xfId="0" quotePrefix="1" applyNumberFormat="1" applyFont="1" applyFill="1" applyBorder="1" applyAlignment="1" applyProtection="1">
      <alignment horizontal="center"/>
    </xf>
    <xf numFmtId="43" fontId="11" fillId="11" borderId="0" xfId="0" applyNumberFormat="1" applyFont="1" applyFill="1" applyBorder="1" applyAlignment="1" applyProtection="1">
      <alignment horizontal="center" vertical="center"/>
    </xf>
    <xf numFmtId="43" fontId="11" fillId="0" borderId="144" xfId="0" applyNumberFormat="1" applyFont="1" applyFill="1" applyBorder="1" applyAlignment="1" applyProtection="1">
      <alignment horizontal="right"/>
    </xf>
    <xf numFmtId="0" fontId="11" fillId="0" borderId="119" xfId="0" applyNumberFormat="1" applyFont="1" applyFill="1" applyBorder="1" applyAlignment="1" applyProtection="1">
      <alignment horizontal="center"/>
    </xf>
    <xf numFmtId="43" fontId="11" fillId="14" borderId="144" xfId="0" applyNumberFormat="1" applyFont="1" applyFill="1" applyBorder="1" applyAlignment="1" applyProtection="1"/>
    <xf numFmtId="0" fontId="12" fillId="0" borderId="146" xfId="0" applyNumberFormat="1" applyFont="1" applyFill="1" applyBorder="1" applyAlignment="1" applyProtection="1">
      <alignment horizontal="center"/>
    </xf>
    <xf numFmtId="0" fontId="11" fillId="0" borderId="146" xfId="0" applyNumberFormat="1" applyFont="1" applyFill="1" applyBorder="1" applyAlignment="1" applyProtection="1"/>
    <xf numFmtId="43" fontId="11" fillId="0" borderId="146" xfId="0" applyNumberFormat="1" applyFont="1" applyFill="1" applyBorder="1" applyAlignment="1" applyProtection="1"/>
    <xf numFmtId="43" fontId="11" fillId="0" borderId="141" xfId="0" applyNumberFormat="1" applyFont="1" applyFill="1" applyBorder="1" applyAlignment="1" applyProtection="1"/>
    <xf numFmtId="168" fontId="11" fillId="13" borderId="146" xfId="0" applyNumberFormat="1" applyFont="1" applyFill="1" applyBorder="1" applyAlignment="1" applyProtection="1">
      <alignment horizontal="center"/>
    </xf>
    <xf numFmtId="43" fontId="11" fillId="0" borderId="152" xfId="0" applyNumberFormat="1" applyFont="1" applyFill="1" applyBorder="1" applyAlignment="1" applyProtection="1"/>
    <xf numFmtId="168" fontId="11" fillId="13" borderId="146" xfId="0" applyNumberFormat="1" applyFont="1" applyFill="1" applyBorder="1" applyAlignment="1" applyProtection="1"/>
    <xf numFmtId="0" fontId="5" fillId="11" borderId="0" xfId="0" applyNumberFormat="1" applyFont="1" applyFill="1" applyBorder="1" applyAlignment="1" applyProtection="1"/>
    <xf numFmtId="0" fontId="10" fillId="11" borderId="0" xfId="0" applyNumberFormat="1" applyFont="1" applyFill="1" applyBorder="1" applyAlignment="1" applyProtection="1"/>
    <xf numFmtId="3" fontId="11" fillId="0" borderId="136" xfId="0" applyNumberFormat="1" applyFont="1" applyFill="1" applyBorder="1" applyAlignment="1" applyProtection="1">
      <alignment horizontal="center"/>
    </xf>
    <xf numFmtId="3" fontId="11" fillId="0" borderId="155" xfId="0" applyNumberFormat="1" applyFont="1" applyFill="1" applyBorder="1" applyAlignment="1" applyProtection="1">
      <alignment horizontal="center"/>
    </xf>
    <xf numFmtId="0" fontId="11" fillId="0" borderId="136" xfId="0" applyNumberFormat="1" applyFont="1" applyFill="1" applyBorder="1" applyAlignment="1" applyProtection="1">
      <alignment horizontal="center"/>
    </xf>
    <xf numFmtId="4" fontId="11" fillId="0" borderId="142" xfId="0" applyNumberFormat="1" applyFont="1" applyFill="1" applyBorder="1" applyAlignment="1" applyProtection="1"/>
    <xf numFmtId="4" fontId="11" fillId="0" borderId="0" xfId="0" applyNumberFormat="1" applyFont="1" applyFill="1" applyBorder="1" applyAlignment="1" applyProtection="1"/>
    <xf numFmtId="4" fontId="11" fillId="0" borderId="153" xfId="0" applyNumberFormat="1" applyFont="1" applyFill="1" applyBorder="1" applyAlignment="1" applyProtection="1"/>
    <xf numFmtId="4" fontId="11" fillId="0" borderId="155" xfId="0" applyNumberFormat="1" applyFont="1" applyFill="1" applyBorder="1" applyAlignment="1" applyProtection="1"/>
    <xf numFmtId="4" fontId="11" fillId="0" borderId="136" xfId="0" applyNumberFormat="1" applyFont="1" applyFill="1" applyBorder="1" applyAlignment="1" applyProtection="1"/>
    <xf numFmtId="0" fontId="12" fillId="0" borderId="159" xfId="0" applyNumberFormat="1" applyFont="1" applyFill="1" applyBorder="1" applyAlignment="1" applyProtection="1">
      <alignment horizontal="center"/>
    </xf>
    <xf numFmtId="3" fontId="11" fillId="0" borderId="159" xfId="0" applyNumberFormat="1" applyFont="1" applyFill="1" applyBorder="1" applyAlignment="1" applyProtection="1">
      <alignment horizontal="center"/>
    </xf>
    <xf numFmtId="4" fontId="11" fillId="0" borderId="159" xfId="0" applyNumberFormat="1" applyFont="1" applyFill="1" applyBorder="1" applyAlignment="1" applyProtection="1"/>
    <xf numFmtId="0" fontId="11" fillId="0" borderId="159" xfId="0" applyNumberFormat="1" applyFont="1" applyFill="1" applyBorder="1" applyAlignment="1" applyProtection="1"/>
    <xf numFmtId="3" fontId="11" fillId="0" borderId="136" xfId="0" applyNumberFormat="1" applyFont="1" applyFill="1" applyBorder="1" applyAlignment="1" applyProtection="1"/>
    <xf numFmtId="0" fontId="11" fillId="0" borderId="122" xfId="0" applyNumberFormat="1" applyFont="1" applyFill="1" applyBorder="1" applyAlignment="1" applyProtection="1">
      <alignment horizontal="center"/>
    </xf>
    <xf numFmtId="3" fontId="11" fillId="0" borderId="122" xfId="0" applyNumberFormat="1" applyFont="1" applyFill="1" applyBorder="1" applyAlignment="1" applyProtection="1">
      <alignment horizontal="center"/>
    </xf>
    <xf numFmtId="4" fontId="11" fillId="0" borderId="160" xfId="0" applyNumberFormat="1" applyFont="1" applyFill="1" applyBorder="1" applyAlignment="1" applyProtection="1"/>
    <xf numFmtId="3" fontId="11" fillId="0" borderId="160" xfId="0" applyNumberFormat="1" applyFont="1" applyFill="1" applyBorder="1" applyAlignment="1" applyProtection="1">
      <alignment horizontal="center"/>
    </xf>
    <xf numFmtId="3" fontId="11" fillId="16" borderId="160" xfId="0" applyNumberFormat="1" applyFont="1" applyFill="1" applyBorder="1" applyAlignment="1" applyProtection="1">
      <alignment horizontal="center"/>
    </xf>
    <xf numFmtId="4" fontId="11" fillId="0" borderId="123" xfId="0" applyNumberFormat="1" applyFont="1" applyFill="1" applyBorder="1" applyAlignment="1" applyProtection="1"/>
    <xf numFmtId="3" fontId="11" fillId="0" borderId="142" xfId="0" applyNumberFormat="1" applyFont="1" applyFill="1" applyBorder="1" applyAlignment="1" applyProtection="1"/>
    <xf numFmtId="3" fontId="11" fillId="0" borderId="0" xfId="0" applyNumberFormat="1" applyFont="1" applyFill="1" applyBorder="1" applyAlignment="1" applyProtection="1"/>
    <xf numFmtId="3" fontId="11" fillId="0" borderId="153" xfId="0" applyNumberFormat="1" applyFont="1" applyFill="1" applyBorder="1" applyAlignment="1" applyProtection="1"/>
    <xf numFmtId="3" fontId="11" fillId="0" borderId="155" xfId="0" applyNumberFormat="1" applyFont="1" applyFill="1" applyBorder="1" applyAlignment="1" applyProtection="1"/>
    <xf numFmtId="0" fontId="11" fillId="0" borderId="122" xfId="0" applyNumberFormat="1" applyFont="1" applyFill="1" applyBorder="1" applyAlignment="1" applyProtection="1"/>
    <xf numFmtId="3" fontId="11" fillId="0" borderId="160" xfId="0" applyNumberFormat="1" applyFont="1" applyFill="1" applyBorder="1" applyAlignment="1" applyProtection="1"/>
    <xf numFmtId="3" fontId="11" fillId="0" borderId="121" xfId="0" applyNumberFormat="1" applyFont="1" applyFill="1" applyBorder="1" applyAlignment="1" applyProtection="1"/>
    <xf numFmtId="3" fontId="11" fillId="0" borderId="138" xfId="0" applyNumberFormat="1" applyFont="1" applyFill="1" applyBorder="1" applyAlignment="1" applyProtection="1"/>
    <xf numFmtId="3" fontId="11" fillId="0" borderId="123" xfId="0" applyNumberFormat="1" applyFont="1" applyFill="1" applyBorder="1" applyAlignment="1" applyProtection="1"/>
    <xf numFmtId="0" fontId="11" fillId="0" borderId="160" xfId="0" applyNumberFormat="1" applyFont="1" applyFill="1" applyBorder="1" applyAlignment="1" applyProtection="1"/>
    <xf numFmtId="4" fontId="11" fillId="0" borderId="121" xfId="0" applyNumberFormat="1" applyFont="1" applyFill="1" applyBorder="1" applyAlignment="1" applyProtection="1"/>
    <xf numFmtId="4" fontId="11" fillId="0" borderId="138" xfId="0" applyNumberFormat="1" applyFont="1" applyFill="1" applyBorder="1" applyAlignment="1" applyProtection="1"/>
    <xf numFmtId="0" fontId="11" fillId="0" borderId="123" xfId="0" applyNumberFormat="1" applyFont="1" applyFill="1" applyBorder="1" applyAlignment="1" applyProtection="1"/>
    <xf numFmtId="3" fontId="11" fillId="0" borderId="122" xfId="0" applyNumberFormat="1" applyFont="1" applyFill="1" applyBorder="1" applyAlignment="1" applyProtection="1"/>
    <xf numFmtId="0" fontId="12" fillId="9" borderId="161" xfId="0" applyNumberFormat="1" applyFont="1" applyFill="1" applyBorder="1" applyAlignment="1" applyProtection="1">
      <alignment horizontal="center" vertical="center"/>
    </xf>
    <xf numFmtId="0" fontId="12" fillId="9" borderId="161" xfId="0" applyNumberFormat="1" applyFont="1" applyFill="1" applyBorder="1" applyAlignment="1" applyProtection="1">
      <alignment horizontal="center" vertical="center" wrapText="1"/>
    </xf>
    <xf numFmtId="0" fontId="12" fillId="9" borderId="168" xfId="0" applyNumberFormat="1" applyFont="1" applyFill="1" applyBorder="1" applyAlignment="1" applyProtection="1">
      <alignment horizontal="center" vertical="center" wrapText="1"/>
    </xf>
    <xf numFmtId="0" fontId="12" fillId="9" borderId="169" xfId="0" applyNumberFormat="1" applyFont="1" applyFill="1" applyBorder="1" applyAlignment="1" applyProtection="1">
      <alignment horizontal="center" vertical="center" wrapText="1"/>
    </xf>
    <xf numFmtId="0" fontId="12" fillId="9" borderId="170" xfId="0" applyNumberFormat="1" applyFont="1" applyFill="1" applyBorder="1" applyAlignment="1" applyProtection="1">
      <alignment horizontal="center" vertical="center" wrapText="1"/>
    </xf>
    <xf numFmtId="0" fontId="11" fillId="0" borderId="171" xfId="0" applyNumberFormat="1" applyFont="1" applyFill="1" applyBorder="1" applyAlignment="1" applyProtection="1">
      <alignment horizontal="left" vertical="center"/>
    </xf>
    <xf numFmtId="0" fontId="12" fillId="0" borderId="172" xfId="0" applyNumberFormat="1" applyFont="1" applyFill="1" applyBorder="1" applyAlignment="1" applyProtection="1">
      <alignment vertical="center"/>
    </xf>
    <xf numFmtId="0" fontId="12" fillId="0" borderId="173" xfId="0" applyNumberFormat="1" applyFont="1" applyFill="1" applyBorder="1" applyAlignment="1" applyProtection="1">
      <alignment vertical="center"/>
    </xf>
    <xf numFmtId="0" fontId="12" fillId="0" borderId="174" xfId="0" applyNumberFormat="1" applyFont="1" applyFill="1" applyBorder="1" applyAlignment="1" applyProtection="1">
      <alignment vertical="center"/>
    </xf>
    <xf numFmtId="0" fontId="12" fillId="0" borderId="175" xfId="0" applyNumberFormat="1" applyFont="1" applyFill="1" applyBorder="1" applyAlignment="1" applyProtection="1">
      <alignment vertical="center"/>
    </xf>
    <xf numFmtId="0" fontId="11" fillId="0" borderId="176" xfId="0" applyNumberFormat="1" applyFont="1" applyFill="1" applyBorder="1" applyAlignment="1" applyProtection="1">
      <alignment horizontal="left" vertical="center"/>
    </xf>
    <xf numFmtId="0" fontId="12" fillId="10" borderId="166" xfId="0" applyNumberFormat="1" applyFont="1" applyFill="1" applyBorder="1" applyAlignment="1" applyProtection="1">
      <alignment horizontal="center" vertical="center"/>
    </xf>
    <xf numFmtId="0" fontId="12" fillId="10" borderId="167" xfId="0" applyNumberFormat="1" applyFont="1" applyFill="1" applyBorder="1" applyAlignment="1" applyProtection="1">
      <alignment vertical="center"/>
    </xf>
    <xf numFmtId="0" fontId="12" fillId="10" borderId="177" xfId="0" applyNumberFormat="1" applyFont="1" applyFill="1" applyBorder="1" applyAlignment="1" applyProtection="1">
      <alignment vertical="center"/>
    </xf>
    <xf numFmtId="0" fontId="12" fillId="10" borderId="178" xfId="0" applyNumberFormat="1" applyFont="1" applyFill="1" applyBorder="1" applyAlignment="1" applyProtection="1">
      <alignment vertical="center"/>
    </xf>
    <xf numFmtId="0" fontId="12" fillId="11" borderId="0" xfId="0" applyNumberFormat="1" applyFont="1" applyFill="1" applyBorder="1" applyAlignment="1" applyProtection="1">
      <alignment horizontal="center" vertical="center"/>
    </xf>
    <xf numFmtId="169" fontId="12" fillId="0" borderId="172" xfId="0" applyNumberFormat="1" applyFont="1" applyFill="1" applyBorder="1" applyAlignment="1" applyProtection="1">
      <alignment vertical="center"/>
    </xf>
    <xf numFmtId="164" fontId="12" fillId="0" borderId="175" xfId="0" applyNumberFormat="1" applyFont="1" applyFill="1" applyBorder="1" applyAlignment="1" applyProtection="1">
      <alignment vertical="center"/>
    </xf>
    <xf numFmtId="164" fontId="12" fillId="0" borderId="174" xfId="0" applyNumberFormat="1" applyFont="1" applyFill="1" applyBorder="1" applyAlignment="1" applyProtection="1">
      <alignment vertical="center"/>
    </xf>
    <xf numFmtId="164" fontId="12" fillId="0" borderId="173" xfId="0" applyNumberFormat="1" applyFont="1" applyFill="1" applyBorder="1" applyAlignment="1" applyProtection="1">
      <alignment vertical="center"/>
    </xf>
    <xf numFmtId="164" fontId="12" fillId="0" borderId="172" xfId="0" applyNumberFormat="1" applyFont="1" applyFill="1" applyBorder="1" applyAlignment="1" applyProtection="1">
      <alignment vertical="center"/>
    </xf>
    <xf numFmtId="164" fontId="12" fillId="10" borderId="167"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3" fontId="12" fillId="0" borderId="173" xfId="0" applyNumberFormat="1" applyFont="1" applyFill="1" applyBorder="1" applyAlignment="1" applyProtection="1">
      <alignment vertical="center"/>
    </xf>
    <xf numFmtId="3" fontId="12" fillId="0" borderId="175" xfId="0" applyNumberFormat="1" applyFont="1" applyFill="1" applyBorder="1" applyAlignment="1" applyProtection="1">
      <alignment vertical="center"/>
    </xf>
    <xf numFmtId="3" fontId="12" fillId="10" borderId="167"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xf numFmtId="49" fontId="16" fillId="0" borderId="0" xfId="0" applyNumberFormat="1" applyFont="1" applyFill="1" applyBorder="1" applyAlignment="1" applyProtection="1">
      <alignment vertical="center"/>
    </xf>
    <xf numFmtId="0" fontId="14" fillId="17" borderId="179" xfId="0" applyNumberFormat="1" applyFont="1" applyFill="1" applyBorder="1" applyAlignment="1" applyProtection="1">
      <alignment horizontal="center" vertical="center"/>
    </xf>
    <xf numFmtId="0" fontId="14" fillId="17" borderId="179" xfId="0" applyNumberFormat="1" applyFont="1" applyFill="1" applyBorder="1" applyAlignment="1" applyProtection="1">
      <alignment horizontal="center" vertical="center" wrapText="1"/>
    </xf>
    <xf numFmtId="0" fontId="14" fillId="17" borderId="185" xfId="0" applyNumberFormat="1" applyFont="1" applyFill="1" applyBorder="1" applyAlignment="1" applyProtection="1">
      <alignment horizontal="center" vertical="center" wrapText="1"/>
    </xf>
    <xf numFmtId="0" fontId="14" fillId="17" borderId="186" xfId="0" applyNumberFormat="1" applyFont="1" applyFill="1" applyBorder="1" applyAlignment="1" applyProtection="1">
      <alignment horizontal="center" vertical="center" wrapText="1"/>
    </xf>
    <xf numFmtId="0" fontId="14" fillId="17" borderId="187" xfId="0" applyNumberFormat="1" applyFont="1" applyFill="1" applyBorder="1" applyAlignment="1" applyProtection="1">
      <alignment horizontal="center" vertical="center" wrapText="1"/>
    </xf>
    <xf numFmtId="0" fontId="16" fillId="0" borderId="188" xfId="0" applyNumberFormat="1" applyFont="1" applyFill="1" applyBorder="1" applyAlignment="1" applyProtection="1">
      <alignment horizontal="left" vertical="center"/>
    </xf>
    <xf numFmtId="0" fontId="12" fillId="0" borderId="189" xfId="0" applyNumberFormat="1" applyFont="1" applyFill="1" applyBorder="1" applyAlignment="1" applyProtection="1">
      <alignment horizontal="right"/>
    </xf>
    <xf numFmtId="4" fontId="12" fillId="0" borderId="189" xfId="0" applyNumberFormat="1" applyFont="1" applyFill="1" applyBorder="1" applyAlignment="1" applyProtection="1">
      <alignment horizontal="right"/>
    </xf>
    <xf numFmtId="0" fontId="12" fillId="0" borderId="189" xfId="0" applyNumberFormat="1" applyFont="1" applyFill="1" applyBorder="1" applyAlignment="1" applyProtection="1"/>
    <xf numFmtId="0" fontId="16" fillId="0" borderId="190" xfId="0" applyNumberFormat="1" applyFont="1" applyFill="1" applyBorder="1" applyAlignment="1" applyProtection="1">
      <alignment horizontal="left" vertical="center"/>
    </xf>
    <xf numFmtId="0" fontId="12" fillId="10" borderId="183" xfId="0" applyNumberFormat="1" applyFont="1" applyFill="1" applyBorder="1" applyAlignment="1" applyProtection="1">
      <alignment horizontal="center" vertical="center"/>
    </xf>
    <xf numFmtId="0" fontId="12" fillId="10" borderId="184" xfId="0" applyNumberFormat="1" applyFont="1" applyFill="1" applyBorder="1" applyAlignment="1" applyProtection="1">
      <alignment vertical="center"/>
    </xf>
    <xf numFmtId="0" fontId="12" fillId="10" borderId="191" xfId="0" applyNumberFormat="1" applyFont="1" applyFill="1" applyBorder="1" applyAlignment="1" applyProtection="1">
      <alignment vertical="center"/>
    </xf>
    <xf numFmtId="0" fontId="12" fillId="10" borderId="192" xfId="0" applyNumberFormat="1" applyFont="1" applyFill="1" applyBorder="1" applyAlignment="1" applyProtection="1">
      <alignment vertical="center"/>
    </xf>
    <xf numFmtId="4" fontId="12" fillId="0" borderId="173" xfId="0" applyNumberFormat="1" applyFont="1" applyFill="1" applyBorder="1" applyAlignment="1" applyProtection="1">
      <alignment vertical="center"/>
    </xf>
    <xf numFmtId="4" fontId="12" fillId="0" borderId="175" xfId="0" applyNumberFormat="1" applyFont="1" applyFill="1" applyBorder="1" applyAlignment="1" applyProtection="1">
      <alignment vertical="center"/>
    </xf>
    <xf numFmtId="4" fontId="12" fillId="10" borderId="167" xfId="0" applyNumberFormat="1" applyFont="1" applyFill="1" applyBorder="1" applyAlignment="1" applyProtection="1">
      <alignment vertical="center"/>
    </xf>
    <xf numFmtId="0" fontId="12" fillId="9" borderId="161" xfId="0" applyNumberFormat="1" applyFont="1" applyFill="1" applyBorder="1" applyAlignment="1" applyProtection="1">
      <alignment horizontal="center" vertical="center" textRotation="90" wrapText="1"/>
    </xf>
    <xf numFmtId="0" fontId="12" fillId="9" borderId="194" xfId="0" applyNumberFormat="1" applyFont="1" applyFill="1" applyBorder="1" applyAlignment="1" applyProtection="1">
      <alignment horizontal="center" vertical="center" textRotation="90" wrapText="1"/>
    </xf>
    <xf numFmtId="0" fontId="12" fillId="9" borderId="195" xfId="0" applyNumberFormat="1" applyFont="1" applyFill="1" applyBorder="1" applyAlignment="1" applyProtection="1">
      <alignment horizontal="center" vertical="center" textRotation="90" wrapText="1"/>
    </xf>
    <xf numFmtId="0" fontId="12" fillId="9" borderId="196" xfId="0" applyNumberFormat="1" applyFont="1" applyFill="1" applyBorder="1" applyAlignment="1" applyProtection="1">
      <alignment horizontal="center" vertical="center" textRotation="90" wrapText="1"/>
    </xf>
    <xf numFmtId="0" fontId="12" fillId="9" borderId="197" xfId="0" applyNumberFormat="1" applyFont="1" applyFill="1" applyBorder="1" applyAlignment="1" applyProtection="1">
      <alignment horizontal="center" vertical="center" textRotation="90" wrapText="1"/>
    </xf>
    <xf numFmtId="0" fontId="12" fillId="9" borderId="168" xfId="0" applyNumberFormat="1" applyFont="1" applyFill="1" applyBorder="1" applyAlignment="1" applyProtection="1">
      <alignment horizontal="center" vertical="center" textRotation="90" wrapText="1"/>
    </xf>
    <xf numFmtId="0" fontId="12" fillId="9" borderId="176" xfId="0" applyNumberFormat="1" applyFont="1" applyFill="1" applyBorder="1" applyAlignment="1" applyProtection="1">
      <alignment horizontal="center" vertical="center" textRotation="90" wrapText="1"/>
    </xf>
    <xf numFmtId="0" fontId="12" fillId="9" borderId="193" xfId="0" applyNumberFormat="1" applyFont="1" applyFill="1" applyBorder="1" applyAlignment="1" applyProtection="1">
      <alignment horizontal="center"/>
    </xf>
    <xf numFmtId="0" fontId="12" fillId="9" borderId="198" xfId="0" applyNumberFormat="1" applyFont="1" applyFill="1" applyBorder="1" applyAlignment="1" applyProtection="1">
      <alignment horizontal="center"/>
    </xf>
    <xf numFmtId="0" fontId="12" fillId="9" borderId="199" xfId="0" applyNumberFormat="1" applyFont="1" applyFill="1" applyBorder="1" applyAlignment="1" applyProtection="1">
      <alignment horizontal="center"/>
    </xf>
    <xf numFmtId="0" fontId="12" fillId="9" borderId="199" xfId="0" quotePrefix="1" applyNumberFormat="1" applyFont="1" applyFill="1" applyBorder="1" applyAlignment="1" applyProtection="1">
      <alignment horizontal="center"/>
    </xf>
    <xf numFmtId="0" fontId="12" fillId="9" borderId="200" xfId="0" quotePrefix="1" applyNumberFormat="1" applyFont="1" applyFill="1" applyBorder="1" applyAlignment="1" applyProtection="1">
      <alignment horizontal="center"/>
    </xf>
    <xf numFmtId="0" fontId="12" fillId="9" borderId="201" xfId="0" quotePrefix="1" applyNumberFormat="1" applyFont="1" applyFill="1" applyBorder="1" applyAlignment="1" applyProtection="1">
      <alignment horizontal="center"/>
    </xf>
    <xf numFmtId="0" fontId="12" fillId="9" borderId="202" xfId="0" applyNumberFormat="1" applyFont="1" applyFill="1" applyBorder="1" applyAlignment="1" applyProtection="1">
      <alignment horizontal="center"/>
    </xf>
    <xf numFmtId="0" fontId="12" fillId="9" borderId="202" xfId="0" quotePrefix="1" applyNumberFormat="1" applyFont="1" applyFill="1" applyBorder="1" applyAlignment="1" applyProtection="1">
      <alignment horizontal="center"/>
    </xf>
    <xf numFmtId="0" fontId="11" fillId="0" borderId="161" xfId="0" applyNumberFormat="1" applyFont="1" applyFill="1" applyBorder="1" applyAlignment="1" applyProtection="1"/>
    <xf numFmtId="0" fontId="11" fillId="0" borderId="176" xfId="0" applyNumberFormat="1" applyFont="1" applyFill="1" applyBorder="1" applyAlignment="1" applyProtection="1"/>
    <xf numFmtId="0" fontId="11" fillId="0" borderId="194" xfId="0" applyNumberFormat="1" applyFont="1" applyFill="1" applyBorder="1" applyAlignment="1" applyProtection="1"/>
    <xf numFmtId="0" fontId="11" fillId="0" borderId="203" xfId="0" applyNumberFormat="1" applyFont="1" applyFill="1" applyBorder="1" applyAlignment="1" applyProtection="1"/>
    <xf numFmtId="0" fontId="11" fillId="0" borderId="204" xfId="0" applyNumberFormat="1" applyFont="1" applyFill="1" applyBorder="1" applyAlignment="1" applyProtection="1"/>
    <xf numFmtId="0" fontId="11" fillId="0" borderId="176" xfId="0" applyNumberFormat="1" applyFont="1" applyFill="1" applyBorder="1" applyAlignment="1" applyProtection="1">
      <alignment horizontal="center"/>
    </xf>
    <xf numFmtId="3" fontId="11" fillId="0" borderId="176" xfId="0" applyNumberFormat="1" applyFont="1" applyFill="1" applyBorder="1" applyAlignment="1" applyProtection="1"/>
    <xf numFmtId="3" fontId="11" fillId="0" borderId="194" xfId="0" applyNumberFormat="1" applyFont="1" applyFill="1" applyBorder="1" applyAlignment="1" applyProtection="1"/>
    <xf numFmtId="3" fontId="11" fillId="0" borderId="203" xfId="0" applyNumberFormat="1" applyFont="1" applyFill="1" applyBorder="1" applyAlignment="1" applyProtection="1"/>
    <xf numFmtId="3" fontId="11" fillId="0" borderId="204" xfId="0" applyNumberFormat="1" applyFont="1" applyFill="1" applyBorder="1" applyAlignment="1" applyProtection="1"/>
    <xf numFmtId="0" fontId="11" fillId="18" borderId="176" xfId="0" applyNumberFormat="1" applyFont="1" applyFill="1" applyBorder="1" applyAlignment="1" applyProtection="1">
      <alignment horizontal="center" wrapText="1"/>
    </xf>
    <xf numFmtId="0" fontId="11" fillId="18" borderId="203" xfId="0" applyNumberFormat="1" applyFont="1" applyFill="1" applyBorder="1" applyAlignment="1" applyProtection="1">
      <alignment horizontal="center"/>
    </xf>
    <xf numFmtId="3" fontId="11" fillId="18" borderId="203" xfId="0" applyNumberFormat="1" applyFont="1" applyFill="1" applyBorder="1" applyAlignment="1" applyProtection="1"/>
    <xf numFmtId="0" fontId="11" fillId="18" borderId="176" xfId="0" applyNumberFormat="1" applyFont="1" applyFill="1" applyBorder="1" applyAlignment="1" applyProtection="1">
      <alignment horizontal="center"/>
    </xf>
    <xf numFmtId="3" fontId="11" fillId="18" borderId="203" xfId="0" applyNumberFormat="1" applyFont="1" applyFill="1" applyBorder="1" applyAlignment="1" applyProtection="1">
      <alignment horizontal="center"/>
    </xf>
    <xf numFmtId="0" fontId="11" fillId="16" borderId="205" xfId="0" applyNumberFormat="1" applyFont="1" applyFill="1" applyBorder="1" applyAlignment="1" applyProtection="1">
      <alignment horizontal="center" wrapText="1"/>
    </xf>
    <xf numFmtId="0" fontId="11" fillId="16" borderId="205" xfId="0" applyNumberFormat="1" applyFont="1" applyFill="1" applyBorder="1" applyAlignment="1" applyProtection="1">
      <alignment horizontal="center"/>
    </xf>
    <xf numFmtId="3" fontId="11" fillId="16" borderId="205" xfId="0" applyNumberFormat="1" applyFont="1" applyFill="1" applyBorder="1" applyAlignment="1" applyProtection="1">
      <alignment horizontal="center"/>
    </xf>
    <xf numFmtId="0" fontId="12" fillId="18" borderId="176"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3" fontId="11" fillId="19" borderId="194" xfId="0" applyNumberFormat="1" applyFont="1" applyFill="1" applyBorder="1" applyAlignment="1" applyProtection="1"/>
    <xf numFmtId="3" fontId="11" fillId="18" borderId="176" xfId="0" applyNumberFormat="1" applyFont="1" applyFill="1" applyBorder="1" applyAlignment="1" applyProtection="1">
      <alignment horizontal="center"/>
    </xf>
    <xf numFmtId="0" fontId="12" fillId="18" borderId="176" xfId="0" applyNumberFormat="1" applyFont="1" applyFill="1" applyBorder="1" applyAlignment="1" applyProtection="1">
      <alignment horizontal="center" vertical="center" wrapText="1"/>
    </xf>
    <xf numFmtId="0" fontId="12" fillId="16" borderId="176" xfId="0" applyNumberFormat="1" applyFont="1" applyFill="1" applyBorder="1" applyAlignment="1" applyProtection="1">
      <alignment horizontal="center" vertical="center" wrapText="1"/>
    </xf>
    <xf numFmtId="0" fontId="11" fillId="16" borderId="176" xfId="0" applyNumberFormat="1" applyFont="1" applyFill="1" applyBorder="1" applyAlignment="1" applyProtection="1">
      <alignment horizontal="center"/>
    </xf>
    <xf numFmtId="3" fontId="11" fillId="16" borderId="176" xfId="0" applyNumberFormat="1" applyFont="1" applyFill="1" applyBorder="1" applyAlignment="1" applyProtection="1">
      <alignment horizontal="center"/>
    </xf>
    <xf numFmtId="0" fontId="12" fillId="18" borderId="176" xfId="0" applyNumberFormat="1" applyFont="1" applyFill="1" applyBorder="1" applyAlignment="1" applyProtection="1">
      <alignment horizontal="left" vertical="center"/>
    </xf>
    <xf numFmtId="0" fontId="12" fillId="0" borderId="176" xfId="0" applyNumberFormat="1" applyFont="1" applyFill="1" applyBorder="1" applyAlignment="1" applyProtection="1">
      <alignment horizontal="center" vertical="center"/>
    </xf>
    <xf numFmtId="0" fontId="12" fillId="16" borderId="205" xfId="0" applyNumberFormat="1" applyFont="1" applyFill="1" applyBorder="1" applyAlignment="1" applyProtection="1">
      <alignment horizontal="center" vertical="center" wrapText="1"/>
    </xf>
    <xf numFmtId="0" fontId="11" fillId="0" borderId="193" xfId="0" applyNumberFormat="1" applyFont="1" applyFill="1" applyBorder="1" applyAlignment="1" applyProtection="1"/>
    <xf numFmtId="0" fontId="11" fillId="0" borderId="206" xfId="0" applyNumberFormat="1" applyFont="1" applyFill="1" applyBorder="1" applyAlignment="1" applyProtection="1"/>
    <xf numFmtId="0" fontId="11" fillId="0" borderId="207" xfId="0" applyNumberFormat="1" applyFont="1" applyFill="1" applyBorder="1" applyAlignment="1" applyProtection="1"/>
    <xf numFmtId="0" fontId="11" fillId="0" borderId="208" xfId="0" applyNumberFormat="1" applyFont="1" applyFill="1" applyBorder="1" applyAlignment="1" applyProtection="1"/>
    <xf numFmtId="0" fontId="11" fillId="0" borderId="209" xfId="0" applyNumberFormat="1" applyFont="1" applyFill="1" applyBorder="1" applyAlignment="1" applyProtection="1"/>
    <xf numFmtId="0" fontId="11" fillId="0" borderId="210" xfId="0" applyNumberFormat="1" applyFont="1" applyFill="1" applyBorder="1" applyAlignment="1" applyProtection="1"/>
    <xf numFmtId="0" fontId="12" fillId="0" borderId="193" xfId="0" applyNumberFormat="1" applyFont="1" applyFill="1" applyBorder="1" applyAlignment="1" applyProtection="1">
      <alignment horizontal="center"/>
    </xf>
    <xf numFmtId="0" fontId="11" fillId="0" borderId="211" xfId="0" applyNumberFormat="1" applyFont="1" applyFill="1" applyBorder="1" applyAlignment="1" applyProtection="1"/>
    <xf numFmtId="0" fontId="11"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xf>
    <xf numFmtId="4" fontId="11" fillId="11" borderId="0" xfId="0" applyNumberFormat="1" applyFont="1" applyFill="1" applyBorder="1" applyAlignment="1" applyProtection="1"/>
    <xf numFmtId="4" fontId="12" fillId="11" borderId="0" xfId="0" applyNumberFormat="1" applyFont="1" applyFill="1" applyBorder="1" applyAlignment="1" applyProtection="1"/>
    <xf numFmtId="4" fontId="12" fillId="9" borderId="168" xfId="0" applyNumberFormat="1" applyFont="1" applyFill="1" applyBorder="1" applyAlignment="1" applyProtection="1">
      <alignment horizontal="center" vertical="center" textRotation="90" wrapText="1"/>
    </xf>
    <xf numFmtId="4" fontId="12" fillId="9" borderId="202" xfId="0" quotePrefix="1" applyNumberFormat="1" applyFont="1" applyFill="1" applyBorder="1" applyAlignment="1" applyProtection="1">
      <alignment horizontal="center"/>
    </xf>
    <xf numFmtId="0" fontId="12" fillId="9" borderId="204" xfId="0" applyNumberFormat="1" applyFont="1" applyFill="1" applyBorder="1" applyAlignment="1" applyProtection="1">
      <alignment horizontal="center"/>
    </xf>
    <xf numFmtId="0" fontId="12" fillId="9" borderId="176" xfId="0" applyNumberFormat="1" applyFont="1" applyFill="1" applyBorder="1" applyAlignment="1" applyProtection="1">
      <alignment horizontal="center"/>
    </xf>
    <xf numFmtId="49" fontId="8" fillId="11" borderId="212" xfId="0" applyNumberFormat="1" applyFont="1" applyFill="1" applyBorder="1" applyAlignment="1" applyProtection="1">
      <alignment horizontal="center" vertical="center"/>
    </xf>
    <xf numFmtId="3" fontId="8" fillId="11" borderId="212" xfId="0" applyNumberFormat="1" applyFont="1" applyFill="1" applyBorder="1" applyAlignment="1" applyProtection="1">
      <alignment vertical="center"/>
    </xf>
    <xf numFmtId="3" fontId="8" fillId="11" borderId="213" xfId="0" applyNumberFormat="1" applyFont="1" applyFill="1" applyBorder="1" applyAlignment="1" applyProtection="1">
      <alignment vertical="center"/>
    </xf>
    <xf numFmtId="0" fontId="12" fillId="11" borderId="213" xfId="0" applyNumberFormat="1" applyFont="1" applyFill="1" applyBorder="1" applyAlignment="1" applyProtection="1"/>
    <xf numFmtId="3" fontId="12" fillId="11" borderId="213" xfId="0" applyNumberFormat="1" applyFont="1" applyFill="1" applyBorder="1" applyAlignment="1" applyProtection="1"/>
    <xf numFmtId="4" fontId="12" fillId="11" borderId="213" xfId="0" applyNumberFormat="1" applyFont="1" applyFill="1" applyBorder="1" applyAlignment="1" applyProtection="1"/>
    <xf numFmtId="3" fontId="8" fillId="11" borderId="170" xfId="0" applyNumberFormat="1" applyFont="1" applyFill="1" applyBorder="1" applyAlignment="1" applyProtection="1">
      <alignment vertical="center"/>
    </xf>
    <xf numFmtId="4" fontId="8" fillId="11" borderId="214" xfId="0" applyNumberFormat="1" applyFont="1" applyFill="1" applyBorder="1" applyAlignment="1" applyProtection="1">
      <alignment vertical="center"/>
    </xf>
    <xf numFmtId="4" fontId="12" fillId="0" borderId="205" xfId="0" applyNumberFormat="1" applyFont="1" applyFill="1" applyBorder="1" applyAlignment="1" applyProtection="1"/>
    <xf numFmtId="3" fontId="12" fillId="0" borderId="205" xfId="0" applyNumberFormat="1" applyFont="1" applyFill="1" applyBorder="1" applyAlignment="1" applyProtection="1"/>
    <xf numFmtId="0" fontId="12" fillId="0" borderId="205" xfId="0" applyNumberFormat="1" applyFont="1" applyFill="1" applyBorder="1" applyAlignment="1" applyProtection="1"/>
    <xf numFmtId="49" fontId="8" fillId="11" borderId="174" xfId="0" applyNumberFormat="1" applyFont="1" applyFill="1" applyBorder="1" applyAlignment="1" applyProtection="1">
      <alignment horizontal="center" vertical="center"/>
    </xf>
    <xf numFmtId="3" fontId="8" fillId="11" borderId="174" xfId="0" applyNumberFormat="1" applyFont="1" applyFill="1" applyBorder="1" applyAlignment="1" applyProtection="1">
      <alignment vertical="center"/>
    </xf>
    <xf numFmtId="3" fontId="8" fillId="11" borderId="205" xfId="0" applyNumberFormat="1" applyFont="1" applyFill="1" applyBorder="1" applyAlignment="1" applyProtection="1">
      <alignment vertical="center"/>
    </xf>
    <xf numFmtId="3" fontId="8" fillId="11" borderId="175" xfId="0" applyNumberFormat="1" applyFont="1" applyFill="1" applyBorder="1" applyAlignment="1" applyProtection="1">
      <alignment vertical="center"/>
    </xf>
    <xf numFmtId="4" fontId="8" fillId="11" borderId="215" xfId="0" applyNumberFormat="1" applyFont="1" applyFill="1" applyBorder="1" applyAlignment="1" applyProtection="1">
      <alignment vertical="center"/>
    </xf>
    <xf numFmtId="49" fontId="4" fillId="11" borderId="174" xfId="0" applyNumberFormat="1" applyFont="1" applyFill="1" applyBorder="1" applyAlignment="1" applyProtection="1">
      <alignment horizontal="center" vertical="center"/>
    </xf>
    <xf numFmtId="3" fontId="4" fillId="11" borderId="205" xfId="0" applyNumberFormat="1" applyFont="1" applyFill="1" applyBorder="1" applyAlignment="1" applyProtection="1">
      <alignment vertical="center"/>
    </xf>
    <xf numFmtId="0" fontId="11" fillId="11" borderId="205" xfId="0" applyNumberFormat="1" applyFont="1" applyFill="1" applyBorder="1" applyAlignment="1" applyProtection="1"/>
    <xf numFmtId="4" fontId="11" fillId="11" borderId="205" xfId="0" applyNumberFormat="1" applyFont="1" applyFill="1" applyBorder="1" applyAlignment="1" applyProtection="1"/>
    <xf numFmtId="3" fontId="4" fillId="11" borderId="174" xfId="0" applyNumberFormat="1" applyFont="1" applyFill="1" applyBorder="1" applyAlignment="1" applyProtection="1">
      <alignment vertical="center"/>
    </xf>
    <xf numFmtId="4" fontId="4" fillId="11" borderId="215" xfId="0" applyNumberFormat="1" applyFont="1" applyFill="1" applyBorder="1" applyAlignment="1" applyProtection="1">
      <alignment vertical="center"/>
    </xf>
    <xf numFmtId="0" fontId="11" fillId="0" borderId="205" xfId="0" applyNumberFormat="1" applyFont="1" applyFill="1" applyBorder="1" applyAlignment="1" applyProtection="1"/>
    <xf numFmtId="4" fontId="8" fillId="11" borderId="205" xfId="0" applyNumberFormat="1" applyFont="1" applyFill="1" applyBorder="1" applyAlignment="1" applyProtection="1">
      <alignment vertical="center"/>
    </xf>
    <xf numFmtId="49" fontId="8" fillId="11" borderId="205" xfId="0" applyNumberFormat="1" applyFont="1" applyFill="1" applyBorder="1" applyAlignment="1" applyProtection="1">
      <alignment horizontal="center" vertical="center"/>
    </xf>
    <xf numFmtId="49" fontId="8" fillId="20" borderId="174" xfId="0" applyNumberFormat="1" applyFont="1" applyFill="1" applyBorder="1" applyAlignment="1" applyProtection="1">
      <alignment horizontal="center" vertical="center" wrapText="1"/>
    </xf>
    <xf numFmtId="3" fontId="8" fillId="20" borderId="174" xfId="0" applyNumberFormat="1" applyFont="1" applyFill="1" applyBorder="1" applyAlignment="1" applyProtection="1">
      <alignment vertical="center"/>
    </xf>
    <xf numFmtId="3" fontId="8" fillId="20" borderId="205" xfId="0" applyNumberFormat="1" applyFont="1" applyFill="1" applyBorder="1" applyAlignment="1" applyProtection="1">
      <alignment vertical="center"/>
    </xf>
    <xf numFmtId="0" fontId="12" fillId="20" borderId="205" xfId="0" applyNumberFormat="1" applyFont="1" applyFill="1" applyBorder="1" applyAlignment="1" applyProtection="1"/>
    <xf numFmtId="3" fontId="12" fillId="20" borderId="205" xfId="0" applyNumberFormat="1" applyFont="1" applyFill="1" applyBorder="1" applyAlignment="1" applyProtection="1"/>
    <xf numFmtId="4" fontId="12" fillId="20" borderId="205" xfId="0" applyNumberFormat="1" applyFont="1" applyFill="1" applyBorder="1" applyAlignment="1" applyProtection="1"/>
    <xf numFmtId="3" fontId="8" fillId="20" borderId="175" xfId="0" applyNumberFormat="1" applyFont="1" applyFill="1" applyBorder="1" applyAlignment="1" applyProtection="1">
      <alignment vertical="center"/>
    </xf>
    <xf numFmtId="4" fontId="8" fillId="20" borderId="215" xfId="0" applyNumberFormat="1" applyFont="1" applyFill="1" applyBorder="1" applyAlignment="1" applyProtection="1">
      <alignment vertical="center"/>
    </xf>
    <xf numFmtId="49" fontId="8" fillId="11" borderId="174" xfId="0" applyNumberFormat="1" applyFont="1" applyFill="1" applyBorder="1" applyAlignment="1" applyProtection="1">
      <alignment horizontal="center" vertical="center" wrapText="1"/>
    </xf>
    <xf numFmtId="0" fontId="11" fillId="11" borderId="174" xfId="0" applyNumberFormat="1" applyFont="1" applyFill="1" applyBorder="1" applyAlignment="1" applyProtection="1">
      <alignment horizontal="center" vertical="center"/>
    </xf>
    <xf numFmtId="49" fontId="4" fillId="11" borderId="216" xfId="0" applyNumberFormat="1" applyFont="1" applyFill="1" applyBorder="1" applyAlignment="1" applyProtection="1">
      <alignment horizontal="center" vertical="center"/>
    </xf>
    <xf numFmtId="3" fontId="8" fillId="11" borderId="216" xfId="0" applyNumberFormat="1" applyFont="1" applyFill="1" applyBorder="1" applyAlignment="1" applyProtection="1">
      <alignment vertical="center"/>
    </xf>
    <xf numFmtId="3" fontId="4" fillId="11" borderId="217" xfId="0" applyNumberFormat="1" applyFont="1" applyFill="1" applyBorder="1" applyAlignment="1" applyProtection="1">
      <alignment vertical="center"/>
    </xf>
    <xf numFmtId="0" fontId="11" fillId="11" borderId="217" xfId="0" applyNumberFormat="1" applyFont="1" applyFill="1" applyBorder="1" applyAlignment="1" applyProtection="1"/>
    <xf numFmtId="4" fontId="11" fillId="11" borderId="217" xfId="0" applyNumberFormat="1" applyFont="1" applyFill="1" applyBorder="1" applyAlignment="1" applyProtection="1"/>
    <xf numFmtId="4" fontId="11" fillId="11" borderId="218" xfId="0" applyNumberFormat="1" applyFont="1" applyFill="1" applyBorder="1" applyAlignment="1" applyProtection="1"/>
    <xf numFmtId="3" fontId="4" fillId="11" borderId="216" xfId="0" applyNumberFormat="1" applyFont="1" applyFill="1" applyBorder="1" applyAlignment="1" applyProtection="1">
      <alignment vertical="center"/>
    </xf>
    <xf numFmtId="0" fontId="12" fillId="11" borderId="201" xfId="0" applyNumberFormat="1" applyFont="1" applyFill="1" applyBorder="1" applyAlignment="1" applyProtection="1">
      <alignment horizontal="center" vertical="center"/>
    </xf>
    <xf numFmtId="3" fontId="12" fillId="11" borderId="219" xfId="0" applyNumberFormat="1" applyFont="1" applyFill="1" applyBorder="1" applyAlignment="1" applyProtection="1">
      <alignment vertical="center"/>
    </xf>
    <xf numFmtId="3" fontId="12" fillId="11" borderId="202" xfId="0" applyNumberFormat="1" applyFont="1" applyFill="1" applyBorder="1" applyAlignment="1" applyProtection="1">
      <alignment vertical="center"/>
    </xf>
    <xf numFmtId="3" fontId="12" fillId="11" borderId="220" xfId="0" applyNumberFormat="1" applyFont="1" applyFill="1" applyBorder="1" applyAlignment="1" applyProtection="1">
      <alignment vertical="center"/>
    </xf>
    <xf numFmtId="4" fontId="12" fillId="11" borderId="193" xfId="0" applyNumberFormat="1" applyFont="1" applyFill="1" applyBorder="1" applyAlignment="1" applyProtection="1">
      <alignment vertical="center"/>
    </xf>
    <xf numFmtId="4" fontId="12" fillId="11" borderId="202" xfId="0" applyNumberFormat="1" applyFont="1" applyFill="1" applyBorder="1" applyAlignment="1" applyProtection="1">
      <alignment vertical="center"/>
    </xf>
    <xf numFmtId="4" fontId="12" fillId="11" borderId="220" xfId="0" applyNumberFormat="1" applyFont="1" applyFill="1" applyBorder="1" applyAlignment="1" applyProtection="1">
      <alignment vertical="center"/>
    </xf>
    <xf numFmtId="4" fontId="11" fillId="0" borderId="195" xfId="0" applyNumberFormat="1" applyFont="1" applyFill="1" applyBorder="1" applyAlignment="1" applyProtection="1">
      <alignment horizontal="right"/>
    </xf>
    <xf numFmtId="4" fontId="26" fillId="0" borderId="195" xfId="0" applyNumberFormat="1" applyFont="1" applyFill="1" applyBorder="1" applyAlignment="1" applyProtection="1">
      <alignment horizontal="right" vertical="center"/>
    </xf>
    <xf numFmtId="4" fontId="11" fillId="0" borderId="195" xfId="0" applyNumberFormat="1" applyFont="1" applyFill="1" applyBorder="1" applyAlignment="1" applyProtection="1"/>
    <xf numFmtId="3" fontId="26" fillId="0" borderId="195" xfId="0" applyNumberFormat="1" applyFont="1" applyFill="1" applyBorder="1" applyAlignment="1" applyProtection="1">
      <alignment horizontal="right" vertical="center"/>
    </xf>
    <xf numFmtId="0" fontId="8" fillId="0" borderId="176" xfId="0" applyNumberFormat="1" applyFont="1" applyFill="1" applyBorder="1" applyAlignment="1" applyProtection="1">
      <alignment vertical="center"/>
    </xf>
    <xf numFmtId="3" fontId="27" fillId="0" borderId="205" xfId="0" applyNumberFormat="1" applyFont="1" applyFill="1" applyBorder="1" applyAlignment="1" applyProtection="1">
      <alignment horizontal="right" vertical="center"/>
    </xf>
    <xf numFmtId="4" fontId="27" fillId="0" borderId="205" xfId="0" applyNumberFormat="1" applyFont="1" applyFill="1" applyBorder="1" applyAlignment="1" applyProtection="1">
      <alignment horizontal="right" vertical="center"/>
    </xf>
    <xf numFmtId="4" fontId="27" fillId="0" borderId="205" xfId="0" applyNumberFormat="1" applyFont="1" applyFill="1" applyBorder="1" applyAlignment="1" applyProtection="1">
      <alignment horizontal="center" vertical="center"/>
    </xf>
    <xf numFmtId="4" fontId="11" fillId="0" borderId="204" xfId="0" applyNumberFormat="1" applyFont="1" applyFill="1" applyBorder="1" applyAlignment="1" applyProtection="1"/>
    <xf numFmtId="1" fontId="26" fillId="0" borderId="195" xfId="0" applyNumberFormat="1" applyFont="1" applyFill="1" applyBorder="1" applyAlignment="1" applyProtection="1">
      <alignment horizontal="center" vertical="center"/>
    </xf>
    <xf numFmtId="1" fontId="27" fillId="0" borderId="205" xfId="0" applyNumberFormat="1" applyFont="1" applyFill="1" applyBorder="1" applyAlignment="1" applyProtection="1">
      <alignment horizontal="left" vertical="center"/>
    </xf>
    <xf numFmtId="1" fontId="27" fillId="0" borderId="195" xfId="0" applyNumberFormat="1" applyFont="1" applyFill="1" applyBorder="1" applyAlignment="1" applyProtection="1">
      <alignment horizontal="left" vertical="center"/>
    </xf>
    <xf numFmtId="1" fontId="27" fillId="0" borderId="195" xfId="0" applyNumberFormat="1" applyFont="1" applyFill="1" applyBorder="1" applyAlignment="1" applyProtection="1">
      <alignment horizontal="center" vertical="center" wrapText="1"/>
    </xf>
    <xf numFmtId="1" fontId="27" fillId="0" borderId="195" xfId="0" applyNumberFormat="1" applyFont="1" applyFill="1" applyBorder="1" applyAlignment="1" applyProtection="1">
      <alignment horizontal="center" vertical="center"/>
    </xf>
    <xf numFmtId="4" fontId="11" fillId="0" borderId="221" xfId="0" applyNumberFormat="1" applyFont="1" applyFill="1" applyBorder="1" applyAlignment="1" applyProtection="1">
      <alignment horizontal="right"/>
    </xf>
    <xf numFmtId="4" fontId="11" fillId="0" borderId="194" xfId="0" applyNumberFormat="1" applyFont="1" applyFill="1" applyBorder="1" applyAlignment="1" applyProtection="1">
      <alignment horizontal="right"/>
    </xf>
    <xf numFmtId="0" fontId="11" fillId="0" borderId="195" xfId="0" applyNumberFormat="1" applyFont="1" applyFill="1" applyBorder="1" applyAlignment="1" applyProtection="1"/>
    <xf numFmtId="0" fontId="11" fillId="0" borderId="222" xfId="0" applyNumberFormat="1" applyFont="1" applyFill="1" applyBorder="1" applyAlignment="1" applyProtection="1"/>
    <xf numFmtId="3" fontId="27" fillId="0" borderId="172" xfId="0" applyNumberFormat="1" applyFont="1" applyFill="1" applyBorder="1" applyAlignment="1" applyProtection="1">
      <alignment horizontal="right" vertical="center"/>
    </xf>
    <xf numFmtId="3" fontId="27" fillId="0" borderId="205" xfId="0" applyNumberFormat="1" applyFont="1" applyFill="1" applyBorder="1" applyAlignment="1" applyProtection="1">
      <alignment horizontal="center" vertical="center"/>
    </xf>
    <xf numFmtId="0" fontId="12" fillId="0" borderId="205" xfId="0" applyNumberFormat="1" applyFont="1" applyFill="1" applyBorder="1" applyAlignment="1" applyProtection="1">
      <alignment horizontal="center"/>
    </xf>
    <xf numFmtId="49" fontId="27" fillId="0" borderId="172" xfId="0" applyNumberFormat="1" applyFont="1" applyFill="1" applyBorder="1" applyAlignment="1" applyProtection="1">
      <alignment horizontal="right" vertical="center"/>
    </xf>
    <xf numFmtId="3" fontId="28" fillId="0" borderId="172" xfId="0" applyNumberFormat="1" applyFont="1" applyFill="1" applyBorder="1" applyAlignment="1" applyProtection="1">
      <alignment horizontal="right" vertical="center"/>
    </xf>
    <xf numFmtId="170" fontId="11" fillId="0" borderId="0" xfId="0" applyNumberFormat="1" applyFont="1" applyFill="1" applyBorder="1" applyAlignment="1" applyProtection="1"/>
    <xf numFmtId="164" fontId="11" fillId="0" borderId="0" xfId="0" applyNumberFormat="1" applyFont="1" applyFill="1" applyBorder="1" applyAlignment="1" applyProtection="1"/>
    <xf numFmtId="0" fontId="14" fillId="11" borderId="0" xfId="0" applyNumberFormat="1" applyFont="1" applyFill="1" applyBorder="1" applyAlignment="1" applyProtection="1"/>
    <xf numFmtId="0" fontId="16" fillId="11" borderId="0" xfId="0" applyNumberFormat="1" applyFont="1" applyFill="1" applyBorder="1" applyAlignment="1" applyProtection="1"/>
    <xf numFmtId="0" fontId="14" fillId="11" borderId="0" xfId="0" applyNumberFormat="1" applyFont="1" applyFill="1" applyBorder="1" applyAlignment="1" applyProtection="1">
      <alignment vertical="center"/>
    </xf>
    <xf numFmtId="0" fontId="14" fillId="17" borderId="179" xfId="0" applyNumberFormat="1" applyFont="1" applyFill="1" applyBorder="1" applyAlignment="1" applyProtection="1">
      <alignment horizontal="center" vertical="center" textRotation="90" wrapText="1"/>
    </xf>
    <xf numFmtId="0" fontId="14" fillId="17" borderId="224" xfId="0" applyNumberFormat="1" applyFont="1" applyFill="1" applyBorder="1" applyAlignment="1" applyProtection="1">
      <alignment horizontal="center" vertical="center" textRotation="90" wrapText="1"/>
    </xf>
    <xf numFmtId="0" fontId="14" fillId="17" borderId="225" xfId="0" applyNumberFormat="1" applyFont="1" applyFill="1" applyBorder="1" applyAlignment="1" applyProtection="1">
      <alignment horizontal="center" vertical="center" textRotation="90" wrapText="1"/>
    </xf>
    <xf numFmtId="0" fontId="14" fillId="17" borderId="226" xfId="0" applyNumberFormat="1" applyFont="1" applyFill="1" applyBorder="1" applyAlignment="1" applyProtection="1">
      <alignment horizontal="center" vertical="center" textRotation="90" wrapText="1"/>
    </xf>
    <xf numFmtId="0" fontId="14" fillId="17" borderId="227" xfId="0" applyNumberFormat="1" applyFont="1" applyFill="1" applyBorder="1" applyAlignment="1" applyProtection="1">
      <alignment horizontal="center" vertical="center" textRotation="90" wrapText="1"/>
    </xf>
    <xf numFmtId="0" fontId="14" fillId="17" borderId="185" xfId="0" applyNumberFormat="1" applyFont="1" applyFill="1" applyBorder="1" applyAlignment="1" applyProtection="1">
      <alignment horizontal="center" vertical="center" textRotation="90" wrapText="1"/>
    </xf>
    <xf numFmtId="0" fontId="14" fillId="17" borderId="190" xfId="0" applyNumberFormat="1" applyFont="1" applyFill="1" applyBorder="1" applyAlignment="1" applyProtection="1">
      <alignment horizontal="center" vertical="center" textRotation="90" wrapText="1"/>
    </xf>
    <xf numFmtId="0" fontId="14" fillId="17" borderId="223" xfId="0" applyNumberFormat="1" applyFont="1" applyFill="1" applyBorder="1" applyAlignment="1" applyProtection="1">
      <alignment horizontal="center"/>
    </xf>
    <xf numFmtId="0" fontId="14" fillId="17" borderId="228" xfId="0" applyNumberFormat="1" applyFont="1" applyFill="1" applyBorder="1" applyAlignment="1" applyProtection="1">
      <alignment horizontal="center"/>
    </xf>
    <xf numFmtId="0" fontId="14" fillId="17" borderId="229" xfId="0" applyNumberFormat="1" applyFont="1" applyFill="1" applyBorder="1" applyAlignment="1" applyProtection="1">
      <alignment horizontal="center"/>
    </xf>
    <xf numFmtId="0" fontId="14" fillId="17" borderId="229" xfId="0" quotePrefix="1" applyNumberFormat="1" applyFont="1" applyFill="1" applyBorder="1" applyAlignment="1" applyProtection="1">
      <alignment horizontal="center"/>
    </xf>
    <xf numFmtId="0" fontId="14" fillId="17" borderId="230" xfId="0" quotePrefix="1" applyNumberFormat="1" applyFont="1" applyFill="1" applyBorder="1" applyAlignment="1" applyProtection="1">
      <alignment horizontal="center"/>
    </xf>
    <xf numFmtId="0" fontId="14" fillId="17" borderId="231" xfId="0" quotePrefix="1" applyNumberFormat="1" applyFont="1" applyFill="1" applyBorder="1" applyAlignment="1" applyProtection="1">
      <alignment horizontal="center"/>
    </xf>
    <xf numFmtId="0" fontId="14" fillId="17" borderId="232" xfId="0" applyNumberFormat="1" applyFont="1" applyFill="1" applyBorder="1" applyAlignment="1" applyProtection="1">
      <alignment horizontal="center"/>
    </xf>
    <xf numFmtId="0" fontId="14" fillId="17" borderId="232" xfId="0" quotePrefix="1" applyNumberFormat="1" applyFont="1" applyFill="1" applyBorder="1" applyAlignment="1" applyProtection="1">
      <alignment horizontal="center"/>
    </xf>
    <xf numFmtId="0" fontId="16" fillId="0" borderId="190" xfId="0" applyNumberFormat="1" applyFont="1" applyFill="1" applyBorder="1" applyAlignment="1" applyProtection="1"/>
    <xf numFmtId="0" fontId="16" fillId="0" borderId="224" xfId="0" applyNumberFormat="1" applyFont="1" applyFill="1" applyBorder="1" applyAlignment="1" applyProtection="1"/>
    <xf numFmtId="0" fontId="16" fillId="0" borderId="233" xfId="0" applyNumberFormat="1" applyFont="1" applyFill="1" applyBorder="1" applyAlignment="1" applyProtection="1"/>
    <xf numFmtId="0" fontId="16" fillId="0" borderId="234" xfId="0" applyNumberFormat="1" applyFont="1" applyFill="1" applyBorder="1" applyAlignment="1" applyProtection="1"/>
    <xf numFmtId="0" fontId="11" fillId="0" borderId="189" xfId="0" applyNumberFormat="1" applyFont="1" applyFill="1" applyBorder="1" applyAlignment="1" applyProtection="1"/>
    <xf numFmtId="0" fontId="8" fillId="0" borderId="189" xfId="0" applyNumberFormat="1" applyFont="1" applyFill="1" applyBorder="1" applyAlignment="1" applyProtection="1">
      <alignment horizontal="center"/>
    </xf>
    <xf numFmtId="0" fontId="4" fillId="0" borderId="189" xfId="0" applyNumberFormat="1" applyFont="1" applyFill="1" applyBorder="1" applyAlignment="1" applyProtection="1">
      <alignment horizontal="center"/>
    </xf>
    <xf numFmtId="0" fontId="11" fillId="0" borderId="189" xfId="0" applyNumberFormat="1" applyFont="1" applyFill="1" applyBorder="1" applyAlignment="1" applyProtection="1">
      <alignment horizontal="right"/>
    </xf>
    <xf numFmtId="0" fontId="11" fillId="0" borderId="0" xfId="0" applyNumberFormat="1" applyFont="1" applyFill="1" applyBorder="1" applyAlignment="1" applyProtection="1">
      <alignment horizontal="right"/>
    </xf>
    <xf numFmtId="0" fontId="4" fillId="0" borderId="189" xfId="0" applyNumberFormat="1" applyFont="1" applyFill="1" applyBorder="1" applyAlignment="1" applyProtection="1"/>
    <xf numFmtId="0" fontId="4" fillId="0" borderId="189" xfId="0" applyNumberFormat="1" applyFont="1" applyFill="1" applyBorder="1" applyAlignment="1" applyProtection="1">
      <alignment horizontal="left"/>
    </xf>
    <xf numFmtId="0" fontId="12" fillId="0" borderId="189"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center"/>
    </xf>
    <xf numFmtId="0" fontId="8" fillId="9" borderId="235" xfId="0" applyNumberFormat="1" applyFont="1" applyFill="1" applyBorder="1" applyAlignment="1" applyProtection="1">
      <alignment horizontal="center" vertical="center"/>
    </xf>
    <xf numFmtId="0" fontId="8" fillId="9" borderId="171" xfId="0" applyNumberFormat="1" applyFont="1" applyFill="1" applyBorder="1" applyAlignment="1" applyProtection="1">
      <alignment horizontal="center" vertical="center" wrapText="1"/>
    </xf>
    <xf numFmtId="0" fontId="4" fillId="9" borderId="172" xfId="0" applyNumberFormat="1" applyFont="1" applyFill="1" applyBorder="1" applyAlignment="1" applyProtection="1">
      <alignment horizontal="center" vertical="center" textRotation="90" wrapText="1"/>
    </xf>
    <xf numFmtId="0" fontId="4" fillId="9" borderId="205" xfId="0" applyNumberFormat="1" applyFont="1" applyFill="1" applyBorder="1" applyAlignment="1" applyProtection="1">
      <alignment horizontal="center" vertical="center" textRotation="90" wrapText="1"/>
    </xf>
    <xf numFmtId="0" fontId="8" fillId="9" borderId="205" xfId="0" applyNumberFormat="1" applyFont="1" applyFill="1" applyBorder="1" applyAlignment="1" applyProtection="1">
      <alignment horizontal="center" vertical="center" textRotation="90" wrapText="1"/>
    </xf>
    <xf numFmtId="0" fontId="8" fillId="9" borderId="215" xfId="0" applyNumberFormat="1" applyFont="1" applyFill="1" applyBorder="1" applyAlignment="1" applyProtection="1">
      <alignment horizontal="center" vertical="center" textRotation="90" wrapText="1"/>
    </xf>
    <xf numFmtId="0" fontId="8" fillId="9" borderId="175" xfId="0" applyNumberFormat="1" applyFont="1" applyFill="1" applyBorder="1" applyAlignment="1" applyProtection="1">
      <alignment horizontal="center" vertical="center" textRotation="90" wrapText="1"/>
    </xf>
    <xf numFmtId="0" fontId="11" fillId="0" borderId="204" xfId="0" applyNumberFormat="1" applyFont="1" applyFill="1" applyBorder="1" applyAlignment="1" applyProtection="1">
      <alignment vertical="center"/>
    </xf>
    <xf numFmtId="0" fontId="12" fillId="10" borderId="176" xfId="0" applyNumberFormat="1" applyFont="1" applyFill="1" applyBorder="1" applyAlignment="1" applyProtection="1">
      <alignment horizontal="center" vertical="center"/>
    </xf>
    <xf numFmtId="3" fontId="11" fillId="0" borderId="204" xfId="0" applyNumberFormat="1" applyFont="1" applyFill="1" applyBorder="1" applyAlignment="1" applyProtection="1">
      <alignment vertical="center"/>
    </xf>
    <xf numFmtId="3" fontId="12" fillId="10" borderId="165" xfId="0" applyNumberFormat="1" applyFont="1" applyFill="1" applyBorder="1" applyAlignment="1" applyProtection="1">
      <alignment vertical="center"/>
    </xf>
    <xf numFmtId="0" fontId="11" fillId="14" borderId="0" xfId="0" applyNumberFormat="1" applyFont="1" applyFill="1" applyBorder="1" applyAlignment="1" applyProtection="1"/>
    <xf numFmtId="0" fontId="11" fillId="0" borderId="238" xfId="0" applyNumberFormat="1" applyFont="1" applyFill="1" applyBorder="1" applyAlignment="1" applyProtection="1">
      <alignment vertical="center"/>
    </xf>
    <xf numFmtId="0" fontId="11" fillId="0" borderId="162" xfId="0" applyNumberFormat="1" applyFont="1" applyFill="1" applyBorder="1" applyAlignment="1" applyProtection="1">
      <alignment vertical="center"/>
    </xf>
    <xf numFmtId="4" fontId="11" fillId="0" borderId="168" xfId="0" applyNumberFormat="1" applyFont="1" applyFill="1" applyBorder="1" applyAlignment="1" applyProtection="1">
      <alignment vertical="center"/>
    </xf>
    <xf numFmtId="0" fontId="11" fillId="0" borderId="197" xfId="0" applyNumberFormat="1" applyFont="1" applyFill="1" applyBorder="1" applyAlignment="1" applyProtection="1">
      <alignment vertical="center"/>
    </xf>
    <xf numFmtId="0" fontId="11" fillId="0" borderId="221" xfId="0" applyNumberFormat="1" applyFont="1" applyFill="1" applyBorder="1" applyAlignment="1" applyProtection="1">
      <alignment vertical="center"/>
    </xf>
    <xf numFmtId="0" fontId="12" fillId="14" borderId="0" xfId="0" applyNumberFormat="1" applyFont="1" applyFill="1" applyBorder="1" applyAlignment="1" applyProtection="1">
      <alignment horizontal="center" vertical="center"/>
    </xf>
    <xf numFmtId="0" fontId="12" fillId="10" borderId="194" xfId="0" applyNumberFormat="1" applyFont="1" applyFill="1" applyBorder="1" applyAlignment="1" applyProtection="1">
      <alignment vertical="center"/>
    </xf>
    <xf numFmtId="4" fontId="12" fillId="10" borderId="204" xfId="0" applyNumberFormat="1" applyFont="1" applyFill="1" applyBorder="1" applyAlignment="1" applyProtection="1">
      <alignment vertical="center"/>
    </xf>
    <xf numFmtId="0" fontId="12" fillId="10" borderId="203" xfId="0" applyNumberFormat="1" applyFont="1" applyFill="1" applyBorder="1" applyAlignment="1" applyProtection="1">
      <alignment vertical="center"/>
    </xf>
    <xf numFmtId="0" fontId="12" fillId="10" borderId="195" xfId="0" applyNumberFormat="1" applyFont="1" applyFill="1" applyBorder="1" applyAlignment="1" applyProtection="1">
      <alignment vertical="center"/>
    </xf>
    <xf numFmtId="49" fontId="29" fillId="11" borderId="205" xfId="0" applyNumberFormat="1" applyFont="1" applyFill="1" applyBorder="1" applyAlignment="1" applyProtection="1">
      <alignment horizontal="center" vertical="center"/>
    </xf>
    <xf numFmtId="0" fontId="11" fillId="0" borderId="194" xfId="0" applyNumberFormat="1" applyFont="1" applyFill="1" applyBorder="1" applyAlignment="1" applyProtection="1">
      <alignment vertical="center"/>
    </xf>
    <xf numFmtId="4" fontId="4" fillId="0" borderId="204" xfId="0" applyNumberFormat="1" applyFont="1" applyFill="1" applyBorder="1" applyAlignment="1" applyProtection="1">
      <alignment vertical="center"/>
    </xf>
    <xf numFmtId="0" fontId="11" fillId="0" borderId="203" xfId="0" applyNumberFormat="1" applyFont="1" applyFill="1" applyBorder="1" applyAlignment="1" applyProtection="1">
      <alignment vertical="center"/>
    </xf>
    <xf numFmtId="0" fontId="11" fillId="0" borderId="195" xfId="0" applyNumberFormat="1" applyFont="1" applyFill="1" applyBorder="1" applyAlignment="1" applyProtection="1">
      <alignment vertical="center"/>
    </xf>
    <xf numFmtId="4" fontId="11" fillId="0" borderId="204" xfId="0" applyNumberFormat="1" applyFont="1" applyFill="1" applyBorder="1" applyAlignment="1" applyProtection="1">
      <alignment vertical="center"/>
    </xf>
    <xf numFmtId="0" fontId="12" fillId="13" borderId="205" xfId="0" applyNumberFormat="1" applyFont="1" applyFill="1" applyBorder="1" applyAlignment="1" applyProtection="1">
      <alignment horizontal="center" vertical="center"/>
    </xf>
    <xf numFmtId="0" fontId="11" fillId="0" borderId="205" xfId="0" applyNumberFormat="1" applyFont="1" applyFill="1" applyBorder="1" applyAlignment="1" applyProtection="1">
      <alignment horizontal="center" vertical="center"/>
    </xf>
    <xf numFmtId="0" fontId="11" fillId="14" borderId="163" xfId="0" applyNumberFormat="1" applyFont="1" applyFill="1" applyBorder="1" applyAlignment="1" applyProtection="1"/>
    <xf numFmtId="0" fontId="11" fillId="0" borderId="205" xfId="0" applyNumberFormat="1" applyFont="1" applyFill="1" applyBorder="1" applyAlignment="1" applyProtection="1">
      <alignment horizontal="center"/>
    </xf>
    <xf numFmtId="0" fontId="11" fillId="0" borderId="205" xfId="0" quotePrefix="1" applyNumberFormat="1" applyFont="1" applyFill="1" applyBorder="1" applyAlignment="1" applyProtection="1">
      <alignment horizontal="center"/>
    </xf>
    <xf numFmtId="0" fontId="11" fillId="14" borderId="203" xfId="0" applyNumberFormat="1" applyFont="1" applyFill="1" applyBorder="1" applyAlignment="1" applyProtection="1">
      <alignment vertical="center"/>
    </xf>
    <xf numFmtId="0" fontId="11" fillId="14" borderId="0" xfId="0" applyNumberFormat="1" applyFont="1" applyFill="1" applyBorder="1" applyAlignment="1" applyProtection="1">
      <alignment vertical="center"/>
    </xf>
    <xf numFmtId="4" fontId="11" fillId="14" borderId="204" xfId="0" applyNumberFormat="1" applyFont="1" applyFill="1" applyBorder="1" applyAlignment="1" applyProtection="1">
      <alignment vertical="center"/>
    </xf>
    <xf numFmtId="0" fontId="11" fillId="14" borderId="195" xfId="0" applyNumberFormat="1" applyFont="1" applyFill="1" applyBorder="1" applyAlignment="1" applyProtection="1">
      <alignment vertical="center"/>
    </xf>
    <xf numFmtId="0" fontId="11" fillId="0" borderId="163" xfId="0" applyNumberFormat="1" applyFont="1" applyFill="1" applyBorder="1" applyAlignment="1" applyProtection="1">
      <alignment horizontal="center"/>
    </xf>
    <xf numFmtId="0" fontId="12" fillId="0" borderId="215" xfId="0" applyNumberFormat="1" applyFont="1" applyFill="1" applyBorder="1" applyAlignment="1" applyProtection="1">
      <alignment horizontal="center"/>
    </xf>
    <xf numFmtId="0" fontId="11" fillId="14" borderId="174" xfId="0" applyNumberFormat="1" applyFont="1" applyFill="1" applyBorder="1" applyAlignment="1" applyProtection="1">
      <alignment vertical="center"/>
    </xf>
    <xf numFmtId="0" fontId="11" fillId="14" borderId="239" xfId="0" applyNumberFormat="1" applyFont="1" applyFill="1" applyBorder="1" applyAlignment="1" applyProtection="1">
      <alignment vertical="center"/>
    </xf>
    <xf numFmtId="4" fontId="11" fillId="14" borderId="173" xfId="0" applyNumberFormat="1" applyFont="1" applyFill="1" applyBorder="1" applyAlignment="1" applyProtection="1">
      <alignment vertical="center"/>
    </xf>
    <xf numFmtId="0" fontId="11" fillId="14" borderId="205" xfId="0" applyNumberFormat="1" applyFont="1" applyFill="1" applyBorder="1" applyAlignment="1" applyProtection="1">
      <alignment vertical="center"/>
    </xf>
    <xf numFmtId="4" fontId="11" fillId="14" borderId="172" xfId="0" applyNumberFormat="1" applyFont="1" applyFill="1" applyBorder="1" applyAlignment="1" applyProtection="1">
      <alignment vertical="center"/>
    </xf>
    <xf numFmtId="2" fontId="11" fillId="0" borderId="204" xfId="0" applyNumberFormat="1" applyFont="1" applyFill="1" applyBorder="1" applyAlignment="1" applyProtection="1">
      <alignment vertical="center"/>
    </xf>
    <xf numFmtId="3" fontId="12" fillId="10" borderId="204" xfId="0" applyNumberFormat="1" applyFont="1" applyFill="1" applyBorder="1" applyAlignment="1" applyProtection="1">
      <alignment vertical="center"/>
    </xf>
    <xf numFmtId="0" fontId="12" fillId="10" borderId="204" xfId="0" applyNumberFormat="1" applyFont="1" applyFill="1" applyBorder="1" applyAlignment="1" applyProtection="1">
      <alignment vertical="center"/>
    </xf>
    <xf numFmtId="0" fontId="12" fillId="20" borderId="176" xfId="0" applyNumberFormat="1" applyFont="1" applyFill="1" applyBorder="1" applyAlignment="1" applyProtection="1">
      <alignment horizontal="center" vertical="center"/>
    </xf>
    <xf numFmtId="0" fontId="11" fillId="20" borderId="0" xfId="0" applyNumberFormat="1" applyFont="1" applyFill="1" applyBorder="1" applyAlignment="1" applyProtection="1">
      <alignment vertical="center"/>
    </xf>
    <xf numFmtId="0" fontId="12" fillId="20" borderId="0" xfId="0" applyNumberFormat="1" applyFont="1" applyFill="1" applyBorder="1" applyAlignment="1" applyProtection="1">
      <alignment vertical="center"/>
    </xf>
    <xf numFmtId="3" fontId="12" fillId="20" borderId="0" xfId="0" applyNumberFormat="1" applyFont="1" applyFill="1" applyBorder="1" applyAlignment="1" applyProtection="1">
      <alignment vertical="center"/>
    </xf>
    <xf numFmtId="0" fontId="12" fillId="20" borderId="204" xfId="0" applyNumberFormat="1" applyFont="1" applyFill="1" applyBorder="1" applyAlignment="1" applyProtection="1">
      <alignment vertical="center"/>
    </xf>
    <xf numFmtId="0" fontId="12" fillId="10" borderId="165" xfId="0" applyNumberFormat="1" applyFont="1" applyFill="1" applyBorder="1" applyAlignment="1" applyProtection="1">
      <alignment vertical="center"/>
    </xf>
    <xf numFmtId="4" fontId="12" fillId="10" borderId="165" xfId="0" applyNumberFormat="1" applyFont="1" applyFill="1" applyBorder="1" applyAlignment="1" applyProtection="1">
      <alignment vertical="center"/>
    </xf>
    <xf numFmtId="0" fontId="12" fillId="10" borderId="164" xfId="0" applyNumberFormat="1" applyFont="1" applyFill="1" applyBorder="1" applyAlignment="1" applyProtection="1">
      <alignment vertical="center"/>
    </xf>
    <xf numFmtId="4" fontId="12" fillId="0" borderId="0" xfId="0" applyNumberFormat="1" applyFont="1" applyFill="1" applyBorder="1" applyAlignment="1" applyProtection="1">
      <alignment horizontal="center" vertical="center"/>
    </xf>
    <xf numFmtId="4" fontId="8" fillId="9" borderId="175" xfId="0" applyNumberFormat="1" applyFont="1" applyFill="1" applyBorder="1" applyAlignment="1" applyProtection="1">
      <alignment horizontal="center" vertical="center" textRotation="90" wrapText="1"/>
    </xf>
    <xf numFmtId="0" fontId="11" fillId="11" borderId="176" xfId="0" applyNumberFormat="1" applyFont="1" applyFill="1" applyBorder="1" applyAlignment="1" applyProtection="1">
      <alignment horizontal="center" vertical="center"/>
    </xf>
    <xf numFmtId="0" fontId="12" fillId="11" borderId="204" xfId="0" applyNumberFormat="1" applyFont="1" applyFill="1" applyBorder="1" applyAlignment="1" applyProtection="1">
      <alignment vertical="center"/>
    </xf>
    <xf numFmtId="0" fontId="5" fillId="0" borderId="0" xfId="2" applyFont="1" applyAlignment="1">
      <alignment vertical="center"/>
    </xf>
    <xf numFmtId="0" fontId="10" fillId="0" borderId="0" xfId="2" applyFont="1" applyAlignment="1">
      <alignment vertical="center"/>
    </xf>
    <xf numFmtId="0" fontId="18" fillId="0" borderId="0" xfId="0" applyFont="1"/>
    <xf numFmtId="0" fontId="12" fillId="0" borderId="0" xfId="2" applyFont="1" applyAlignment="1">
      <alignment horizontal="center" vertical="center"/>
    </xf>
    <xf numFmtId="0" fontId="11" fillId="5" borderId="0" xfId="0" applyFont="1" applyFill="1"/>
    <xf numFmtId="0" fontId="8" fillId="7" borderId="235" xfId="2" applyFont="1" applyFill="1" applyBorder="1" applyAlignment="1">
      <alignment horizontal="center" vertical="center"/>
    </xf>
    <xf numFmtId="0" fontId="8" fillId="5" borderId="0" xfId="2" applyFont="1" applyFill="1" applyAlignment="1">
      <alignment horizontal="center" vertical="center"/>
    </xf>
    <xf numFmtId="0" fontId="8" fillId="7" borderId="171" xfId="2" applyFont="1" applyFill="1" applyBorder="1" applyAlignment="1">
      <alignment horizontal="center" vertical="center" wrapText="1"/>
    </xf>
    <xf numFmtId="0" fontId="4" fillId="7" borderId="172" xfId="2" applyFont="1" applyFill="1" applyBorder="1" applyAlignment="1">
      <alignment horizontal="center" vertical="center" textRotation="90" wrapText="1"/>
    </xf>
    <xf numFmtId="0" fontId="4" fillId="7" borderId="205" xfId="2" applyFont="1" applyFill="1" applyBorder="1" applyAlignment="1">
      <alignment horizontal="center" vertical="center" textRotation="90" wrapText="1"/>
    </xf>
    <xf numFmtId="0" fontId="8" fillId="7" borderId="205" xfId="2" applyFont="1" applyFill="1" applyBorder="1" applyAlignment="1">
      <alignment horizontal="center" vertical="center" textRotation="90" wrapText="1"/>
    </xf>
    <xf numFmtId="0" fontId="8" fillId="7" borderId="215" xfId="2" applyFont="1" applyFill="1" applyBorder="1" applyAlignment="1">
      <alignment horizontal="center" vertical="center" textRotation="90" wrapText="1"/>
    </xf>
    <xf numFmtId="0" fontId="8" fillId="7" borderId="175" xfId="2" applyFont="1" applyFill="1" applyBorder="1" applyAlignment="1">
      <alignment horizontal="center" vertical="center" textRotation="90" wrapText="1"/>
    </xf>
    <xf numFmtId="0" fontId="8" fillId="5" borderId="0" xfId="2" applyFont="1" applyFill="1" applyAlignment="1">
      <alignment horizontal="center" vertical="center" textRotation="90" wrapText="1"/>
    </xf>
    <xf numFmtId="0" fontId="4" fillId="0" borderId="0" xfId="0" applyFont="1" applyAlignment="1">
      <alignment wrapText="1"/>
    </xf>
    <xf numFmtId="0" fontId="11" fillId="0" borderId="176" xfId="2" applyFont="1" applyBorder="1" applyAlignment="1">
      <alignment horizontal="center" vertical="center"/>
    </xf>
    <xf numFmtId="0" fontId="11" fillId="0" borderId="204" xfId="2" applyFont="1" applyBorder="1" applyAlignment="1">
      <alignment vertical="center"/>
    </xf>
    <xf numFmtId="0" fontId="12" fillId="2" borderId="176" xfId="2" applyFont="1" applyFill="1" applyBorder="1" applyAlignment="1">
      <alignment horizontal="center" vertical="center"/>
    </xf>
    <xf numFmtId="3" fontId="12" fillId="2" borderId="0" xfId="2" applyNumberFormat="1" applyFont="1" applyFill="1" applyAlignment="1">
      <alignment vertical="center"/>
    </xf>
    <xf numFmtId="0" fontId="12" fillId="5" borderId="0" xfId="2" applyFont="1" applyFill="1" applyAlignment="1">
      <alignment vertical="center"/>
    </xf>
    <xf numFmtId="3" fontId="11" fillId="0" borderId="0" xfId="2" applyNumberFormat="1" applyFont="1" applyAlignment="1">
      <alignment vertical="center"/>
    </xf>
    <xf numFmtId="3" fontId="11" fillId="0" borderId="204" xfId="2" applyNumberFormat="1" applyFont="1" applyBorder="1" applyAlignment="1">
      <alignment vertical="center"/>
    </xf>
    <xf numFmtId="3" fontId="0" fillId="0" borderId="205" xfId="0" applyNumberFormat="1" applyBorder="1"/>
    <xf numFmtId="3" fontId="32" fillId="0" borderId="205" xfId="5" applyNumberFormat="1" applyFont="1" applyBorder="1" applyAlignment="1">
      <alignment vertical="center"/>
    </xf>
    <xf numFmtId="0" fontId="8" fillId="0" borderId="176" xfId="2" applyFont="1" applyBorder="1" applyAlignment="1">
      <alignment vertical="center"/>
    </xf>
    <xf numFmtId="3" fontId="3" fillId="0" borderId="0" xfId="6" applyNumberFormat="1" applyAlignment="1">
      <alignment vertical="center"/>
    </xf>
    <xf numFmtId="0" fontId="12" fillId="16" borderId="176" xfId="2" applyFont="1" applyFill="1" applyBorder="1" applyAlignment="1">
      <alignment horizontal="center" vertical="center"/>
    </xf>
    <xf numFmtId="3" fontId="12" fillId="16" borderId="165" xfId="2" applyNumberFormat="1" applyFont="1" applyFill="1" applyBorder="1" applyAlignment="1">
      <alignment vertical="center"/>
    </xf>
    <xf numFmtId="3" fontId="12" fillId="2" borderId="165" xfId="2" applyNumberFormat="1" applyFont="1" applyFill="1" applyBorder="1" applyAlignment="1">
      <alignment vertical="center"/>
    </xf>
    <xf numFmtId="0" fontId="12" fillId="2" borderId="176" xfId="2" applyFont="1" applyFill="1" applyBorder="1" applyAlignment="1">
      <alignment horizontal="center" vertical="center" wrapText="1"/>
    </xf>
    <xf numFmtId="0" fontId="12" fillId="16" borderId="176" xfId="2" applyFont="1" applyFill="1" applyBorder="1" applyAlignment="1">
      <alignment horizontal="center" vertical="center" wrapText="1"/>
    </xf>
    <xf numFmtId="0" fontId="12" fillId="2" borderId="176" xfId="2" applyFont="1" applyFill="1" applyBorder="1" applyAlignment="1">
      <alignment horizontal="left" vertical="center"/>
    </xf>
    <xf numFmtId="0" fontId="12" fillId="0" borderId="176" xfId="2" applyFont="1" applyBorder="1" applyAlignment="1">
      <alignment horizontal="center" vertical="center"/>
    </xf>
    <xf numFmtId="3" fontId="12" fillId="0" borderId="0" xfId="2" applyNumberFormat="1" applyFont="1" applyAlignment="1">
      <alignment vertical="center"/>
    </xf>
    <xf numFmtId="3" fontId="12" fillId="0" borderId="220" xfId="2" applyNumberFormat="1" applyFont="1" applyBorder="1" applyAlignment="1">
      <alignment vertical="center"/>
    </xf>
    <xf numFmtId="0" fontId="12" fillId="2" borderId="166" xfId="2" applyFont="1" applyFill="1" applyBorder="1" applyAlignment="1">
      <alignment horizontal="center" vertical="center"/>
    </xf>
    <xf numFmtId="0" fontId="11" fillId="0" borderId="0" xfId="2" applyFont="1" applyAlignment="1">
      <alignment horizontal="left" vertical="center"/>
    </xf>
    <xf numFmtId="0" fontId="12" fillId="0" borderId="0" xfId="2" applyFont="1" applyAlignment="1">
      <alignment vertical="center"/>
    </xf>
    <xf numFmtId="3" fontId="11" fillId="0" borderId="0" xfId="0" applyNumberFormat="1" applyFont="1"/>
    <xf numFmtId="0" fontId="12" fillId="4" borderId="176" xfId="2" applyFont="1" applyFill="1" applyBorder="1" applyAlignment="1">
      <alignment horizontal="center" vertical="center"/>
    </xf>
    <xf numFmtId="3" fontId="12" fillId="4" borderId="0" xfId="2" applyNumberFormat="1" applyFont="1" applyFill="1" applyAlignment="1">
      <alignment vertical="center"/>
    </xf>
    <xf numFmtId="0" fontId="11" fillId="4" borderId="0" xfId="2" applyFont="1" applyFill="1" applyAlignment="1">
      <alignment vertical="center"/>
    </xf>
    <xf numFmtId="4" fontId="12" fillId="4" borderId="204" xfId="2" applyNumberFormat="1" applyFont="1" applyFill="1" applyBorder="1" applyAlignment="1">
      <alignment vertical="center"/>
    </xf>
    <xf numFmtId="0" fontId="11" fillId="4" borderId="0" xfId="0" applyFont="1" applyFill="1"/>
    <xf numFmtId="4" fontId="11" fillId="0" borderId="204" xfId="2" applyNumberFormat="1" applyFont="1" applyBorder="1" applyAlignment="1">
      <alignment vertical="center"/>
    </xf>
    <xf numFmtId="3" fontId="4" fillId="5" borderId="0" xfId="7" applyNumberFormat="1" applyFont="1" applyFill="1" applyAlignment="1">
      <alignment vertical="center"/>
    </xf>
    <xf numFmtId="4" fontId="10" fillId="0" borderId="0" xfId="2" applyNumberFormat="1" applyFont="1" applyAlignment="1">
      <alignment vertical="center"/>
    </xf>
    <xf numFmtId="0" fontId="5" fillId="5" borderId="0" xfId="4" applyFont="1" applyFill="1"/>
    <xf numFmtId="4" fontId="10" fillId="5" borderId="0" xfId="4" applyNumberFormat="1" applyFont="1" applyFill="1"/>
    <xf numFmtId="0" fontId="10" fillId="5" borderId="0" xfId="4" applyFont="1" applyFill="1"/>
    <xf numFmtId="4" fontId="11" fillId="0" borderId="0" xfId="2" applyNumberFormat="1" applyFont="1" applyAlignment="1">
      <alignment vertical="center"/>
    </xf>
    <xf numFmtId="4" fontId="12" fillId="0" borderId="0" xfId="2" applyNumberFormat="1" applyFont="1" applyAlignment="1">
      <alignment horizontal="center" vertical="center"/>
    </xf>
    <xf numFmtId="4" fontId="4" fillId="7" borderId="172" xfId="2" applyNumberFormat="1" applyFont="1" applyFill="1" applyBorder="1" applyAlignment="1">
      <alignment horizontal="center" vertical="center" textRotation="90" wrapText="1"/>
    </xf>
    <xf numFmtId="4" fontId="8" fillId="7" borderId="175" xfId="2" applyNumberFormat="1" applyFont="1" applyFill="1" applyBorder="1" applyAlignment="1">
      <alignment horizontal="center" vertical="center" textRotation="90" wrapText="1"/>
    </xf>
    <xf numFmtId="4" fontId="12" fillId="2" borderId="0" xfId="2" applyNumberFormat="1" applyFont="1" applyFill="1" applyAlignment="1">
      <alignment vertical="center"/>
    </xf>
    <xf numFmtId="0" fontId="12" fillId="2" borderId="0" xfId="2" applyFont="1" applyFill="1" applyAlignment="1">
      <alignment vertical="center"/>
    </xf>
    <xf numFmtId="4" fontId="12" fillId="2" borderId="204" xfId="2" applyNumberFormat="1" applyFont="1" applyFill="1" applyBorder="1" applyAlignment="1">
      <alignment vertical="center"/>
    </xf>
    <xf numFmtId="4" fontId="12" fillId="0" borderId="204" xfId="2" applyNumberFormat="1" applyFont="1" applyBorder="1" applyAlignment="1">
      <alignment vertical="center"/>
    </xf>
    <xf numFmtId="1" fontId="26" fillId="0" borderId="195" xfId="4" applyNumberFormat="1" applyFont="1" applyBorder="1" applyAlignment="1">
      <alignment horizontal="center" vertical="center"/>
    </xf>
    <xf numFmtId="1" fontId="27" fillId="0" borderId="205" xfId="4" applyNumberFormat="1" applyFont="1" applyBorder="1" applyAlignment="1">
      <alignment horizontal="left" vertical="center"/>
    </xf>
    <xf numFmtId="1" fontId="27" fillId="0" borderId="195" xfId="4" applyNumberFormat="1" applyFont="1" applyBorder="1" applyAlignment="1">
      <alignment horizontal="center" vertical="center" wrapText="1"/>
    </xf>
    <xf numFmtId="1" fontId="27" fillId="0" borderId="195" xfId="4" applyNumberFormat="1" applyFont="1" applyBorder="1" applyAlignment="1">
      <alignment horizontal="center" vertical="center"/>
    </xf>
    <xf numFmtId="4" fontId="12" fillId="2" borderId="164" xfId="2" applyNumberFormat="1" applyFont="1" applyFill="1" applyBorder="1" applyAlignment="1">
      <alignment vertical="center"/>
    </xf>
    <xf numFmtId="0" fontId="12" fillId="2" borderId="165" xfId="2" applyFont="1" applyFill="1" applyBorder="1" applyAlignment="1">
      <alignment vertical="center"/>
    </xf>
    <xf numFmtId="4" fontId="12" fillId="2" borderId="167" xfId="2" applyNumberFormat="1" applyFont="1" applyFill="1" applyBorder="1" applyAlignment="1">
      <alignment vertical="center"/>
    </xf>
    <xf numFmtId="4" fontId="12" fillId="2" borderId="165" xfId="2" applyNumberFormat="1" applyFont="1" applyFill="1" applyBorder="1" applyAlignment="1">
      <alignment vertical="center"/>
    </xf>
    <xf numFmtId="4" fontId="12" fillId="0" borderId="0" xfId="2" applyNumberFormat="1" applyFont="1" applyAlignment="1">
      <alignment vertical="center"/>
    </xf>
    <xf numFmtId="0" fontId="11" fillId="5" borderId="0" xfId="4" applyFont="1" applyFill="1"/>
    <xf numFmtId="0" fontId="3" fillId="0" borderId="0" xfId="4"/>
    <xf numFmtId="4" fontId="11" fillId="0" borderId="0" xfId="4" applyNumberFormat="1" applyFont="1"/>
    <xf numFmtId="0" fontId="33" fillId="0" borderId="0" xfId="0" applyFont="1" applyAlignment="1">
      <alignment vertical="center"/>
    </xf>
    <xf numFmtId="0" fontId="34" fillId="0" borderId="0" xfId="0" applyFont="1" applyAlignment="1">
      <alignment vertical="center"/>
    </xf>
    <xf numFmtId="0" fontId="33" fillId="21" borderId="0" xfId="0" applyFont="1" applyFill="1"/>
    <xf numFmtId="0" fontId="34" fillId="21" borderId="0" xfId="0" applyFont="1" applyFill="1"/>
    <xf numFmtId="0" fontId="35" fillId="0" borderId="0" xfId="0" applyFont="1" applyAlignment="1">
      <alignment vertical="center"/>
    </xf>
    <xf numFmtId="0" fontId="36" fillId="0" borderId="0" xfId="0" applyFont="1" applyAlignment="1">
      <alignment horizontal="center" vertical="center"/>
    </xf>
    <xf numFmtId="0" fontId="37" fillId="22" borderId="240" xfId="0" applyFont="1" applyFill="1" applyBorder="1" applyAlignment="1">
      <alignment horizontal="center" vertical="center"/>
    </xf>
    <xf numFmtId="0" fontId="37" fillId="22" borderId="188" xfId="0" applyFont="1" applyFill="1" applyBorder="1" applyAlignment="1">
      <alignment horizontal="center" vertical="center" wrapText="1"/>
    </xf>
    <xf numFmtId="0" fontId="38" fillId="22" borderId="243" xfId="0" applyFont="1" applyFill="1" applyBorder="1" applyAlignment="1">
      <alignment horizontal="center" vertical="center" textRotation="90" wrapText="1"/>
    </xf>
    <xf numFmtId="0" fontId="38" fillId="22" borderId="189" xfId="0" applyFont="1" applyFill="1" applyBorder="1" applyAlignment="1">
      <alignment horizontal="center" vertical="center" textRotation="90" wrapText="1"/>
    </xf>
    <xf numFmtId="0" fontId="37" fillId="22" borderId="189" xfId="0" applyFont="1" applyFill="1" applyBorder="1" applyAlignment="1">
      <alignment horizontal="center" vertical="center" textRotation="90" wrapText="1"/>
    </xf>
    <xf numFmtId="0" fontId="37" fillId="22" borderId="244" xfId="0" applyFont="1" applyFill="1" applyBorder="1" applyAlignment="1">
      <alignment horizontal="center" vertical="center" textRotation="90" wrapText="1"/>
    </xf>
    <xf numFmtId="0" fontId="37" fillId="22" borderId="245" xfId="0" applyFont="1" applyFill="1" applyBorder="1" applyAlignment="1">
      <alignment horizontal="center" vertical="center" textRotation="90" wrapText="1"/>
    </xf>
    <xf numFmtId="0" fontId="3" fillId="0" borderId="189" xfId="0" applyFont="1" applyBorder="1"/>
    <xf numFmtId="0" fontId="11" fillId="0" borderId="189" xfId="0" applyFont="1" applyBorder="1" applyAlignment="1">
      <alignment vertical="center"/>
    </xf>
    <xf numFmtId="0" fontId="11" fillId="0" borderId="189" xfId="0" applyFont="1" applyBorder="1" applyAlignment="1">
      <alignment horizontal="center"/>
    </xf>
    <xf numFmtId="0" fontId="11" fillId="0" borderId="189" xfId="0" applyFont="1" applyBorder="1"/>
    <xf numFmtId="0" fontId="8" fillId="0" borderId="189" xfId="0" applyFont="1" applyBorder="1" applyAlignment="1">
      <alignment horizontal="center"/>
    </xf>
    <xf numFmtId="0" fontId="12" fillId="0" borderId="189" xfId="0" applyFont="1" applyBorder="1"/>
    <xf numFmtId="0" fontId="11" fillId="0" borderId="189" xfId="0" applyFont="1" applyBorder="1" applyAlignment="1">
      <alignment horizontal="right"/>
    </xf>
    <xf numFmtId="0" fontId="4" fillId="0" borderId="189" xfId="0" applyFont="1" applyBorder="1" applyAlignment="1">
      <alignment horizontal="center"/>
    </xf>
    <xf numFmtId="4" fontId="11" fillId="0" borderId="189" xfId="0" applyNumberFormat="1" applyFont="1" applyBorder="1" applyAlignment="1">
      <alignment horizontal="right"/>
    </xf>
    <xf numFmtId="4" fontId="39" fillId="0" borderId="189" xfId="0" applyNumberFormat="1" applyFont="1" applyBorder="1" applyAlignment="1">
      <alignment horizontal="right"/>
    </xf>
    <xf numFmtId="0" fontId="4" fillId="0" borderId="189" xfId="0" applyFont="1" applyBorder="1"/>
    <xf numFmtId="0" fontId="4" fillId="0" borderId="189" xfId="0" applyFont="1" applyBorder="1" applyAlignment="1">
      <alignment horizontal="left"/>
    </xf>
    <xf numFmtId="0" fontId="12" fillId="0" borderId="189" xfId="0" applyFont="1" applyBorder="1" applyAlignment="1">
      <alignment horizontal="center"/>
    </xf>
    <xf numFmtId="0" fontId="12" fillId="0" borderId="189" xfId="0" applyFont="1" applyBorder="1" applyAlignment="1">
      <alignment horizontal="right"/>
    </xf>
    <xf numFmtId="4" fontId="12" fillId="0" borderId="189" xfId="0" applyNumberFormat="1" applyFont="1" applyBorder="1" applyAlignment="1">
      <alignment horizontal="right"/>
    </xf>
    <xf numFmtId="0" fontId="12" fillId="2" borderId="204" xfId="2" applyFont="1" applyFill="1" applyBorder="1" applyAlignment="1">
      <alignment vertical="center"/>
    </xf>
    <xf numFmtId="3" fontId="10" fillId="0" borderId="0" xfId="2" applyNumberFormat="1" applyFont="1" applyAlignment="1">
      <alignment vertical="center"/>
    </xf>
    <xf numFmtId="0" fontId="5" fillId="0" borderId="0" xfId="7" applyFont="1"/>
    <xf numFmtId="49" fontId="5" fillId="0" borderId="0" xfId="3" applyFont="1" applyAlignment="1">
      <alignment vertical="center"/>
    </xf>
    <xf numFmtId="0" fontId="10" fillId="0" borderId="0" xfId="7" applyFont="1"/>
    <xf numFmtId="3" fontId="10" fillId="0" borderId="0" xfId="7" applyNumberFormat="1" applyFont="1"/>
    <xf numFmtId="3" fontId="12" fillId="0" borderId="0" xfId="2" applyNumberFormat="1" applyFont="1" applyAlignment="1">
      <alignment horizontal="center" vertical="center"/>
    </xf>
    <xf numFmtId="0" fontId="4" fillId="7" borderId="174" xfId="2" applyFont="1" applyFill="1" applyBorder="1" applyAlignment="1">
      <alignment horizontal="center" vertical="center" textRotation="90" wrapText="1"/>
    </xf>
    <xf numFmtId="3" fontId="8" fillId="7" borderId="175" xfId="2" applyNumberFormat="1" applyFont="1" applyFill="1" applyBorder="1" applyAlignment="1">
      <alignment horizontal="center" vertical="center" textRotation="90" wrapText="1"/>
    </xf>
    <xf numFmtId="0" fontId="11" fillId="0" borderId="163" xfId="2" applyFont="1" applyBorder="1" applyAlignment="1">
      <alignment vertical="center"/>
    </xf>
    <xf numFmtId="0" fontId="12" fillId="2" borderId="163" xfId="2" applyFont="1" applyFill="1" applyBorder="1" applyAlignment="1">
      <alignment vertical="center"/>
    </xf>
    <xf numFmtId="3" fontId="12" fillId="2" borderId="204" xfId="2" applyNumberFormat="1" applyFont="1" applyFill="1" applyBorder="1" applyAlignment="1">
      <alignment vertical="center"/>
    </xf>
    <xf numFmtId="3" fontId="11" fillId="0" borderId="204" xfId="8" applyNumberFormat="1" applyFont="1" applyBorder="1" applyAlignment="1">
      <alignment vertical="center"/>
    </xf>
    <xf numFmtId="0" fontId="11" fillId="0" borderId="193" xfId="2" applyFont="1" applyBorder="1" applyAlignment="1">
      <alignment horizontal="center" vertical="center"/>
    </xf>
    <xf numFmtId="0" fontId="11" fillId="0" borderId="141" xfId="2" applyFont="1" applyBorder="1" applyAlignment="1">
      <alignment vertical="center"/>
    </xf>
    <xf numFmtId="0" fontId="11" fillId="0" borderId="220" xfId="2" applyFont="1" applyBorder="1" applyAlignment="1">
      <alignment vertical="center"/>
    </xf>
    <xf numFmtId="3" fontId="11" fillId="0" borderId="202" xfId="2" applyNumberFormat="1" applyFont="1" applyBorder="1" applyAlignment="1">
      <alignment vertical="center"/>
    </xf>
    <xf numFmtId="0" fontId="12" fillId="2" borderId="164" xfId="2" applyFont="1" applyFill="1" applyBorder="1" applyAlignment="1">
      <alignment vertical="center"/>
    </xf>
    <xf numFmtId="3" fontId="12" fillId="2" borderId="167" xfId="2" applyNumberFormat="1" applyFont="1" applyFill="1" applyBorder="1" applyAlignment="1">
      <alignment vertical="center"/>
    </xf>
    <xf numFmtId="0" fontId="11" fillId="0" borderId="0" xfId="7" applyFont="1"/>
    <xf numFmtId="0" fontId="3" fillId="0" borderId="0" xfId="7"/>
    <xf numFmtId="3" fontId="11" fillId="0" borderId="0" xfId="7" applyNumberFormat="1" applyFont="1"/>
    <xf numFmtId="0" fontId="11" fillId="0" borderId="205" xfId="12" applyFont="1" applyBorder="1"/>
    <xf numFmtId="0" fontId="11" fillId="0" borderId="205" xfId="12" applyFont="1" applyBorder="1" applyAlignment="1">
      <alignment horizontal="center"/>
    </xf>
    <xf numFmtId="4" fontId="11" fillId="0" borderId="205" xfId="12" applyNumberFormat="1" applyFont="1" applyBorder="1"/>
    <xf numFmtId="171" fontId="35" fillId="0" borderId="205" xfId="12" applyNumberFormat="1" applyFont="1" applyBorder="1"/>
    <xf numFmtId="0" fontId="11" fillId="0" borderId="205" xfId="12" applyFont="1" applyBorder="1" applyAlignment="1">
      <alignment horizontal="left"/>
    </xf>
    <xf numFmtId="166" fontId="11" fillId="0" borderId="205" xfId="12" applyNumberFormat="1" applyFont="1" applyBorder="1"/>
    <xf numFmtId="3" fontId="11" fillId="0" borderId="205" xfId="12" applyNumberFormat="1" applyFont="1" applyBorder="1"/>
    <xf numFmtId="171" fontId="43" fillId="0" borderId="205" xfId="12" applyNumberFormat="1" applyFont="1" applyBorder="1"/>
    <xf numFmtId="0" fontId="44" fillId="0" borderId="205" xfId="12" applyFont="1" applyBorder="1"/>
    <xf numFmtId="14" fontId="11" fillId="0" borderId="205" xfId="12" applyNumberFormat="1" applyFont="1" applyBorder="1"/>
    <xf numFmtId="171" fontId="45" fillId="0" borderId="205" xfId="12" applyNumberFormat="1" applyFont="1" applyBorder="1"/>
    <xf numFmtId="0" fontId="35" fillId="0" borderId="205" xfId="12" applyFont="1" applyBorder="1"/>
    <xf numFmtId="0" fontId="11" fillId="0" borderId="205" xfId="0" applyFont="1" applyBorder="1"/>
    <xf numFmtId="0" fontId="35" fillId="0" borderId="205" xfId="0" applyFont="1" applyBorder="1"/>
    <xf numFmtId="0" fontId="11" fillId="0" borderId="205" xfId="0" applyFont="1" applyBorder="1" applyAlignment="1">
      <alignment horizontal="center"/>
    </xf>
    <xf numFmtId="4" fontId="35" fillId="0" borderId="205" xfId="10" applyNumberFormat="1" applyFont="1" applyFill="1" applyBorder="1" applyAlignment="1"/>
    <xf numFmtId="0" fontId="35" fillId="0" borderId="205" xfId="0" applyFont="1" applyBorder="1" applyAlignment="1">
      <alignment horizontal="center"/>
    </xf>
    <xf numFmtId="172" fontId="35" fillId="0" borderId="205" xfId="0" applyNumberFormat="1" applyFont="1" applyBorder="1"/>
    <xf numFmtId="4" fontId="46" fillId="0" borderId="205" xfId="10" applyNumberFormat="1" applyFont="1" applyFill="1" applyBorder="1" applyAlignment="1">
      <alignment vertical="center" wrapText="1"/>
    </xf>
    <xf numFmtId="1" fontId="12" fillId="0" borderId="205" xfId="0" applyNumberFormat="1" applyFont="1" applyBorder="1"/>
    <xf numFmtId="0" fontId="12" fillId="0" borderId="205" xfId="0" applyFont="1" applyBorder="1" applyAlignment="1">
      <alignment horizontal="center"/>
    </xf>
    <xf numFmtId="4" fontId="11" fillId="0" borderId="205" xfId="10" applyNumberFormat="1" applyFont="1" applyFill="1" applyBorder="1" applyAlignment="1"/>
    <xf numFmtId="0" fontId="12" fillId="0" borderId="205" xfId="0" applyFont="1" applyBorder="1"/>
    <xf numFmtId="0" fontId="46" fillId="0" borderId="205" xfId="11" applyFont="1" applyFill="1" applyBorder="1" applyAlignment="1">
      <alignment horizontal="left"/>
    </xf>
    <xf numFmtId="0" fontId="46" fillId="0" borderId="205" xfId="11" applyNumberFormat="1" applyFont="1" applyFill="1" applyBorder="1" applyAlignment="1">
      <alignment horizontal="left" vertical="center" wrapText="1"/>
    </xf>
    <xf numFmtId="0" fontId="46" fillId="0" borderId="205" xfId="11" applyFont="1" applyFill="1" applyBorder="1" applyAlignment="1">
      <alignment horizontal="left" vertical="center" wrapText="1"/>
    </xf>
    <xf numFmtId="1" fontId="11" fillId="0" borderId="205" xfId="0" applyNumberFormat="1" applyFont="1" applyBorder="1"/>
    <xf numFmtId="0" fontId="11" fillId="0" borderId="205" xfId="11" applyFont="1" applyFill="1" applyBorder="1"/>
    <xf numFmtId="1" fontId="35" fillId="0" borderId="205" xfId="0" applyNumberFormat="1" applyFont="1" applyBorder="1"/>
    <xf numFmtId="0" fontId="46" fillId="0" borderId="205" xfId="11" applyFont="1" applyFill="1" applyBorder="1" applyAlignment="1">
      <alignment horizontal="left" vertical="center"/>
    </xf>
    <xf numFmtId="4" fontId="11" fillId="0" borderId="205" xfId="0" applyNumberFormat="1" applyFont="1" applyBorder="1"/>
    <xf numFmtId="49" fontId="46" fillId="0" borderId="205" xfId="11" applyNumberFormat="1" applyFont="1" applyFill="1" applyBorder="1" applyAlignment="1">
      <alignment horizontal="left" vertical="center" wrapText="1"/>
    </xf>
    <xf numFmtId="0" fontId="11" fillId="0" borderId="205" xfId="0" applyFont="1" applyBorder="1" applyAlignment="1">
      <alignment horizontal="left"/>
    </xf>
    <xf numFmtId="1" fontId="36" fillId="0" borderId="205" xfId="0" applyNumberFormat="1" applyFont="1" applyBorder="1"/>
    <xf numFmtId="3" fontId="11" fillId="0" borderId="205" xfId="0" applyNumberFormat="1" applyFont="1" applyBorder="1"/>
    <xf numFmtId="166" fontId="11" fillId="0" borderId="205" xfId="0" applyNumberFormat="1" applyFont="1" applyBorder="1"/>
    <xf numFmtId="1" fontId="11" fillId="0" borderId="205" xfId="0" quotePrefix="1" applyNumberFormat="1" applyFont="1" applyBorder="1"/>
    <xf numFmtId="0" fontId="11" fillId="0" borderId="205" xfId="0" quotePrefix="1" applyFont="1" applyBorder="1"/>
    <xf numFmtId="164" fontId="11" fillId="0" borderId="205" xfId="9" applyFont="1" applyFill="1" applyBorder="1"/>
    <xf numFmtId="0" fontId="11" fillId="0" borderId="205" xfId="2" applyFont="1" applyBorder="1" applyAlignment="1">
      <alignment horizontal="left" vertical="center"/>
    </xf>
    <xf numFmtId="166" fontId="11" fillId="0" borderId="205" xfId="0" quotePrefix="1" applyNumberFormat="1" applyFont="1" applyBorder="1"/>
    <xf numFmtId="4" fontId="11" fillId="0" borderId="205" xfId="0" applyNumberFormat="1" applyFont="1" applyBorder="1" applyAlignment="1">
      <alignment horizontal="right" vertical="center"/>
    </xf>
    <xf numFmtId="2" fontId="11" fillId="0" borderId="205" xfId="0" applyNumberFormat="1" applyFont="1" applyBorder="1"/>
    <xf numFmtId="4" fontId="12" fillId="0" borderId="205" xfId="0" applyNumberFormat="1" applyFont="1" applyBorder="1"/>
    <xf numFmtId="2" fontId="12" fillId="0" borderId="205" xfId="0" applyNumberFormat="1" applyFont="1" applyBorder="1"/>
    <xf numFmtId="166" fontId="12" fillId="0" borderId="205" xfId="0" applyNumberFormat="1" applyFont="1" applyBorder="1"/>
    <xf numFmtId="173" fontId="11" fillId="0" borderId="205" xfId="0" applyNumberFormat="1" applyFont="1" applyBorder="1"/>
    <xf numFmtId="0" fontId="11" fillId="0" borderId="205" xfId="0" applyFont="1" applyBorder="1" applyAlignment="1">
      <alignment horizontal="right"/>
    </xf>
    <xf numFmtId="0" fontId="47" fillId="0" borderId="205" xfId="0" applyFont="1" applyBorder="1" applyAlignment="1">
      <alignment horizontal="center"/>
    </xf>
    <xf numFmtId="173" fontId="11" fillId="0" borderId="205" xfId="0" applyNumberFormat="1" applyFont="1" applyBorder="1" applyAlignment="1">
      <alignment horizontal="center"/>
    </xf>
    <xf numFmtId="0" fontId="11" fillId="0" borderId="205" xfId="0" applyFont="1" applyBorder="1" applyProtection="1">
      <protection locked="0"/>
    </xf>
    <xf numFmtId="0" fontId="35" fillId="0" borderId="205" xfId="13" applyFont="1" applyBorder="1" applyProtection="1">
      <protection locked="0"/>
    </xf>
    <xf numFmtId="0" fontId="11" fillId="0" borderId="197" xfId="0" applyFont="1" applyBorder="1"/>
    <xf numFmtId="0" fontId="11" fillId="0" borderId="168" xfId="0" applyFont="1" applyBorder="1" applyAlignment="1">
      <alignment vertical="center"/>
    </xf>
    <xf numFmtId="0" fontId="11" fillId="0" borderId="194" xfId="2" applyFont="1" applyBorder="1" applyAlignment="1">
      <alignment horizontal="left" vertical="center"/>
    </xf>
    <xf numFmtId="0" fontId="11" fillId="0" borderId="196" xfId="2" applyFont="1" applyBorder="1" applyAlignment="1">
      <alignment horizontal="left" vertical="center"/>
    </xf>
    <xf numFmtId="0" fontId="11" fillId="0" borderId="203" xfId="0" applyFont="1" applyBorder="1"/>
    <xf numFmtId="0" fontId="11" fillId="0" borderId="195" xfId="0" applyFont="1" applyBorder="1"/>
    <xf numFmtId="4" fontId="11" fillId="0" borderId="194" xfId="2" applyNumberFormat="1" applyFont="1" applyBorder="1" applyAlignment="1">
      <alignment horizontal="right" vertical="center"/>
    </xf>
    <xf numFmtId="0" fontId="11" fillId="0" borderId="204" xfId="0" applyFont="1" applyBorder="1"/>
    <xf numFmtId="0" fontId="11" fillId="0" borderId="204" xfId="0" applyFont="1" applyBorder="1" applyAlignment="1">
      <alignment horizontal="right"/>
    </xf>
    <xf numFmtId="0" fontId="11" fillId="0" borderId="194" xfId="2" applyFont="1" applyBorder="1" applyAlignment="1">
      <alignment horizontal="left" vertical="center" wrapText="1"/>
    </xf>
    <xf numFmtId="0" fontId="11" fillId="0" borderId="196" xfId="2" applyFont="1" applyBorder="1" applyAlignment="1">
      <alignment horizontal="center" vertical="center" wrapText="1"/>
    </xf>
    <xf numFmtId="0" fontId="11" fillId="0" borderId="203" xfId="0" applyFont="1" applyBorder="1" applyAlignment="1">
      <alignment horizontal="center" vertical="center" wrapText="1"/>
    </xf>
    <xf numFmtId="0" fontId="11" fillId="0" borderId="195" xfId="0" applyFont="1" applyBorder="1" applyAlignment="1">
      <alignment horizontal="center" vertical="center" wrapText="1"/>
    </xf>
    <xf numFmtId="0" fontId="11" fillId="0" borderId="44" xfId="0" applyFont="1" applyBorder="1" applyAlignment="1">
      <alignment horizontal="center" vertical="center" wrapText="1"/>
    </xf>
    <xf numFmtId="14" fontId="11" fillId="0" borderId="203" xfId="0" applyNumberFormat="1" applyFont="1" applyBorder="1" applyAlignment="1">
      <alignment horizontal="center" vertical="center" wrapText="1"/>
    </xf>
    <xf numFmtId="4" fontId="11" fillId="0" borderId="194" xfId="2" applyNumberFormat="1" applyFont="1" applyBorder="1" applyAlignment="1">
      <alignment horizontal="right" vertical="center" wrapText="1"/>
    </xf>
    <xf numFmtId="0" fontId="11" fillId="0" borderId="204" xfId="0" applyFont="1" applyBorder="1" applyAlignment="1">
      <alignment horizontal="center" vertical="center" wrapText="1"/>
    </xf>
    <xf numFmtId="9" fontId="11" fillId="0" borderId="204" xfId="0" applyNumberFormat="1" applyFont="1" applyBorder="1" applyAlignment="1">
      <alignment horizontal="right" vertical="center" wrapText="1"/>
    </xf>
    <xf numFmtId="0" fontId="11" fillId="0" borderId="194" xfId="0" applyFont="1" applyBorder="1" applyAlignment="1">
      <alignment horizontal="left" vertical="center" wrapText="1"/>
    </xf>
    <xf numFmtId="0" fontId="11" fillId="0" borderId="196" xfId="0" applyFont="1" applyBorder="1" applyAlignment="1">
      <alignment horizontal="center" vertical="center"/>
    </xf>
    <xf numFmtId="0" fontId="11" fillId="0" borderId="195" xfId="0" applyFont="1" applyBorder="1" applyAlignment="1">
      <alignment horizontal="center" vertical="center"/>
    </xf>
    <xf numFmtId="0" fontId="11" fillId="0" borderId="44" xfId="0" applyFont="1" applyBorder="1" applyAlignment="1">
      <alignment horizontal="center" vertical="center"/>
    </xf>
    <xf numFmtId="4" fontId="11" fillId="0" borderId="194" xfId="0" applyNumberFormat="1" applyFont="1" applyBorder="1" applyAlignment="1">
      <alignment horizontal="right" vertical="center"/>
    </xf>
    <xf numFmtId="9" fontId="11" fillId="0" borderId="204" xfId="0" applyNumberFormat="1" applyFont="1" applyBorder="1" applyAlignment="1">
      <alignment horizontal="right" vertical="center"/>
    </xf>
    <xf numFmtId="0" fontId="11" fillId="0" borderId="161" xfId="0" applyFont="1" applyBorder="1" applyAlignment="1">
      <alignment horizontal="center"/>
    </xf>
    <xf numFmtId="0" fontId="11" fillId="0" borderId="196" xfId="2" applyFont="1" applyBorder="1" applyAlignment="1">
      <alignment horizontal="center" vertical="center"/>
    </xf>
    <xf numFmtId="0" fontId="11" fillId="0" borderId="203" xfId="0" applyFont="1" applyBorder="1" applyAlignment="1">
      <alignment horizontal="center"/>
    </xf>
    <xf numFmtId="0" fontId="11" fillId="0" borderId="195" xfId="0" applyFont="1" applyBorder="1" applyAlignment="1">
      <alignment horizontal="center"/>
    </xf>
    <xf numFmtId="0" fontId="11" fillId="0" borderId="204" xfId="0" applyFont="1" applyBorder="1" applyAlignment="1">
      <alignment horizontal="center"/>
    </xf>
    <xf numFmtId="0" fontId="12" fillId="0" borderId="177" xfId="0" applyFont="1" applyBorder="1" applyAlignment="1">
      <alignment horizontal="center"/>
    </xf>
    <xf numFmtId="0" fontId="12" fillId="0" borderId="167" xfId="0" applyFont="1" applyBorder="1" applyAlignment="1">
      <alignment horizontal="center"/>
    </xf>
    <xf numFmtId="0" fontId="11" fillId="0" borderId="160" xfId="0" applyFont="1" applyBorder="1"/>
    <xf numFmtId="0" fontId="11" fillId="0" borderId="177" xfId="0" applyFont="1" applyBorder="1"/>
    <xf numFmtId="0" fontId="11" fillId="0" borderId="178" xfId="0" applyFont="1" applyBorder="1"/>
    <xf numFmtId="0" fontId="11" fillId="0" borderId="166" xfId="0" applyFont="1" applyBorder="1"/>
    <xf numFmtId="4" fontId="11" fillId="0" borderId="160" xfId="0" applyNumberFormat="1" applyFont="1" applyBorder="1"/>
    <xf numFmtId="0" fontId="11" fillId="0" borderId="167" xfId="0" applyFont="1" applyBorder="1"/>
    <xf numFmtId="0" fontId="8" fillId="0" borderId="0" xfId="7" applyFont="1" applyAlignment="1">
      <alignment horizontal="left"/>
    </xf>
    <xf numFmtId="0" fontId="4" fillId="0" borderId="0" xfId="7" applyFont="1" applyAlignment="1">
      <alignment horizontal="centerContinuous"/>
    </xf>
    <xf numFmtId="0" fontId="4" fillId="0" borderId="0" xfId="7" applyFont="1"/>
    <xf numFmtId="0" fontId="19" fillId="0" borderId="0" xfId="7" applyFont="1"/>
    <xf numFmtId="0" fontId="19" fillId="0" borderId="0" xfId="7" applyFont="1" applyAlignment="1">
      <alignment vertical="center" wrapText="1"/>
    </xf>
    <xf numFmtId="49" fontId="49" fillId="7" borderId="177" xfId="3" applyFont="1" applyFill="1" applyBorder="1" applyAlignment="1">
      <alignment horizontal="center" textRotation="90" wrapText="1"/>
    </xf>
    <xf numFmtId="49" fontId="49" fillId="7" borderId="13" xfId="3" applyFont="1" applyFill="1" applyBorder="1" applyAlignment="1">
      <alignment horizontal="center" textRotation="90" wrapText="1"/>
    </xf>
    <xf numFmtId="49" fontId="49" fillId="7" borderId="14" xfId="3" applyFont="1" applyFill="1" applyBorder="1" applyAlignment="1">
      <alignment horizontal="center" textRotation="90" wrapText="1"/>
    </xf>
    <xf numFmtId="49" fontId="49" fillId="7" borderId="64" xfId="3" applyFont="1" applyFill="1" applyBorder="1" applyAlignment="1">
      <alignment horizontal="center" textRotation="90" wrapText="1"/>
    </xf>
    <xf numFmtId="49" fontId="48" fillId="7" borderId="177" xfId="3" applyFont="1" applyFill="1" applyBorder="1" applyAlignment="1">
      <alignment horizontal="center" textRotation="90" wrapText="1"/>
    </xf>
    <xf numFmtId="49" fontId="48" fillId="7" borderId="178" xfId="3" applyFont="1" applyFill="1" applyBorder="1" applyAlignment="1">
      <alignment horizontal="center" textRotation="90" wrapText="1"/>
    </xf>
    <xf numFmtId="0" fontId="19" fillId="0" borderId="0" xfId="7" applyFont="1" applyAlignment="1">
      <alignment wrapText="1"/>
    </xf>
    <xf numFmtId="49" fontId="50" fillId="0" borderId="235" xfId="3" applyFont="1" applyBorder="1" applyAlignment="1">
      <alignment horizontal="left" wrapText="1"/>
    </xf>
    <xf numFmtId="49" fontId="50" fillId="0" borderId="236" xfId="3" applyFont="1" applyBorder="1" applyAlignment="1">
      <alignment horizontal="left" wrapText="1"/>
    </xf>
    <xf numFmtId="4" fontId="50" fillId="0" borderId="209" xfId="3" applyNumberFormat="1" applyFont="1" applyBorder="1" applyAlignment="1">
      <alignment horizontal="center"/>
    </xf>
    <xf numFmtId="3" fontId="50" fillId="0" borderId="222" xfId="3" applyNumberFormat="1" applyFont="1" applyBorder="1" applyAlignment="1">
      <alignment horizontal="center"/>
    </xf>
    <xf numFmtId="3" fontId="51" fillId="0" borderId="0" xfId="7" applyNumberFormat="1" applyFont="1" applyAlignment="1">
      <alignment horizontal="center"/>
    </xf>
    <xf numFmtId="3" fontId="48" fillId="0" borderId="158" xfId="3" applyNumberFormat="1" applyFont="1" applyBorder="1" applyAlignment="1">
      <alignment horizontal="center"/>
    </xf>
    <xf numFmtId="3" fontId="50" fillId="0" borderId="209" xfId="3" applyNumberFormat="1" applyFont="1" applyBorder="1" applyAlignment="1">
      <alignment horizontal="center"/>
    </xf>
    <xf numFmtId="3" fontId="50" fillId="0" borderId="158" xfId="3" applyNumberFormat="1" applyFont="1" applyBorder="1" applyAlignment="1">
      <alignment horizontal="center"/>
    </xf>
    <xf numFmtId="3" fontId="52" fillId="0" borderId="205" xfId="7" applyNumberFormat="1" applyFont="1" applyBorder="1" applyAlignment="1">
      <alignment horizontal="center"/>
    </xf>
    <xf numFmtId="3" fontId="50" fillId="0" borderId="207" xfId="3" applyNumberFormat="1" applyFont="1" applyBorder="1" applyAlignment="1">
      <alignment horizontal="center"/>
    </xf>
    <xf numFmtId="3" fontId="48" fillId="0" borderId="209" xfId="3" applyNumberFormat="1" applyFont="1" applyBorder="1" applyAlignment="1">
      <alignment horizontal="center"/>
    </xf>
    <xf numFmtId="3" fontId="48" fillId="0" borderId="130" xfId="3" applyNumberFormat="1" applyFont="1" applyBorder="1" applyAlignment="1">
      <alignment horizontal="center"/>
    </xf>
    <xf numFmtId="0" fontId="50" fillId="0" borderId="171" xfId="7" applyFont="1" applyBorder="1" applyAlignment="1">
      <alignment horizontal="left" wrapText="1"/>
    </xf>
    <xf numFmtId="49" fontId="50" fillId="0" borderId="2" xfId="3" applyFont="1" applyBorder="1" applyAlignment="1">
      <alignment horizontal="left" wrapText="1"/>
    </xf>
    <xf numFmtId="4" fontId="50" fillId="0" borderId="174" xfId="3" applyNumberFormat="1" applyFont="1" applyBorder="1" applyAlignment="1">
      <alignment horizontal="center"/>
    </xf>
    <xf numFmtId="3" fontId="50" fillId="0" borderId="205" xfId="3" applyNumberFormat="1" applyFont="1" applyBorder="1" applyAlignment="1">
      <alignment horizontal="center"/>
    </xf>
    <xf numFmtId="3" fontId="50" fillId="0" borderId="174" xfId="3" applyNumberFormat="1" applyFont="1" applyBorder="1" applyAlignment="1">
      <alignment horizontal="center"/>
    </xf>
    <xf numFmtId="3" fontId="50" fillId="0" borderId="172" xfId="3" applyNumberFormat="1" applyFont="1" applyBorder="1" applyAlignment="1">
      <alignment horizontal="center"/>
    </xf>
    <xf numFmtId="3" fontId="50" fillId="0" borderId="215" xfId="3" applyNumberFormat="1" applyFont="1" applyBorder="1" applyAlignment="1">
      <alignment horizontal="center"/>
    </xf>
    <xf numFmtId="3" fontId="48" fillId="0" borderId="215" xfId="3" applyNumberFormat="1" applyFont="1" applyBorder="1" applyAlignment="1">
      <alignment horizontal="center"/>
    </xf>
    <xf numFmtId="3" fontId="48" fillId="0" borderId="174" xfId="3" applyNumberFormat="1" applyFont="1" applyBorder="1" applyAlignment="1">
      <alignment horizontal="center"/>
    </xf>
    <xf numFmtId="49" fontId="50" fillId="0" borderId="62" xfId="3" applyFont="1" applyBorder="1" applyAlignment="1">
      <alignment horizontal="left" wrapText="1"/>
    </xf>
    <xf numFmtId="4" fontId="50" fillId="0" borderId="30" xfId="3" applyNumberFormat="1" applyFont="1" applyBorder="1" applyAlignment="1">
      <alignment horizontal="center"/>
    </xf>
    <xf numFmtId="3" fontId="50" fillId="0" borderId="221" xfId="3" applyNumberFormat="1" applyFont="1" applyBorder="1" applyAlignment="1">
      <alignment horizontal="center"/>
    </xf>
    <xf numFmtId="3" fontId="50" fillId="0" borderId="30" xfId="3" applyNumberFormat="1" applyFont="1" applyBorder="1" applyAlignment="1">
      <alignment horizontal="center"/>
    </xf>
    <xf numFmtId="3" fontId="50" fillId="0" borderId="31" xfId="3" applyNumberFormat="1" applyFont="1" applyBorder="1" applyAlignment="1">
      <alignment horizontal="center"/>
    </xf>
    <xf numFmtId="3" fontId="50" fillId="0" borderId="157" xfId="3" applyNumberFormat="1" applyFont="1" applyBorder="1" applyAlignment="1">
      <alignment horizontal="center"/>
    </xf>
    <xf numFmtId="49" fontId="50" fillId="0" borderId="163" xfId="3" applyFont="1" applyBorder="1" applyAlignment="1">
      <alignment horizontal="left" wrapText="1"/>
    </xf>
    <xf numFmtId="4" fontId="50" fillId="0" borderId="203" xfId="3" applyNumberFormat="1" applyFont="1" applyBorder="1" applyAlignment="1">
      <alignment horizontal="center"/>
    </xf>
    <xf numFmtId="3" fontId="50" fillId="0" borderId="195" xfId="3" applyNumberFormat="1" applyFont="1" applyBorder="1" applyAlignment="1">
      <alignment horizontal="center"/>
    </xf>
    <xf numFmtId="3" fontId="50" fillId="0" borderId="203" xfId="3" applyNumberFormat="1" applyFont="1" applyBorder="1" applyAlignment="1">
      <alignment horizontal="center"/>
    </xf>
    <xf numFmtId="3" fontId="52" fillId="0" borderId="222" xfId="7" applyNumberFormat="1" applyFont="1" applyBorder="1" applyAlignment="1">
      <alignment horizontal="center"/>
    </xf>
    <xf numFmtId="3" fontId="50" fillId="0" borderId="194" xfId="3" applyNumberFormat="1" applyFont="1" applyBorder="1" applyAlignment="1">
      <alignment horizontal="center"/>
    </xf>
    <xf numFmtId="3" fontId="50" fillId="0" borderId="196" xfId="3" applyNumberFormat="1" applyFont="1" applyBorder="1" applyAlignment="1">
      <alignment horizontal="center"/>
    </xf>
    <xf numFmtId="3" fontId="48" fillId="0" borderId="175" xfId="3" applyNumberFormat="1" applyFont="1" applyBorder="1" applyAlignment="1">
      <alignment horizontal="center"/>
    </xf>
    <xf numFmtId="0" fontId="50" fillId="0" borderId="211" xfId="7" applyFont="1" applyBorder="1" applyAlignment="1">
      <alignment horizontal="left" wrapText="1"/>
    </xf>
    <xf numFmtId="49" fontId="50" fillId="0" borderId="46" xfId="3" applyFont="1" applyBorder="1" applyAlignment="1">
      <alignment horizontal="left" wrapText="1"/>
    </xf>
    <xf numFmtId="49" fontId="48" fillId="2" borderId="164" xfId="3" applyFont="1" applyFill="1" applyBorder="1" applyAlignment="1">
      <alignment horizontal="center"/>
    </xf>
    <xf numFmtId="4" fontId="48" fillId="2" borderId="177" xfId="3" applyNumberFormat="1" applyFont="1" applyFill="1" applyBorder="1" applyAlignment="1">
      <alignment horizontal="center"/>
    </xf>
    <xf numFmtId="3" fontId="48" fillId="2" borderId="13" xfId="3" applyNumberFormat="1" applyFont="1" applyFill="1" applyBorder="1" applyAlignment="1">
      <alignment horizontal="center"/>
    </xf>
    <xf numFmtId="3" fontId="48" fillId="2" borderId="178" xfId="14" applyNumberFormat="1" applyFont="1" applyFill="1" applyBorder="1" applyAlignment="1">
      <alignment horizontal="center"/>
    </xf>
    <xf numFmtId="4" fontId="19" fillId="0" borderId="0" xfId="7" applyNumberFormat="1" applyFont="1"/>
    <xf numFmtId="0" fontId="12" fillId="7" borderId="205" xfId="7" applyFont="1" applyFill="1" applyBorder="1" applyAlignment="1">
      <alignment horizontal="center" vertical="center" wrapText="1"/>
    </xf>
    <xf numFmtId="0" fontId="12" fillId="7" borderId="205" xfId="7" applyFont="1" applyFill="1" applyBorder="1" applyAlignment="1">
      <alignment horizontal="center" vertical="center"/>
    </xf>
    <xf numFmtId="0" fontId="5" fillId="0" borderId="0" xfId="7" applyFont="1" applyAlignment="1">
      <alignment horizontal="center" vertical="center"/>
    </xf>
    <xf numFmtId="0" fontId="11" fillId="0" borderId="205" xfId="7" applyFont="1" applyBorder="1"/>
    <xf numFmtId="4" fontId="11" fillId="0" borderId="205" xfId="7" applyNumberFormat="1" applyFont="1" applyBorder="1" applyAlignment="1">
      <alignment horizontal="center"/>
    </xf>
    <xf numFmtId="0" fontId="12" fillId="6" borderId="205" xfId="7" applyFont="1" applyFill="1" applyBorder="1" applyAlignment="1">
      <alignment horizontal="right" vertical="center" indent="2"/>
    </xf>
    <xf numFmtId="4" fontId="12" fillId="6" borderId="205" xfId="7" applyNumberFormat="1" applyFont="1" applyFill="1" applyBorder="1" applyAlignment="1">
      <alignment horizontal="center" vertical="center"/>
    </xf>
    <xf numFmtId="0" fontId="3" fillId="0" borderId="0" xfId="7" applyAlignment="1">
      <alignment vertical="center"/>
    </xf>
    <xf numFmtId="4" fontId="3" fillId="0" borderId="0" xfId="7" applyNumberFormat="1"/>
    <xf numFmtId="0" fontId="11" fillId="0" borderId="205" xfId="7" applyFont="1" applyBorder="1" applyAlignment="1">
      <alignment vertical="center" wrapText="1"/>
    </xf>
    <xf numFmtId="4" fontId="11" fillId="0" borderId="205" xfId="7" applyNumberFormat="1" applyFont="1" applyBorder="1" applyAlignment="1">
      <alignment horizontal="center" vertical="center"/>
    </xf>
    <xf numFmtId="0" fontId="11" fillId="0" borderId="0" xfId="7" applyFont="1" applyAlignment="1">
      <alignment vertical="center" wrapText="1"/>
    </xf>
    <xf numFmtId="4" fontId="11" fillId="0" borderId="0" xfId="7" applyNumberFormat="1" applyFont="1" applyAlignment="1">
      <alignment horizontal="center" vertical="center"/>
    </xf>
    <xf numFmtId="0" fontId="12" fillId="7" borderId="222" xfId="7" applyFont="1" applyFill="1" applyBorder="1" applyAlignment="1">
      <alignment horizontal="center" vertical="center" wrapText="1"/>
    </xf>
    <xf numFmtId="0" fontId="12" fillId="7" borderId="222" xfId="7" applyFont="1" applyFill="1" applyBorder="1" applyAlignment="1">
      <alignment horizontal="center" vertical="center"/>
    </xf>
    <xf numFmtId="0" fontId="12" fillId="6" borderId="205" xfId="7" applyFont="1" applyFill="1" applyBorder="1" applyAlignment="1">
      <alignment horizontal="right" vertical="center" wrapText="1"/>
    </xf>
    <xf numFmtId="0" fontId="11" fillId="0" borderId="205" xfId="7" applyFont="1" applyBorder="1" applyAlignment="1">
      <alignment wrapText="1"/>
    </xf>
    <xf numFmtId="0" fontId="4" fillId="0" borderId="55" xfId="7" applyFont="1" applyBorder="1" applyAlignment="1">
      <alignment horizontal="left" indent="2"/>
    </xf>
    <xf numFmtId="0" fontId="4" fillId="0" borderId="0" xfId="7" applyFont="1" applyAlignment="1">
      <alignment horizontal="left" indent="2"/>
    </xf>
    <xf numFmtId="0" fontId="8" fillId="0" borderId="0" xfId="7" applyFont="1"/>
    <xf numFmtId="0" fontId="8" fillId="0" borderId="0" xfId="7" quotePrefix="1" applyFont="1"/>
    <xf numFmtId="0" fontId="20" fillId="0" borderId="0" xfId="7" applyFont="1"/>
    <xf numFmtId="0" fontId="8" fillId="7" borderId="177" xfId="7" applyFont="1" applyFill="1" applyBorder="1" applyAlignment="1">
      <alignment horizontal="center" vertical="center" textRotation="90" wrapText="1"/>
    </xf>
    <xf numFmtId="0" fontId="8" fillId="7" borderId="13" xfId="7" applyFont="1" applyFill="1" applyBorder="1" applyAlignment="1">
      <alignment horizontal="center" vertical="center" textRotation="90" wrapText="1"/>
    </xf>
    <xf numFmtId="0" fontId="8" fillId="7" borderId="167" xfId="7" applyFont="1" applyFill="1" applyBorder="1" applyAlignment="1">
      <alignment horizontal="center" vertical="center" textRotation="90" wrapText="1"/>
    </xf>
    <xf numFmtId="0" fontId="8" fillId="7" borderId="160" xfId="7" applyFont="1" applyFill="1" applyBorder="1" applyAlignment="1">
      <alignment horizontal="center" vertical="center" textRotation="90" wrapText="1"/>
    </xf>
    <xf numFmtId="0" fontId="20" fillId="0" borderId="0" xfId="7" applyFont="1" applyAlignment="1">
      <alignment horizontal="center" vertical="center" textRotation="90"/>
    </xf>
    <xf numFmtId="0" fontId="8" fillId="0" borderId="161" xfId="7" applyFont="1" applyBorder="1" applyAlignment="1">
      <alignment horizontal="center" wrapText="1"/>
    </xf>
    <xf numFmtId="0" fontId="8" fillId="0" borderId="197" xfId="7" applyFont="1" applyBorder="1" applyAlignment="1">
      <alignment horizontal="center"/>
    </xf>
    <xf numFmtId="0" fontId="8" fillId="0" borderId="195" xfId="7" applyFont="1" applyBorder="1" applyAlignment="1">
      <alignment horizontal="center"/>
    </xf>
    <xf numFmtId="0" fontId="8" fillId="0" borderId="194" xfId="7" applyFont="1" applyBorder="1" applyAlignment="1">
      <alignment horizontal="center"/>
    </xf>
    <xf numFmtId="0" fontId="8" fillId="0" borderId="204" xfId="7" applyFont="1" applyBorder="1" applyAlignment="1">
      <alignment horizontal="center"/>
    </xf>
    <xf numFmtId="0" fontId="21" fillId="0" borderId="176" xfId="7" applyFont="1" applyBorder="1" applyAlignment="1">
      <alignment wrapText="1"/>
    </xf>
    <xf numFmtId="3" fontId="8" fillId="0" borderId="203" xfId="7" applyNumberFormat="1" applyFont="1" applyBorder="1"/>
    <xf numFmtId="3" fontId="8" fillId="0" borderId="195" xfId="7" applyNumberFormat="1" applyFont="1" applyBorder="1"/>
    <xf numFmtId="3" fontId="8" fillId="0" borderId="194" xfId="7" applyNumberFormat="1" applyFont="1" applyBorder="1"/>
    <xf numFmtId="3" fontId="8" fillId="0" borderId="204" xfId="7" applyNumberFormat="1" applyFont="1" applyBorder="1"/>
    <xf numFmtId="0" fontId="4" fillId="0" borderId="176" xfId="7" applyFont="1" applyBorder="1" applyAlignment="1">
      <alignment wrapText="1"/>
    </xf>
    <xf numFmtId="3" fontId="4" fillId="0" borderId="203" xfId="7" applyNumberFormat="1" applyFont="1" applyBorder="1"/>
    <xf numFmtId="3" fontId="4" fillId="0" borderId="195" xfId="7" applyNumberFormat="1" applyFont="1" applyBorder="1"/>
    <xf numFmtId="3" fontId="4" fillId="0" borderId="194" xfId="7" applyNumberFormat="1" applyFont="1" applyBorder="1"/>
    <xf numFmtId="3" fontId="4" fillId="0" borderId="204" xfId="7" applyNumberFormat="1" applyFont="1" applyBorder="1"/>
    <xf numFmtId="0" fontId="8" fillId="0" borderId="176" xfId="7" applyFont="1" applyBorder="1" applyAlignment="1">
      <alignment wrapText="1"/>
    </xf>
    <xf numFmtId="0" fontId="4" fillId="0" borderId="176" xfId="7" applyFont="1" applyBorder="1" applyAlignment="1">
      <alignment horizontal="left" wrapText="1"/>
    </xf>
    <xf numFmtId="0" fontId="4" fillId="0" borderId="176" xfId="7" quotePrefix="1" applyFont="1" applyBorder="1" applyAlignment="1">
      <alignment horizontal="left" wrapText="1"/>
    </xf>
    <xf numFmtId="0" fontId="21" fillId="0" borderId="176" xfId="7" applyFont="1" applyBorder="1" applyAlignment="1">
      <alignment horizontal="left" wrapText="1"/>
    </xf>
    <xf numFmtId="0" fontId="4" fillId="0" borderId="141" xfId="7" applyFont="1" applyBorder="1" applyAlignment="1">
      <alignment wrapText="1"/>
    </xf>
    <xf numFmtId="0" fontId="4" fillId="0" borderId="163" xfId="7" applyFont="1" applyBorder="1" applyAlignment="1">
      <alignment wrapText="1"/>
    </xf>
    <xf numFmtId="3" fontId="4" fillId="0" borderId="197" xfId="7" applyNumberFormat="1" applyFont="1" applyBorder="1"/>
    <xf numFmtId="3" fontId="4" fillId="0" borderId="162" xfId="7" applyNumberFormat="1" applyFont="1" applyBorder="1"/>
    <xf numFmtId="3" fontId="4" fillId="0" borderId="41" xfId="7" applyNumberFormat="1" applyFont="1" applyBorder="1"/>
    <xf numFmtId="3" fontId="4" fillId="0" borderId="168" xfId="7" applyNumberFormat="1" applyFont="1" applyBorder="1"/>
    <xf numFmtId="3" fontId="4" fillId="0" borderId="238" xfId="7" applyNumberFormat="1" applyFont="1" applyBorder="1"/>
    <xf numFmtId="3" fontId="4" fillId="0" borderId="43" xfId="7" applyNumberFormat="1" applyFont="1" applyBorder="1"/>
    <xf numFmtId="0" fontId="8" fillId="0" borderId="40" xfId="7" applyFont="1" applyBorder="1" applyAlignment="1">
      <alignment horizontal="center" wrapText="1"/>
    </xf>
    <xf numFmtId="3" fontId="8" fillId="0" borderId="49" xfId="7" applyNumberFormat="1" applyFont="1" applyBorder="1"/>
    <xf numFmtId="3" fontId="8" fillId="0" borderId="50" xfId="7" applyNumberFormat="1" applyFont="1" applyBorder="1"/>
    <xf numFmtId="3" fontId="8" fillId="0" borderId="53" xfId="7" applyNumberFormat="1" applyFont="1" applyBorder="1"/>
    <xf numFmtId="3" fontId="8" fillId="0" borderId="48" xfId="7" applyNumberFormat="1" applyFont="1" applyBorder="1"/>
    <xf numFmtId="3" fontId="8" fillId="0" borderId="51" xfId="7" applyNumberFormat="1" applyFont="1" applyBorder="1"/>
    <xf numFmtId="3" fontId="8" fillId="0" borderId="52" xfId="7" applyNumberFormat="1" applyFont="1" applyBorder="1"/>
    <xf numFmtId="0" fontId="8" fillId="0" borderId="166" xfId="7" applyFont="1" applyBorder="1" applyAlignment="1">
      <alignment horizontal="center" wrapText="1"/>
    </xf>
    <xf numFmtId="3" fontId="8" fillId="0" borderId="177" xfId="7" applyNumberFormat="1" applyFont="1" applyBorder="1"/>
    <xf numFmtId="3" fontId="8" fillId="0" borderId="165" xfId="7" applyNumberFormat="1" applyFont="1" applyBorder="1"/>
    <xf numFmtId="3" fontId="8" fillId="0" borderId="13" xfId="7" applyNumberFormat="1" applyFont="1" applyBorder="1"/>
    <xf numFmtId="3" fontId="8" fillId="0" borderId="167" xfId="7" applyNumberFormat="1" applyFont="1" applyBorder="1"/>
    <xf numFmtId="3" fontId="8" fillId="0" borderId="160" xfId="7" applyNumberFormat="1" applyFont="1" applyBorder="1"/>
    <xf numFmtId="3" fontId="8" fillId="0" borderId="178" xfId="7" applyNumberFormat="1" applyFont="1" applyBorder="1"/>
    <xf numFmtId="0" fontId="11" fillId="0" borderId="0" xfId="4" applyFont="1" applyAlignment="1">
      <alignment horizontal="center"/>
    </xf>
    <xf numFmtId="4" fontId="12" fillId="0" borderId="205" xfId="4" applyNumberFormat="1" applyFont="1" applyBorder="1" applyAlignment="1">
      <alignment horizontal="right" vertical="center"/>
    </xf>
    <xf numFmtId="3" fontId="3" fillId="5" borderId="205" xfId="4" applyNumberFormat="1" applyFill="1" applyBorder="1" applyAlignment="1">
      <alignment horizontal="center" vertical="center"/>
    </xf>
    <xf numFmtId="49" fontId="3" fillId="5" borderId="205" xfId="4" applyNumberFormat="1" applyFill="1" applyBorder="1" applyAlignment="1">
      <alignment horizontal="center" vertical="center"/>
    </xf>
    <xf numFmtId="0" fontId="3" fillId="0" borderId="205" xfId="4" applyBorder="1" applyAlignment="1">
      <alignment horizontal="center" vertical="center"/>
    </xf>
    <xf numFmtId="0" fontId="3" fillId="0" borderId="164" xfId="4" applyBorder="1" applyAlignment="1">
      <alignment horizontal="left" vertical="center"/>
    </xf>
    <xf numFmtId="4" fontId="11" fillId="0" borderId="0" xfId="4" applyNumberFormat="1" applyFont="1" applyAlignment="1">
      <alignment horizontal="right"/>
    </xf>
    <xf numFmtId="3" fontId="11" fillId="0" borderId="0" xfId="4" applyNumberFormat="1" applyFont="1"/>
    <xf numFmtId="1" fontId="11" fillId="0" borderId="0" xfId="4" applyNumberFormat="1" applyFont="1" applyAlignment="1">
      <alignment horizontal="center"/>
    </xf>
    <xf numFmtId="49" fontId="11" fillId="0" borderId="0" xfId="4" applyNumberFormat="1" applyFont="1" applyAlignment="1">
      <alignment horizontal="center"/>
    </xf>
    <xf numFmtId="3" fontId="11" fillId="0" borderId="0" xfId="4" applyNumberFormat="1" applyFont="1" applyAlignment="1">
      <alignment horizontal="center"/>
    </xf>
    <xf numFmtId="0" fontId="11" fillId="0" borderId="163" xfId="4" applyFont="1" applyBorder="1"/>
    <xf numFmtId="4" fontId="11" fillId="0" borderId="202" xfId="4" applyNumberFormat="1" applyFont="1" applyBorder="1" applyAlignment="1">
      <alignment horizontal="right"/>
    </xf>
    <xf numFmtId="3" fontId="11" fillId="0" borderId="202" xfId="4" applyNumberFormat="1" applyFont="1" applyBorder="1" applyAlignment="1">
      <alignment horizontal="center"/>
    </xf>
    <xf numFmtId="0" fontId="11" fillId="0" borderId="193" xfId="4" applyFont="1" applyBorder="1" applyAlignment="1">
      <alignment horizontal="center"/>
    </xf>
    <xf numFmtId="3" fontId="11" fillId="0" borderId="220" xfId="4" applyNumberFormat="1" applyFont="1" applyBorder="1" applyAlignment="1">
      <alignment horizontal="center"/>
    </xf>
    <xf numFmtId="0" fontId="11" fillId="0" borderId="202" xfId="4" applyFont="1" applyBorder="1"/>
    <xf numFmtId="0" fontId="11" fillId="0" borderId="193" xfId="4" applyFont="1" applyBorder="1"/>
    <xf numFmtId="4" fontId="11" fillId="0" borderId="204" xfId="4" applyNumberFormat="1" applyFont="1" applyBorder="1" applyAlignment="1">
      <alignment horizontal="right"/>
    </xf>
    <xf numFmtId="3" fontId="11" fillId="0" borderId="204" xfId="4" applyNumberFormat="1" applyFont="1" applyBorder="1" applyAlignment="1">
      <alignment horizontal="center"/>
    </xf>
    <xf numFmtId="0" fontId="11" fillId="0" borderId="176" xfId="4" applyFont="1" applyBorder="1" applyAlignment="1">
      <alignment horizontal="center"/>
    </xf>
    <xf numFmtId="0" fontId="11" fillId="0" borderId="204" xfId="4" applyFont="1" applyBorder="1"/>
    <xf numFmtId="0" fontId="3" fillId="0" borderId="176" xfId="4" applyBorder="1" applyAlignment="1">
      <alignment horizontal="left" vertical="center"/>
    </xf>
    <xf numFmtId="0" fontId="3" fillId="0" borderId="247" xfId="4" applyBorder="1" applyAlignment="1">
      <alignment horizontal="left" vertical="center"/>
    </xf>
    <xf numFmtId="0" fontId="3" fillId="0" borderId="248" xfId="4" applyBorder="1" applyAlignment="1">
      <alignment horizontal="left" vertical="center"/>
    </xf>
    <xf numFmtId="0" fontId="5" fillId="0" borderId="248" xfId="4" applyFont="1" applyBorder="1" applyAlignment="1">
      <alignment horizontal="left" vertical="center" wrapText="1"/>
    </xf>
    <xf numFmtId="0" fontId="5" fillId="0" borderId="248" xfId="4" applyFont="1" applyBorder="1" applyAlignment="1">
      <alignment horizontal="left" vertical="center"/>
    </xf>
    <xf numFmtId="0" fontId="11" fillId="0" borderId="176" xfId="4" applyFont="1" applyBorder="1"/>
    <xf numFmtId="0" fontId="5" fillId="0" borderId="176" xfId="4" applyFont="1" applyBorder="1" applyAlignment="1">
      <alignment horizontal="left" vertical="center"/>
    </xf>
    <xf numFmtId="4" fontId="3" fillId="0" borderId="248" xfId="4" applyNumberFormat="1" applyBorder="1" applyAlignment="1">
      <alignment horizontal="center" vertical="center"/>
    </xf>
    <xf numFmtId="3" fontId="3" fillId="5" borderId="248" xfId="4" applyNumberFormat="1" applyFill="1" applyBorder="1" applyAlignment="1">
      <alignment horizontal="center" vertical="center"/>
    </xf>
    <xf numFmtId="49" fontId="3" fillId="5" borderId="248" xfId="4" applyNumberFormat="1" applyFill="1" applyBorder="1" applyAlignment="1">
      <alignment horizontal="center" vertical="center"/>
    </xf>
    <xf numFmtId="0" fontId="3" fillId="0" borderId="248" xfId="4" applyBorder="1" applyAlignment="1">
      <alignment horizontal="center" vertical="center"/>
    </xf>
    <xf numFmtId="0" fontId="12" fillId="8" borderId="167" xfId="4" applyFont="1" applyFill="1" applyBorder="1" applyAlignment="1">
      <alignment horizontal="center"/>
    </xf>
    <xf numFmtId="0" fontId="12" fillId="8" borderId="166" xfId="4" applyFont="1" applyFill="1" applyBorder="1" applyAlignment="1">
      <alignment horizontal="center" wrapText="1"/>
    </xf>
    <xf numFmtId="0" fontId="12" fillId="8" borderId="164" xfId="4" applyFont="1" applyFill="1" applyBorder="1" applyAlignment="1">
      <alignment horizontal="center"/>
    </xf>
    <xf numFmtId="0" fontId="12" fillId="8" borderId="166" xfId="4" applyFont="1" applyFill="1" applyBorder="1" applyAlignment="1">
      <alignment horizontal="center"/>
    </xf>
    <xf numFmtId="0" fontId="12" fillId="0" borderId="0" xfId="4" applyFont="1" applyAlignment="1">
      <alignment horizontal="center"/>
    </xf>
    <xf numFmtId="0" fontId="12" fillId="0" borderId="0" xfId="7" applyFont="1"/>
    <xf numFmtId="0" fontId="10" fillId="0" borderId="0" xfId="4" applyFont="1"/>
    <xf numFmtId="0" fontId="12" fillId="0" borderId="0" xfId="4" applyFont="1"/>
    <xf numFmtId="49" fontId="15" fillId="0" borderId="0" xfId="1" quotePrefix="1" applyNumberFormat="1" applyFont="1" applyAlignment="1">
      <alignment horizontal="left" vertical="center"/>
    </xf>
    <xf numFmtId="15" fontId="12" fillId="7" borderId="161" xfId="2" applyNumberFormat="1" applyFont="1" applyFill="1" applyBorder="1" applyAlignment="1">
      <alignment horizontal="center" vertical="center"/>
    </xf>
    <xf numFmtId="0" fontId="12" fillId="7" borderId="161" xfId="2" applyFont="1" applyFill="1" applyBorder="1" applyAlignment="1">
      <alignment horizontal="center" vertical="center"/>
    </xf>
    <xf numFmtId="0" fontId="12" fillId="7" borderId="202" xfId="2" applyFont="1" applyFill="1" applyBorder="1" applyAlignment="1">
      <alignment horizontal="center" vertical="center"/>
    </xf>
    <xf numFmtId="0" fontId="12" fillId="0" borderId="176" xfId="2" applyFont="1" applyBorder="1" applyAlignment="1">
      <alignment horizontal="left" vertical="center"/>
    </xf>
    <xf numFmtId="0" fontId="12" fillId="0" borderId="194" xfId="4" applyFont="1" applyBorder="1" applyAlignment="1">
      <alignment horizontal="left"/>
    </xf>
    <xf numFmtId="0" fontId="12" fillId="0" borderId="203" xfId="2" applyFont="1" applyBorder="1" applyAlignment="1">
      <alignment vertical="center"/>
    </xf>
    <xf numFmtId="2" fontId="12" fillId="0" borderId="195" xfId="2" applyNumberFormat="1" applyFont="1" applyBorder="1" applyAlignment="1">
      <alignment vertical="center"/>
    </xf>
    <xf numFmtId="0" fontId="12" fillId="0" borderId="44" xfId="2" applyFont="1" applyBorder="1" applyAlignment="1">
      <alignment vertical="center"/>
    </xf>
    <xf numFmtId="4" fontId="12" fillId="0" borderId="203" xfId="2" applyNumberFormat="1" applyFont="1" applyBorder="1" applyAlignment="1">
      <alignment vertical="center"/>
    </xf>
    <xf numFmtId="4" fontId="12" fillId="0" borderId="195" xfId="2" applyNumberFormat="1" applyFont="1" applyBorder="1" applyAlignment="1">
      <alignment vertical="center"/>
    </xf>
    <xf numFmtId="4" fontId="11" fillId="0" borderId="203" xfId="2" applyNumberFormat="1" applyFont="1" applyBorder="1" applyAlignment="1">
      <alignment vertical="center"/>
    </xf>
    <xf numFmtId="4" fontId="11" fillId="0" borderId="195" xfId="2" applyNumberFormat="1" applyFont="1" applyBorder="1" applyAlignment="1">
      <alignment vertical="center"/>
    </xf>
    <xf numFmtId="0" fontId="12" fillId="2" borderId="193" xfId="2" applyFont="1" applyFill="1" applyBorder="1" applyAlignment="1">
      <alignment horizontal="center" vertical="center"/>
    </xf>
    <xf numFmtId="0" fontId="12" fillId="2" borderId="141" xfId="2" applyFont="1" applyFill="1" applyBorder="1" applyAlignment="1">
      <alignment horizontal="center" vertical="center"/>
    </xf>
    <xf numFmtId="4" fontId="12" fillId="2" borderId="177" xfId="2" applyNumberFormat="1" applyFont="1" applyFill="1" applyBorder="1" applyAlignment="1">
      <alignment vertical="center"/>
    </xf>
    <xf numFmtId="0" fontId="12" fillId="2" borderId="178" xfId="2" applyFont="1" applyFill="1" applyBorder="1" applyAlignment="1">
      <alignment vertical="center"/>
    </xf>
    <xf numFmtId="49" fontId="11" fillId="0" borderId="0" xfId="1" applyNumberFormat="1" applyFont="1" applyAlignment="1">
      <alignment horizontal="left" vertical="center"/>
    </xf>
    <xf numFmtId="0" fontId="3" fillId="0" borderId="249" xfId="2" applyFont="1" applyBorder="1" applyAlignment="1">
      <alignment horizontal="left" vertical="center"/>
    </xf>
    <xf numFmtId="3" fontId="3" fillId="0" borderId="249" xfId="2" applyNumberFormat="1" applyFont="1" applyBorder="1" applyAlignment="1">
      <alignment vertical="center"/>
    </xf>
    <xf numFmtId="0" fontId="3" fillId="0" borderId="249" xfId="2" applyFont="1" applyBorder="1" applyAlignment="1">
      <alignment vertical="center"/>
    </xf>
    <xf numFmtId="0" fontId="53" fillId="0" borderId="249" xfId="7" applyFont="1" applyBorder="1" applyAlignment="1">
      <alignment vertical="top" wrapText="1"/>
    </xf>
    <xf numFmtId="0" fontId="3" fillId="0" borderId="249" xfId="2" applyFont="1" applyBorder="1" applyAlignment="1">
      <alignment vertical="center" wrapText="1"/>
    </xf>
    <xf numFmtId="0" fontId="53" fillId="0" borderId="248" xfId="7" applyFont="1" applyBorder="1" applyAlignment="1">
      <alignment vertical="top"/>
    </xf>
    <xf numFmtId="0" fontId="3" fillId="0" borderId="248" xfId="2" applyFont="1" applyBorder="1" applyAlignment="1">
      <alignment horizontal="left" vertical="center"/>
    </xf>
    <xf numFmtId="3" fontId="3" fillId="0" borderId="248" xfId="2" applyNumberFormat="1" applyFont="1" applyBorder="1" applyAlignment="1">
      <alignment vertical="center"/>
    </xf>
    <xf numFmtId="0" fontId="3" fillId="0" borderId="248" xfId="2" applyFont="1" applyBorder="1" applyAlignment="1">
      <alignment vertical="center"/>
    </xf>
    <xf numFmtId="0" fontId="53" fillId="0" borderId="248" xfId="7" applyFont="1" applyBorder="1" applyAlignment="1">
      <alignment vertical="top" wrapText="1"/>
    </xf>
    <xf numFmtId="0" fontId="3" fillId="0" borderId="248" xfId="2" applyFont="1" applyBorder="1" applyAlignment="1">
      <alignment vertical="center" wrapText="1"/>
    </xf>
    <xf numFmtId="3" fontId="12" fillId="2" borderId="177" xfId="2" applyNumberFormat="1" applyFont="1" applyFill="1" applyBorder="1" applyAlignment="1">
      <alignment vertical="center"/>
    </xf>
    <xf numFmtId="0" fontId="54" fillId="0" borderId="205" xfId="2" applyFont="1" applyFill="1" applyBorder="1" applyAlignment="1">
      <alignment horizontal="left" vertical="center"/>
    </xf>
    <xf numFmtId="0" fontId="12" fillId="0" borderId="205" xfId="2" applyFont="1" applyFill="1" applyBorder="1" applyAlignment="1">
      <alignment horizontal="left" vertical="center"/>
    </xf>
    <xf numFmtId="0" fontId="12" fillId="0" borderId="205" xfId="2" applyFont="1" applyFill="1" applyBorder="1" applyAlignment="1">
      <alignment horizontal="center" vertical="center"/>
    </xf>
    <xf numFmtId="0" fontId="12" fillId="0" borderId="205" xfId="2" applyFont="1" applyFill="1" applyBorder="1" applyAlignment="1">
      <alignment vertical="center"/>
    </xf>
    <xf numFmtId="0" fontId="11" fillId="0" borderId="205" xfId="2" applyFont="1" applyFill="1" applyBorder="1" applyAlignment="1">
      <alignment horizontal="left" vertical="center" wrapText="1"/>
    </xf>
    <xf numFmtId="0" fontId="11" fillId="0" borderId="205" xfId="2" applyFont="1" applyFill="1" applyBorder="1" applyAlignment="1">
      <alignment horizontal="left" vertical="center"/>
    </xf>
    <xf numFmtId="0" fontId="11" fillId="0" borderId="205" xfId="2" applyFont="1" applyFill="1" applyBorder="1" applyAlignment="1">
      <alignment vertical="center"/>
    </xf>
    <xf numFmtId="4" fontId="11" fillId="0" borderId="205" xfId="4" applyNumberFormat="1" applyFont="1" applyFill="1" applyBorder="1" applyAlignment="1">
      <alignment horizontal="center" vertical="center" wrapText="1"/>
    </xf>
    <xf numFmtId="14" fontId="11" fillId="0" borderId="205" xfId="2" applyNumberFormat="1" applyFont="1" applyFill="1" applyBorder="1" applyAlignment="1">
      <alignment vertical="center"/>
    </xf>
    <xf numFmtId="14" fontId="12" fillId="0" borderId="205" xfId="2" applyNumberFormat="1" applyFont="1" applyFill="1" applyBorder="1" applyAlignment="1">
      <alignment vertical="center"/>
    </xf>
    <xf numFmtId="0" fontId="11" fillId="0" borderId="205" xfId="4" applyFont="1" applyFill="1" applyBorder="1" applyAlignment="1">
      <alignment horizontal="left" vertical="center" wrapText="1"/>
    </xf>
    <xf numFmtId="0" fontId="11" fillId="0" borderId="205" xfId="4" applyFont="1" applyFill="1" applyBorder="1" applyAlignment="1">
      <alignment horizontal="center" vertical="center" wrapText="1"/>
    </xf>
    <xf numFmtId="0" fontId="11" fillId="0" borderId="205" xfId="2" applyFont="1" applyFill="1" applyBorder="1" applyAlignment="1">
      <alignment horizontal="center" vertical="center"/>
    </xf>
    <xf numFmtId="14" fontId="11" fillId="0" borderId="205" xfId="4" applyNumberFormat="1" applyFont="1" applyFill="1" applyBorder="1" applyAlignment="1">
      <alignment horizontal="center" vertical="center" wrapText="1"/>
    </xf>
    <xf numFmtId="0" fontId="11" fillId="5" borderId="205" xfId="4" applyFont="1" applyFill="1" applyBorder="1" applyAlignment="1">
      <alignment horizontal="left" vertical="center" wrapText="1"/>
    </xf>
    <xf numFmtId="0" fontId="11" fillId="5" borderId="205" xfId="4" applyFont="1" applyFill="1" applyBorder="1" applyAlignment="1">
      <alignment horizontal="center" vertical="center" wrapText="1"/>
    </xf>
    <xf numFmtId="4" fontId="11" fillId="5" borderId="205" xfId="4" applyNumberFormat="1" applyFont="1" applyFill="1" applyBorder="1" applyAlignment="1">
      <alignment horizontal="center" vertical="center" wrapText="1"/>
    </xf>
    <xf numFmtId="14" fontId="11" fillId="5" borderId="205" xfId="4" applyNumberFormat="1" applyFont="1" applyFill="1" applyBorder="1" applyAlignment="1">
      <alignment horizontal="center" vertical="center" wrapText="1"/>
    </xf>
    <xf numFmtId="0" fontId="11" fillId="0" borderId="205" xfId="2" applyFont="1" applyBorder="1" applyAlignment="1">
      <alignment horizontal="center" vertical="center"/>
    </xf>
    <xf numFmtId="0" fontId="11" fillId="0" borderId="205" xfId="2" applyFont="1" applyBorder="1" applyAlignment="1">
      <alignment vertical="center"/>
    </xf>
    <xf numFmtId="49" fontId="11" fillId="0" borderId="205" xfId="1" applyNumberFormat="1" applyFont="1" applyFill="1" applyBorder="1" applyAlignment="1">
      <alignment horizontal="left" vertical="center"/>
    </xf>
    <xf numFmtId="22" fontId="11" fillId="5" borderId="205" xfId="4" applyNumberFormat="1" applyFont="1" applyFill="1" applyBorder="1" applyAlignment="1">
      <alignment horizontal="center" vertical="center" wrapText="1"/>
    </xf>
    <xf numFmtId="4" fontId="12" fillId="2" borderId="15" xfId="2" applyNumberFormat="1" applyFont="1" applyFill="1" applyBorder="1" applyAlignment="1">
      <alignment vertical="center"/>
    </xf>
    <xf numFmtId="4" fontId="11" fillId="0" borderId="205" xfId="2" applyNumberFormat="1" applyFont="1" applyFill="1" applyBorder="1" applyAlignment="1">
      <alignment vertical="center"/>
    </xf>
    <xf numFmtId="14" fontId="11" fillId="0" borderId="205" xfId="2" applyNumberFormat="1" applyFont="1" applyFill="1" applyBorder="1" applyAlignment="1">
      <alignment horizontal="center" vertical="center"/>
    </xf>
    <xf numFmtId="17" fontId="11" fillId="0" borderId="205" xfId="2" applyNumberFormat="1" applyFont="1" applyFill="1" applyBorder="1" applyAlignment="1">
      <alignment vertical="center"/>
    </xf>
    <xf numFmtId="0" fontId="11" fillId="0" borderId="205" xfId="2" applyFont="1" applyFill="1" applyBorder="1" applyAlignment="1">
      <alignment vertical="center" wrapText="1"/>
    </xf>
    <xf numFmtId="15" fontId="11" fillId="0" borderId="205" xfId="2" applyNumberFormat="1" applyFont="1" applyFill="1" applyBorder="1" applyAlignment="1">
      <alignment horizontal="center" vertical="center"/>
    </xf>
    <xf numFmtId="0" fontId="54" fillId="0" borderId="205" xfId="2" applyFont="1" applyFill="1" applyBorder="1" applyAlignment="1">
      <alignment horizontal="left" vertical="center" wrapText="1"/>
    </xf>
    <xf numFmtId="0" fontId="35" fillId="0" borderId="205" xfId="0" applyFont="1" applyBorder="1" applyAlignment="1">
      <alignment wrapText="1"/>
    </xf>
    <xf numFmtId="14" fontId="11" fillId="0" borderId="205" xfId="2" applyNumberFormat="1" applyFont="1" applyBorder="1" applyAlignment="1">
      <alignment vertical="center"/>
    </xf>
    <xf numFmtId="14" fontId="11" fillId="0" borderId="205" xfId="0" applyNumberFormat="1" applyFont="1" applyBorder="1"/>
    <xf numFmtId="0" fontId="54" fillId="0" borderId="205" xfId="0" applyFont="1" applyFill="1" applyBorder="1"/>
    <xf numFmtId="0" fontId="11" fillId="0" borderId="205" xfId="0" applyFont="1" applyFill="1" applyBorder="1"/>
    <xf numFmtId="0" fontId="55" fillId="0" borderId="205" xfId="0" applyFont="1" applyFill="1" applyBorder="1"/>
    <xf numFmtId="14" fontId="55" fillId="0" borderId="205" xfId="0" applyNumberFormat="1" applyFont="1" applyFill="1" applyBorder="1"/>
    <xf numFmtId="0" fontId="11" fillId="0" borderId="205" xfId="0" applyFont="1" applyFill="1" applyBorder="1" applyAlignment="1">
      <alignment wrapText="1"/>
    </xf>
    <xf numFmtId="0" fontId="45" fillId="0" borderId="205" xfId="0" applyFont="1" applyFill="1" applyBorder="1"/>
    <xf numFmtId="0" fontId="55" fillId="0" borderId="205" xfId="0" applyFont="1" applyFill="1" applyBorder="1" applyAlignment="1">
      <alignment wrapText="1"/>
    </xf>
    <xf numFmtId="0" fontId="55" fillId="0" borderId="205" xfId="0" applyFont="1" applyFill="1" applyBorder="1" applyAlignment="1">
      <alignment horizontal="right"/>
    </xf>
    <xf numFmtId="0" fontId="11" fillId="0" borderId="205" xfId="2" applyFont="1" applyBorder="1" applyAlignment="1">
      <alignment horizontal="left" vertical="center" wrapText="1"/>
    </xf>
    <xf numFmtId="0" fontId="11" fillId="0" borderId="205" xfId="4" applyFont="1" applyBorder="1" applyAlignment="1">
      <alignment horizontal="left"/>
    </xf>
    <xf numFmtId="0" fontId="11" fillId="0" borderId="205" xfId="2" applyFont="1" applyFill="1" applyBorder="1" applyAlignment="1">
      <alignment horizontal="left" vertical="top"/>
    </xf>
    <xf numFmtId="14" fontId="11" fillId="0" borderId="205" xfId="2" applyNumberFormat="1" applyFont="1" applyFill="1" applyBorder="1" applyAlignment="1">
      <alignment horizontal="right" vertical="center"/>
    </xf>
    <xf numFmtId="0" fontId="40" fillId="0" borderId="205" xfId="0" applyFont="1" applyFill="1" applyBorder="1" applyAlignment="1">
      <alignment wrapText="1"/>
    </xf>
    <xf numFmtId="0" fontId="54" fillId="0" borderId="205" xfId="0" applyFont="1" applyFill="1" applyBorder="1" applyAlignment="1">
      <alignment wrapText="1"/>
    </xf>
    <xf numFmtId="0" fontId="11" fillId="0" borderId="205" xfId="0" applyFont="1" applyBorder="1" applyAlignment="1">
      <alignment wrapText="1"/>
    </xf>
    <xf numFmtId="14" fontId="11" fillId="0" borderId="205" xfId="2" applyNumberFormat="1" applyFont="1" applyBorder="1" applyAlignment="1">
      <alignment horizontal="center" vertical="center"/>
    </xf>
    <xf numFmtId="0" fontId="11" fillId="0" borderId="205" xfId="2" applyFont="1" applyBorder="1" applyAlignment="1">
      <alignment vertical="center" wrapText="1"/>
    </xf>
    <xf numFmtId="0" fontId="11" fillId="0" borderId="205" xfId="0" applyFont="1" applyFill="1" applyBorder="1" applyAlignment="1">
      <alignment horizontal="center" vertical="center"/>
    </xf>
    <xf numFmtId="0" fontId="11" fillId="0" borderId="205" xfId="2" applyFont="1" applyFill="1" applyBorder="1" applyAlignment="1">
      <alignment horizontal="center" vertical="center" wrapText="1"/>
    </xf>
    <xf numFmtId="0" fontId="11" fillId="0" borderId="205" xfId="0" applyFont="1" applyFill="1" applyBorder="1" applyAlignment="1">
      <alignment horizontal="left" vertical="center" wrapText="1"/>
    </xf>
    <xf numFmtId="0" fontId="11" fillId="0" borderId="205" xfId="0" applyFont="1" applyFill="1" applyBorder="1" applyAlignment="1">
      <alignment horizontal="left" vertical="center"/>
    </xf>
    <xf numFmtId="0" fontId="47" fillId="0" borderId="205" xfId="2" applyFont="1" applyFill="1" applyBorder="1" applyAlignment="1">
      <alignment vertical="center"/>
    </xf>
    <xf numFmtId="14" fontId="11" fillId="0" borderId="205" xfId="0" applyNumberFormat="1" applyFont="1" applyFill="1" applyBorder="1" applyAlignment="1">
      <alignment horizontal="center" vertical="center"/>
    </xf>
    <xf numFmtId="14" fontId="11" fillId="0" borderId="205" xfId="0" applyNumberFormat="1" applyFont="1" applyFill="1" applyBorder="1" applyAlignment="1">
      <alignment horizontal="center"/>
    </xf>
    <xf numFmtId="0" fontId="11" fillId="0" borderId="205" xfId="0" applyFont="1" applyFill="1" applyBorder="1" applyAlignment="1">
      <alignment horizontal="center" vertical="center" wrapText="1"/>
    </xf>
    <xf numFmtId="0" fontId="54" fillId="0" borderId="205" xfId="0" applyFont="1" applyFill="1" applyBorder="1" applyAlignment="1">
      <alignment horizontal="left" vertical="center" wrapText="1"/>
    </xf>
    <xf numFmtId="0" fontId="54" fillId="0" borderId="205" xfId="0" applyFont="1" applyFill="1" applyBorder="1" applyAlignment="1">
      <alignment horizontal="center" vertical="center"/>
    </xf>
    <xf numFmtId="0" fontId="54" fillId="0" borderId="205" xfId="2" applyFont="1" applyFill="1" applyBorder="1" applyAlignment="1">
      <alignment horizontal="center" vertical="center" wrapText="1"/>
    </xf>
    <xf numFmtId="0" fontId="54" fillId="0" borderId="205" xfId="0" applyFont="1" applyFill="1" applyBorder="1" applyAlignment="1">
      <alignment horizontal="center" vertical="center" wrapText="1"/>
    </xf>
    <xf numFmtId="0" fontId="54" fillId="0" borderId="205" xfId="2" applyFont="1" applyFill="1" applyBorder="1" applyAlignment="1">
      <alignment vertical="center"/>
    </xf>
    <xf numFmtId="14" fontId="54" fillId="0" borderId="205" xfId="2" applyNumberFormat="1" applyFont="1" applyFill="1" applyBorder="1" applyAlignment="1">
      <alignment horizontal="center" vertical="center"/>
    </xf>
    <xf numFmtId="0" fontId="35" fillId="0" borderId="205" xfId="15" applyFont="1" applyBorder="1" applyProtection="1">
      <protection locked="0"/>
    </xf>
    <xf numFmtId="0" fontId="40" fillId="0" borderId="205" xfId="0" applyFont="1" applyFill="1" applyBorder="1"/>
    <xf numFmtId="0" fontId="57" fillId="0" borderId="205" xfId="0" applyFont="1" applyFill="1" applyBorder="1"/>
    <xf numFmtId="0" fontId="58" fillId="0" borderId="205" xfId="0" applyFont="1" applyFill="1" applyBorder="1"/>
    <xf numFmtId="0" fontId="32" fillId="0" borderId="205" xfId="0" applyFont="1" applyFill="1" applyBorder="1"/>
    <xf numFmtId="0" fontId="32" fillId="5" borderId="205" xfId="0" applyFont="1" applyFill="1" applyBorder="1"/>
    <xf numFmtId="0" fontId="32" fillId="0" borderId="205" xfId="0" applyFont="1" applyBorder="1"/>
    <xf numFmtId="0" fontId="32" fillId="0" borderId="205" xfId="2" applyFont="1" applyFill="1" applyBorder="1" applyAlignment="1">
      <alignment horizontal="center" vertical="center"/>
    </xf>
    <xf numFmtId="0" fontId="59" fillId="0" borderId="205" xfId="0" applyFont="1" applyBorder="1"/>
    <xf numFmtId="0" fontId="32" fillId="0" borderId="205" xfId="2" applyFont="1" applyFill="1" applyBorder="1" applyAlignment="1">
      <alignment vertical="center"/>
    </xf>
    <xf numFmtId="0" fontId="32" fillId="0" borderId="205" xfId="2" applyFont="1" applyFill="1" applyBorder="1" applyAlignment="1">
      <alignment horizontal="left" vertical="center"/>
    </xf>
    <xf numFmtId="0" fontId="32" fillId="0" borderId="205" xfId="2" quotePrefix="1" applyFont="1" applyFill="1" applyBorder="1" applyAlignment="1">
      <alignment horizontal="center" vertical="center"/>
    </xf>
    <xf numFmtId="0" fontId="58" fillId="0" borderId="205" xfId="2" applyFont="1" applyFill="1" applyBorder="1" applyAlignment="1">
      <alignment horizontal="left" vertical="center"/>
    </xf>
    <xf numFmtId="0" fontId="61" fillId="0" borderId="205" xfId="2" applyFont="1" applyFill="1" applyBorder="1" applyAlignment="1">
      <alignment horizontal="left" vertical="center"/>
    </xf>
    <xf numFmtId="0" fontId="61" fillId="0" borderId="205" xfId="2" applyFont="1" applyFill="1" applyBorder="1" applyAlignment="1">
      <alignment vertical="center"/>
    </xf>
    <xf numFmtId="4" fontId="12" fillId="0" borderId="0" xfId="2" applyNumberFormat="1" applyFont="1" applyFill="1" applyAlignment="1">
      <alignment vertical="center"/>
    </xf>
    <xf numFmtId="4" fontId="12" fillId="0" borderId="0" xfId="0" applyNumberFormat="1" applyFont="1"/>
    <xf numFmtId="4" fontId="12" fillId="2" borderId="15" xfId="2" applyNumberFormat="1" applyFont="1" applyFill="1" applyBorder="1" applyAlignment="1">
      <alignment horizontal="center" vertical="center"/>
    </xf>
    <xf numFmtId="4" fontId="12" fillId="7" borderId="15" xfId="2" applyNumberFormat="1" applyFont="1" applyFill="1" applyBorder="1" applyAlignment="1">
      <alignment horizontal="center" vertical="center" wrapText="1"/>
    </xf>
    <xf numFmtId="4" fontId="11" fillId="0" borderId="205" xfId="2" applyNumberFormat="1" applyFont="1" applyFill="1" applyBorder="1" applyAlignment="1">
      <alignment horizontal="right" vertical="center"/>
    </xf>
    <xf numFmtId="4" fontId="35" fillId="0" borderId="205" xfId="0" applyNumberFormat="1" applyFont="1" applyBorder="1" applyAlignment="1">
      <alignment horizontal="right"/>
    </xf>
    <xf numFmtId="4" fontId="55" fillId="0" borderId="205" xfId="0" applyNumberFormat="1" applyFont="1" applyFill="1" applyBorder="1" applyAlignment="1">
      <alignment horizontal="right"/>
    </xf>
    <xf numFmtId="4" fontId="11" fillId="0" borderId="205" xfId="0" applyNumberFormat="1" applyFont="1" applyFill="1" applyBorder="1" applyAlignment="1">
      <alignment horizontal="right"/>
    </xf>
    <xf numFmtId="4" fontId="55" fillId="0" borderId="205" xfId="0" applyNumberFormat="1" applyFont="1" applyFill="1" applyBorder="1" applyAlignment="1">
      <alignment horizontal="right" vertical="center" wrapText="1"/>
    </xf>
    <xf numFmtId="4" fontId="11" fillId="0" borderId="205" xfId="2" applyNumberFormat="1" applyFont="1" applyBorder="1" applyAlignment="1">
      <alignment horizontal="right" vertical="center"/>
    </xf>
    <xf numFmtId="4" fontId="11" fillId="0" borderId="205" xfId="2" applyNumberFormat="1" applyFont="1" applyFill="1" applyBorder="1" applyAlignment="1">
      <alignment horizontal="right"/>
    </xf>
    <xf numFmtId="4" fontId="11" fillId="0" borderId="205" xfId="0" applyNumberFormat="1" applyFont="1" applyBorder="1" applyAlignment="1">
      <alignment horizontal="right"/>
    </xf>
    <xf numFmtId="4" fontId="11" fillId="0" borderId="205" xfId="0" applyNumberFormat="1" applyFont="1" applyFill="1" applyBorder="1" applyAlignment="1">
      <alignment horizontal="right" vertical="center"/>
    </xf>
    <xf numFmtId="4" fontId="11" fillId="0" borderId="205" xfId="0" applyNumberFormat="1" applyFont="1" applyFill="1" applyBorder="1" applyAlignment="1">
      <alignment horizontal="right" vertical="center" wrapText="1"/>
    </xf>
    <xf numFmtId="4" fontId="54" fillId="0" borderId="205" xfId="0" applyNumberFormat="1" applyFont="1" applyFill="1" applyBorder="1" applyAlignment="1">
      <alignment horizontal="right" vertical="center"/>
    </xf>
    <xf numFmtId="4" fontId="35" fillId="0" borderId="205" xfId="15" applyNumberFormat="1" applyFont="1" applyBorder="1" applyAlignment="1" applyProtection="1">
      <alignment horizontal="right"/>
      <protection locked="0"/>
    </xf>
    <xf numFmtId="4" fontId="11" fillId="0" borderId="205" xfId="9" applyNumberFormat="1" applyFont="1" applyFill="1" applyBorder="1" applyAlignment="1">
      <alignment horizontal="right" vertical="center"/>
    </xf>
    <xf numFmtId="4" fontId="32" fillId="0" borderId="205" xfId="0" applyNumberFormat="1" applyFont="1" applyFill="1" applyBorder="1" applyAlignment="1">
      <alignment horizontal="right"/>
    </xf>
    <xf numFmtId="4" fontId="32" fillId="0" borderId="205" xfId="0" applyNumberFormat="1" applyFont="1" applyBorder="1" applyAlignment="1">
      <alignment horizontal="right"/>
    </xf>
    <xf numFmtId="4" fontId="32" fillId="0" borderId="205" xfId="2" applyNumberFormat="1" applyFont="1" applyFill="1" applyBorder="1" applyAlignment="1">
      <alignment horizontal="right" vertical="center"/>
    </xf>
    <xf numFmtId="4" fontId="32" fillId="0" borderId="205" xfId="2" applyNumberFormat="1" applyFont="1" applyFill="1" applyBorder="1" applyAlignment="1">
      <alignment horizontal="right"/>
    </xf>
    <xf numFmtId="4" fontId="12" fillId="2" borderId="16" xfId="2" applyNumberFormat="1" applyFont="1" applyFill="1" applyBorder="1" applyAlignment="1">
      <alignment horizontal="center" vertical="center"/>
    </xf>
    <xf numFmtId="4" fontId="11" fillId="0" borderId="0" xfId="0" applyNumberFormat="1" applyFont="1"/>
    <xf numFmtId="2" fontId="12" fillId="0" borderId="0" xfId="2" applyNumberFormat="1" applyFont="1" applyFill="1" applyAlignment="1">
      <alignment vertical="center"/>
    </xf>
    <xf numFmtId="2" fontId="12" fillId="0" borderId="0" xfId="0" applyNumberFormat="1" applyFont="1" applyFill="1" applyAlignment="1">
      <alignment horizontal="center"/>
    </xf>
    <xf numFmtId="2" fontId="12" fillId="0" borderId="0" xfId="2" applyNumberFormat="1" applyFont="1" applyFill="1" applyAlignment="1">
      <alignment horizontal="center" vertical="center"/>
    </xf>
    <xf numFmtId="2" fontId="11" fillId="0" borderId="0" xfId="0" applyNumberFormat="1" applyFont="1"/>
    <xf numFmtId="2" fontId="11" fillId="0" borderId="0" xfId="0" applyNumberFormat="1" applyFont="1" applyAlignment="1">
      <alignment horizontal="center"/>
    </xf>
    <xf numFmtId="0" fontId="62" fillId="0" borderId="205" xfId="0" applyFont="1" applyFill="1" applyBorder="1" applyAlignment="1">
      <alignment vertical="top"/>
    </xf>
    <xf numFmtId="174" fontId="62" fillId="0" borderId="205" xfId="0" applyNumberFormat="1" applyFont="1" applyFill="1" applyBorder="1" applyAlignment="1">
      <alignment vertical="top"/>
    </xf>
    <xf numFmtId="174" fontId="35" fillId="0" borderId="205" xfId="2" applyNumberFormat="1" applyFont="1" applyFill="1" applyBorder="1" applyAlignment="1">
      <alignment vertical="center"/>
    </xf>
    <xf numFmtId="2" fontId="36" fillId="0" borderId="205" xfId="2" applyNumberFormat="1" applyFont="1" applyFill="1" applyBorder="1" applyAlignment="1">
      <alignment vertical="center"/>
    </xf>
    <xf numFmtId="2" fontId="36" fillId="0" borderId="205" xfId="2" applyNumberFormat="1" applyFont="1" applyFill="1" applyBorder="1" applyAlignment="1">
      <alignment horizontal="center" vertical="center"/>
    </xf>
    <xf numFmtId="0" fontId="62" fillId="0" borderId="250" xfId="0" applyFont="1" applyFill="1" applyBorder="1" applyAlignment="1">
      <alignment vertical="top"/>
    </xf>
    <xf numFmtId="174" fontId="62" fillId="0" borderId="195" xfId="0" applyNumberFormat="1" applyFont="1" applyFill="1" applyBorder="1" applyAlignment="1">
      <alignment vertical="top"/>
    </xf>
    <xf numFmtId="174" fontId="62" fillId="0" borderId="196" xfId="0" applyNumberFormat="1" applyFont="1" applyFill="1" applyBorder="1" applyAlignment="1">
      <alignment vertical="top"/>
    </xf>
    <xf numFmtId="174" fontId="62" fillId="0" borderId="0" xfId="0" applyNumberFormat="1" applyFont="1" applyFill="1" applyBorder="1" applyAlignment="1">
      <alignment vertical="top"/>
    </xf>
    <xf numFmtId="174" fontId="35" fillId="0" borderId="163" xfId="2" applyNumberFormat="1" applyFont="1" applyFill="1" applyBorder="1" applyAlignment="1">
      <alignment vertical="center"/>
    </xf>
    <xf numFmtId="2" fontId="36" fillId="0" borderId="196" xfId="2" applyNumberFormat="1" applyFont="1" applyFill="1" applyBorder="1" applyAlignment="1">
      <alignment vertical="center"/>
    </xf>
    <xf numFmtId="2" fontId="36" fillId="0" borderId="203" xfId="2" applyNumberFormat="1" applyFont="1" applyFill="1" applyBorder="1" applyAlignment="1">
      <alignment vertical="center"/>
    </xf>
    <xf numFmtId="0" fontId="12" fillId="2" borderId="164" xfId="2" applyFont="1" applyFill="1" applyBorder="1" applyAlignment="1">
      <alignment horizontal="center" vertical="center"/>
    </xf>
    <xf numFmtId="174" fontId="11" fillId="24" borderId="164" xfId="0" applyNumberFormat="1" applyFont="1" applyFill="1" applyBorder="1"/>
    <xf numFmtId="174" fontId="11" fillId="24" borderId="165" xfId="0" applyNumberFormat="1" applyFont="1" applyFill="1" applyBorder="1"/>
    <xf numFmtId="174" fontId="11" fillId="24" borderId="167" xfId="0" applyNumberFormat="1" applyFont="1" applyFill="1" applyBorder="1" applyAlignment="1">
      <alignment horizontal="center"/>
    </xf>
    <xf numFmtId="2" fontId="12" fillId="0" borderId="0" xfId="2" applyNumberFormat="1" applyFont="1" applyFill="1" applyBorder="1" applyAlignment="1">
      <alignment vertical="center"/>
    </xf>
    <xf numFmtId="2" fontId="11" fillId="0" borderId="0" xfId="2" applyNumberFormat="1" applyFont="1" applyFill="1" applyBorder="1" applyAlignment="1">
      <alignment vertical="center"/>
    </xf>
    <xf numFmtId="0" fontId="3" fillId="5" borderId="1" xfId="0" applyFont="1" applyFill="1" applyBorder="1" applyAlignment="1">
      <alignment horizontal="left" vertical="center" wrapText="1"/>
    </xf>
    <xf numFmtId="0" fontId="3" fillId="5" borderId="54"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8" fillId="7" borderId="29"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8" fillId="7" borderId="20" xfId="0" applyFont="1" applyFill="1" applyBorder="1" applyAlignment="1">
      <alignment horizontal="center" vertical="center" wrapText="1"/>
    </xf>
    <xf numFmtId="49" fontId="48" fillId="7" borderId="140" xfId="3" applyFont="1" applyFill="1" applyBorder="1" applyAlignment="1">
      <alignment horizontal="center" vertical="center" wrapText="1"/>
    </xf>
    <xf numFmtId="49" fontId="48" fillId="7" borderId="168" xfId="3" applyFont="1" applyFill="1" applyBorder="1" applyAlignment="1">
      <alignment horizontal="center" vertical="center" wrapText="1"/>
    </xf>
    <xf numFmtId="49" fontId="48" fillId="7" borderId="161" xfId="3" applyFont="1" applyFill="1" applyBorder="1" applyAlignment="1">
      <alignment horizontal="center" vertical="center" wrapText="1"/>
    </xf>
    <xf numFmtId="49" fontId="48" fillId="7" borderId="193" xfId="3" applyFont="1" applyFill="1" applyBorder="1" applyAlignment="1">
      <alignment horizontal="center" vertical="center" wrapText="1"/>
    </xf>
    <xf numFmtId="49" fontId="48" fillId="7" borderId="162" xfId="3" applyFont="1" applyFill="1" applyBorder="1" applyAlignment="1">
      <alignment horizontal="center" vertical="center" wrapText="1"/>
    </xf>
    <xf numFmtId="0" fontId="8" fillId="7" borderId="161" xfId="7" applyFont="1" applyFill="1" applyBorder="1" applyAlignment="1">
      <alignment horizontal="center" vertical="center"/>
    </xf>
    <xf numFmtId="0" fontId="8" fillId="7" borderId="193" xfId="7" applyFont="1" applyFill="1" applyBorder="1" applyAlignment="1">
      <alignment horizontal="center" vertical="center"/>
    </xf>
    <xf numFmtId="0" fontId="8" fillId="7" borderId="140" xfId="7" applyFont="1" applyFill="1" applyBorder="1" applyAlignment="1">
      <alignment horizontal="center" wrapText="1"/>
    </xf>
    <xf numFmtId="0" fontId="8" fillId="7" borderId="162" xfId="7" applyFont="1" applyFill="1" applyBorder="1" applyAlignment="1">
      <alignment horizontal="center" wrapText="1"/>
    </xf>
    <xf numFmtId="0" fontId="8" fillId="7" borderId="164" xfId="7" applyFont="1" applyFill="1" applyBorder="1" applyAlignment="1">
      <alignment horizontal="center" wrapText="1"/>
    </xf>
    <xf numFmtId="0" fontId="8" fillId="7" borderId="165" xfId="7" applyFont="1" applyFill="1" applyBorder="1" applyAlignment="1">
      <alignment horizontal="center" wrapText="1"/>
    </xf>
    <xf numFmtId="0" fontId="8" fillId="7" borderId="167" xfId="7" applyFont="1" applyFill="1" applyBorder="1" applyAlignment="1">
      <alignment horizontal="center" wrapText="1"/>
    </xf>
    <xf numFmtId="0" fontId="23" fillId="0" borderId="0" xfId="7" applyFont="1" applyAlignment="1">
      <alignment horizontal="center"/>
    </xf>
    <xf numFmtId="0" fontId="20" fillId="7" borderId="16" xfId="0" applyFont="1" applyFill="1" applyBorder="1" applyAlignment="1">
      <alignment horizontal="center"/>
    </xf>
    <xf numFmtId="0" fontId="20" fillId="7" borderId="15" xfId="0" applyFont="1" applyFill="1" applyBorder="1" applyAlignment="1">
      <alignment horizontal="center"/>
    </xf>
    <xf numFmtId="0" fontId="20" fillId="7" borderId="5" xfId="0" applyFont="1" applyFill="1" applyBorder="1" applyAlignment="1">
      <alignment horizontal="center"/>
    </xf>
    <xf numFmtId="0" fontId="20" fillId="7" borderId="17" xfId="0" applyFont="1" applyFill="1" applyBorder="1" applyAlignment="1">
      <alignment horizontal="center"/>
    </xf>
    <xf numFmtId="0" fontId="20" fillId="7" borderId="5" xfId="0" applyFont="1" applyFill="1" applyBorder="1" applyAlignment="1">
      <alignment horizontal="center" vertical="center"/>
    </xf>
    <xf numFmtId="0" fontId="20"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9" xfId="0" applyFont="1" applyFill="1" applyBorder="1" applyAlignment="1">
      <alignment horizontal="center" vertical="center"/>
    </xf>
    <xf numFmtId="49" fontId="12" fillId="7" borderId="26" xfId="3" applyFont="1" applyFill="1" applyBorder="1" applyAlignment="1">
      <alignment horizontal="center" vertical="center"/>
    </xf>
    <xf numFmtId="49" fontId="12" fillId="7" borderId="28" xfId="3" applyFont="1" applyFill="1" applyBorder="1" applyAlignment="1">
      <alignment horizontal="center" vertical="center"/>
    </xf>
    <xf numFmtId="49" fontId="12" fillId="7" borderId="27" xfId="3" applyFont="1" applyFill="1" applyBorder="1" applyAlignment="1">
      <alignment horizontal="center" vertical="center"/>
    </xf>
    <xf numFmtId="49" fontId="12" fillId="7" borderId="26" xfId="3" applyFont="1" applyFill="1" applyBorder="1" applyAlignment="1">
      <alignment horizontal="center" vertical="center" wrapText="1"/>
    </xf>
    <xf numFmtId="49" fontId="12" fillId="7" borderId="28" xfId="3" applyFont="1" applyFill="1" applyBorder="1" applyAlignment="1">
      <alignment horizontal="center" vertical="center" wrapText="1"/>
    </xf>
    <xf numFmtId="49" fontId="12" fillId="7" borderId="27" xfId="3" applyFont="1" applyFill="1" applyBorder="1" applyAlignment="1">
      <alignment horizontal="center" vertical="center" wrapText="1"/>
    </xf>
    <xf numFmtId="49" fontId="12" fillId="7" borderId="47" xfId="3"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8" fillId="7" borderId="236" xfId="2" applyFont="1" applyFill="1" applyBorder="1" applyAlignment="1">
      <alignment horizontal="center" vertical="center"/>
    </xf>
    <xf numFmtId="0" fontId="8" fillId="7" borderId="237" xfId="2" applyFont="1" applyFill="1" applyBorder="1" applyAlignment="1">
      <alignment horizontal="center" vertical="center"/>
    </xf>
    <xf numFmtId="0" fontId="8" fillId="7" borderId="169" xfId="2" applyFont="1" applyFill="1" applyBorder="1" applyAlignment="1">
      <alignment horizontal="center" vertical="center"/>
    </xf>
    <xf numFmtId="0" fontId="37" fillId="22" borderId="241" xfId="0" applyFont="1" applyFill="1" applyBorder="1" applyAlignment="1">
      <alignment horizontal="center" vertical="center"/>
    </xf>
    <xf numFmtId="0" fontId="3" fillId="0" borderId="242" xfId="0" applyFont="1" applyBorder="1"/>
    <xf numFmtId="0" fontId="3" fillId="0" borderId="186" xfId="0" applyFont="1" applyBorder="1"/>
    <xf numFmtId="0" fontId="8" fillId="9" borderId="236" xfId="0" applyNumberFormat="1" applyFont="1" applyFill="1" applyBorder="1" applyAlignment="1" applyProtection="1">
      <alignment horizontal="center" vertical="center"/>
    </xf>
    <xf numFmtId="0" fontId="8" fillId="9" borderId="237" xfId="0" applyNumberFormat="1" applyFont="1" applyFill="1" applyBorder="1" applyAlignment="1" applyProtection="1">
      <alignment horizontal="center" vertical="center"/>
    </xf>
    <xf numFmtId="0" fontId="8" fillId="9" borderId="169" xfId="0" applyNumberFormat="1" applyFont="1" applyFill="1" applyBorder="1" applyAlignment="1" applyProtection="1">
      <alignment horizontal="center" vertical="center"/>
    </xf>
    <xf numFmtId="0" fontId="8" fillId="9" borderId="66" xfId="0" applyNumberFormat="1" applyFont="1" applyFill="1" applyBorder="1" applyAlignment="1" applyProtection="1">
      <alignment horizontal="center" vertical="center"/>
    </xf>
    <xf numFmtId="0" fontId="8" fillId="9" borderId="68" xfId="0" applyNumberFormat="1" applyFont="1" applyFill="1" applyBorder="1" applyAlignment="1" applyProtection="1">
      <alignment horizontal="center" vertical="center"/>
    </xf>
    <xf numFmtId="0" fontId="8" fillId="9" borderId="67" xfId="0" applyNumberFormat="1" applyFont="1" applyFill="1" applyBorder="1" applyAlignment="1" applyProtection="1">
      <alignment horizontal="center" vertical="center"/>
    </xf>
    <xf numFmtId="0" fontId="35" fillId="0" borderId="0" xfId="0" applyFont="1" applyAlignment="1">
      <alignment horizontal="left"/>
    </xf>
    <xf numFmtId="0" fontId="0" fillId="0" borderId="0" xfId="0"/>
    <xf numFmtId="0" fontId="35" fillId="0" borderId="0" xfId="0" applyFont="1"/>
    <xf numFmtId="0" fontId="5" fillId="0" borderId="0" xfId="0" applyFont="1" applyAlignment="1">
      <alignment horizontal="center"/>
    </xf>
    <xf numFmtId="0" fontId="12" fillId="9" borderId="118" xfId="0" applyNumberFormat="1" applyFont="1" applyFill="1" applyBorder="1" applyAlignment="1" applyProtection="1">
      <alignment horizontal="center" vertical="center"/>
    </xf>
    <xf numFmtId="0" fontId="12" fillId="9" borderId="120" xfId="0" applyNumberFormat="1" applyFont="1" applyFill="1" applyBorder="1" applyAlignment="1" applyProtection="1">
      <alignment horizontal="center" vertical="center"/>
    </xf>
    <xf numFmtId="0" fontId="12" fillId="9" borderId="121" xfId="0" applyNumberFormat="1" applyFont="1" applyFill="1" applyBorder="1" applyAlignment="1" applyProtection="1">
      <alignment horizontal="center" vertical="center"/>
    </xf>
    <xf numFmtId="0" fontId="12" fillId="9" borderId="123" xfId="0" applyNumberFormat="1" applyFont="1" applyFill="1" applyBorder="1" applyAlignment="1" applyProtection="1">
      <alignment horizontal="center" vertical="center"/>
    </xf>
    <xf numFmtId="0" fontId="12" fillId="9" borderId="80" xfId="0" applyNumberFormat="1" applyFont="1" applyFill="1" applyBorder="1" applyAlignment="1" applyProtection="1">
      <alignment horizontal="center" vertical="center"/>
    </xf>
    <xf numFmtId="0" fontId="12" fillId="9" borderId="81" xfId="0" applyNumberFormat="1" applyFont="1" applyFill="1" applyBorder="1" applyAlignment="1" applyProtection="1">
      <alignment horizontal="center" vertical="center"/>
    </xf>
    <xf numFmtId="0" fontId="12" fillId="9" borderId="82" xfId="0" applyNumberFormat="1" applyFont="1" applyFill="1" applyBorder="1" applyAlignment="1" applyProtection="1">
      <alignment horizontal="center" vertical="center"/>
    </xf>
    <xf numFmtId="0" fontId="12" fillId="9" borderId="84" xfId="0" applyNumberFormat="1" applyFont="1" applyFill="1" applyBorder="1" applyAlignment="1" applyProtection="1">
      <alignment horizontal="center" vertical="center"/>
    </xf>
    <xf numFmtId="0" fontId="12" fillId="9" borderId="162" xfId="0" applyNumberFormat="1" applyFont="1" applyFill="1" applyBorder="1" applyAlignment="1" applyProtection="1">
      <alignment horizontal="center" vertical="center"/>
    </xf>
    <xf numFmtId="0" fontId="12" fillId="9" borderId="164" xfId="0" applyNumberFormat="1" applyFont="1" applyFill="1" applyBorder="1" applyAlignment="1" applyProtection="1">
      <alignment horizontal="center" vertical="center"/>
    </xf>
    <xf numFmtId="0" fontId="12" fillId="9" borderId="165" xfId="0" applyNumberFormat="1" applyFont="1" applyFill="1" applyBorder="1" applyAlignment="1" applyProtection="1">
      <alignment horizontal="center" vertical="center"/>
    </xf>
    <xf numFmtId="0" fontId="12" fillId="9" borderId="167" xfId="0" applyNumberFormat="1" applyFont="1" applyFill="1" applyBorder="1" applyAlignment="1" applyProtection="1">
      <alignment horizontal="center" vertical="center"/>
    </xf>
    <xf numFmtId="0" fontId="14" fillId="17" borderId="180" xfId="0" applyNumberFormat="1" applyFont="1" applyFill="1" applyBorder="1" applyAlignment="1" applyProtection="1">
      <alignment horizontal="center" vertical="center"/>
    </xf>
    <xf numFmtId="0" fontId="14" fillId="17" borderId="181" xfId="0" applyNumberFormat="1" applyFont="1" applyFill="1" applyBorder="1" applyAlignment="1" applyProtection="1">
      <alignment horizontal="center" vertical="center"/>
    </xf>
    <xf numFmtId="0" fontId="14" fillId="17" borderId="182" xfId="0" applyNumberFormat="1" applyFont="1" applyFill="1" applyBorder="1" applyAlignment="1" applyProtection="1">
      <alignment horizontal="center" vertical="center"/>
    </xf>
    <xf numFmtId="0" fontId="14" fillId="17" borderId="184" xfId="0" applyNumberFormat="1" applyFont="1" applyFill="1" applyBorder="1" applyAlignment="1" applyProtection="1">
      <alignment horizontal="center" vertical="center"/>
    </xf>
    <xf numFmtId="0" fontId="40" fillId="0" borderId="0" xfId="0" applyFont="1" applyAlignment="1">
      <alignment horizontal="center"/>
    </xf>
    <xf numFmtId="0" fontId="12" fillId="9" borderId="117" xfId="0" applyNumberFormat="1" applyFont="1" applyFill="1" applyBorder="1" applyAlignment="1" applyProtection="1">
      <alignment horizontal="center" vertical="center" wrapText="1"/>
    </xf>
    <xf numFmtId="0" fontId="12" fillId="9" borderId="136" xfId="0" applyNumberFormat="1" applyFont="1" applyFill="1" applyBorder="1" applyAlignment="1" applyProtection="1">
      <alignment horizontal="center" vertical="center" wrapText="1"/>
    </xf>
    <xf numFmtId="0" fontId="12" fillId="9" borderId="146" xfId="0" applyNumberFormat="1" applyFont="1" applyFill="1" applyBorder="1" applyAlignment="1" applyProtection="1">
      <alignment horizontal="center" vertical="center" wrapText="1"/>
    </xf>
    <xf numFmtId="0" fontId="12" fillId="9" borderId="121" xfId="0" applyNumberFormat="1" applyFont="1" applyFill="1" applyBorder="1" applyAlignment="1" applyProtection="1">
      <alignment horizontal="center"/>
    </xf>
    <xf numFmtId="0" fontId="12" fillId="9" borderId="120" xfId="0" applyNumberFormat="1" applyFont="1" applyFill="1" applyBorder="1" applyAlignment="1" applyProtection="1">
      <alignment horizontal="center"/>
    </xf>
    <xf numFmtId="0" fontId="12" fillId="9" borderId="123" xfId="0" applyNumberFormat="1" applyFont="1" applyFill="1" applyBorder="1" applyAlignment="1" applyProtection="1">
      <alignment horizontal="center"/>
    </xf>
    <xf numFmtId="0" fontId="12" fillId="9" borderId="120" xfId="0" applyNumberFormat="1" applyFont="1" applyFill="1" applyBorder="1" applyAlignment="1" applyProtection="1">
      <alignment horizontal="center" wrapText="1"/>
    </xf>
    <xf numFmtId="0" fontId="12" fillId="9" borderId="123" xfId="0" applyNumberFormat="1" applyFont="1" applyFill="1" applyBorder="1" applyAlignment="1" applyProtection="1">
      <alignment horizontal="center" wrapText="1"/>
    </xf>
    <xf numFmtId="0" fontId="12" fillId="9" borderId="140" xfId="0" applyNumberFormat="1" applyFont="1" applyFill="1" applyBorder="1" applyAlignment="1" applyProtection="1">
      <alignment horizontal="center" vertical="center" wrapText="1"/>
    </xf>
    <xf numFmtId="0" fontId="11" fillId="11" borderId="0" xfId="0" applyNumberFormat="1" applyFont="1" applyFill="1" applyBorder="1" applyAlignment="1" applyProtection="1"/>
    <xf numFmtId="0" fontId="12" fillId="9" borderId="79" xfId="0" applyNumberFormat="1" applyFont="1" applyFill="1" applyBorder="1" applyAlignment="1" applyProtection="1">
      <alignment horizontal="center" vertical="center" wrapText="1"/>
    </xf>
    <xf numFmtId="0" fontId="12" fillId="9" borderId="93" xfId="0" applyNumberFormat="1" applyFont="1" applyFill="1" applyBorder="1" applyAlignment="1" applyProtection="1">
      <alignment horizontal="center" vertical="center" wrapText="1"/>
    </xf>
    <xf numFmtId="0" fontId="12" fillId="9" borderId="95" xfId="0" applyNumberFormat="1" applyFont="1" applyFill="1" applyBorder="1" applyAlignment="1" applyProtection="1">
      <alignment horizontal="center" vertical="center" wrapText="1"/>
    </xf>
    <xf numFmtId="0" fontId="12" fillId="9" borderId="82" xfId="0" applyNumberFormat="1" applyFont="1" applyFill="1" applyBorder="1" applyAlignment="1" applyProtection="1">
      <alignment horizontal="center"/>
    </xf>
    <xf numFmtId="0" fontId="12" fillId="9" borderId="81" xfId="0" applyNumberFormat="1" applyFont="1" applyFill="1" applyBorder="1" applyAlignment="1" applyProtection="1">
      <alignment horizontal="center"/>
    </xf>
    <xf numFmtId="0" fontId="12" fillId="9" borderId="84" xfId="0" applyNumberFormat="1" applyFont="1" applyFill="1" applyBorder="1" applyAlignment="1" applyProtection="1">
      <alignment horizontal="center"/>
    </xf>
    <xf numFmtId="0" fontId="12" fillId="9" borderId="81" xfId="0" applyNumberFormat="1" applyFont="1" applyFill="1" applyBorder="1" applyAlignment="1" applyProtection="1">
      <alignment horizontal="center" wrapText="1"/>
    </xf>
    <xf numFmtId="0" fontId="12" fillId="9" borderId="84" xfId="0" applyNumberFormat="1" applyFont="1" applyFill="1" applyBorder="1" applyAlignment="1" applyProtection="1">
      <alignment horizontal="center" wrapText="1"/>
    </xf>
    <xf numFmtId="0" fontId="12" fillId="9" borderId="161" xfId="0" applyNumberFormat="1" applyFont="1" applyFill="1" applyBorder="1" applyAlignment="1" applyProtection="1">
      <alignment horizontal="center" vertical="center" wrapText="1"/>
    </xf>
    <xf numFmtId="0" fontId="12" fillId="9" borderId="176" xfId="0" applyNumberFormat="1" applyFont="1" applyFill="1" applyBorder="1" applyAlignment="1" applyProtection="1">
      <alignment horizontal="center" vertical="center" wrapText="1"/>
    </xf>
    <xf numFmtId="0" fontId="12" fillId="9" borderId="193" xfId="0" applyNumberFormat="1" applyFont="1" applyFill="1" applyBorder="1" applyAlignment="1" applyProtection="1">
      <alignment horizontal="center" vertical="center" wrapText="1"/>
    </xf>
    <xf numFmtId="0" fontId="12" fillId="9" borderId="165" xfId="0" applyNumberFormat="1" applyFont="1" applyFill="1" applyBorder="1" applyAlignment="1" applyProtection="1">
      <alignment horizontal="center"/>
    </xf>
    <xf numFmtId="0" fontId="12" fillId="9" borderId="164" xfId="0" applyNumberFormat="1" applyFont="1" applyFill="1" applyBorder="1" applyAlignment="1" applyProtection="1">
      <alignment horizontal="center"/>
    </xf>
    <xf numFmtId="0" fontId="12" fillId="9" borderId="167" xfId="0" applyNumberFormat="1" applyFont="1" applyFill="1" applyBorder="1" applyAlignment="1" applyProtection="1">
      <alignment horizontal="center"/>
    </xf>
    <xf numFmtId="0" fontId="12" fillId="9" borderId="164" xfId="0" applyNumberFormat="1" applyFont="1" applyFill="1" applyBorder="1" applyAlignment="1" applyProtection="1">
      <alignment horizontal="center" wrapText="1"/>
    </xf>
    <xf numFmtId="0" fontId="12" fillId="9" borderId="167" xfId="0" applyNumberFormat="1" applyFont="1" applyFill="1" applyBorder="1" applyAlignment="1" applyProtection="1">
      <alignment horizontal="center" wrapText="1"/>
    </xf>
    <xf numFmtId="0" fontId="11" fillId="9" borderId="165" xfId="0" applyNumberFormat="1" applyFont="1" applyFill="1" applyBorder="1" applyAlignment="1" applyProtection="1">
      <alignment horizontal="center"/>
    </xf>
    <xf numFmtId="0" fontId="14" fillId="17" borderId="179" xfId="0" applyNumberFormat="1" applyFont="1" applyFill="1" applyBorder="1" applyAlignment="1" applyProtection="1">
      <alignment horizontal="center" vertical="center" wrapText="1"/>
    </xf>
    <xf numFmtId="0" fontId="14" fillId="17" borderId="190" xfId="0" applyNumberFormat="1" applyFont="1" applyFill="1" applyBorder="1" applyAlignment="1" applyProtection="1">
      <alignment horizontal="center" vertical="center" wrapText="1"/>
    </xf>
    <xf numFmtId="0" fontId="14" fillId="17" borderId="223" xfId="0" applyNumberFormat="1" applyFont="1" applyFill="1" applyBorder="1" applyAlignment="1" applyProtection="1">
      <alignment horizontal="center" vertical="center" wrapText="1"/>
    </xf>
    <xf numFmtId="0" fontId="14" fillId="17" borderId="182" xfId="0" applyNumberFormat="1" applyFont="1" applyFill="1" applyBorder="1" applyAlignment="1" applyProtection="1">
      <alignment horizontal="center"/>
    </xf>
    <xf numFmtId="0" fontId="14" fillId="17" borderId="181" xfId="0" applyNumberFormat="1" applyFont="1" applyFill="1" applyBorder="1" applyAlignment="1" applyProtection="1">
      <alignment horizontal="center"/>
    </xf>
    <xf numFmtId="0" fontId="14" fillId="17" borderId="184" xfId="0" applyNumberFormat="1" applyFont="1" applyFill="1" applyBorder="1" applyAlignment="1" applyProtection="1">
      <alignment horizontal="center"/>
    </xf>
    <xf numFmtId="0" fontId="14" fillId="17" borderId="181" xfId="0" applyNumberFormat="1" applyFont="1" applyFill="1" applyBorder="1" applyAlignment="1" applyProtection="1">
      <alignment horizontal="center" wrapText="1"/>
    </xf>
    <xf numFmtId="0" fontId="14" fillId="17" borderId="184"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14" fillId="0" borderId="0" xfId="0" applyNumberFormat="1" applyFont="1" applyFill="1" applyBorder="1" applyAlignment="1" applyProtection="1"/>
    <xf numFmtId="0" fontId="12" fillId="7" borderId="140" xfId="2" applyFont="1" applyFill="1" applyBorder="1" applyAlignment="1">
      <alignment horizontal="center" vertical="center" wrapText="1"/>
    </xf>
    <xf numFmtId="0" fontId="12" fillId="7" borderId="236" xfId="2" applyFont="1" applyFill="1" applyBorder="1" applyAlignment="1">
      <alignment horizontal="center" vertical="center" wrapText="1"/>
    </xf>
    <xf numFmtId="0" fontId="12" fillId="7" borderId="170"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12" fillId="7" borderId="47"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214" xfId="2" applyFont="1" applyFill="1" applyBorder="1" applyAlignment="1">
      <alignment horizontal="center" vertical="center" wrapText="1"/>
    </xf>
    <xf numFmtId="0" fontId="12" fillId="7" borderId="157" xfId="2" applyFont="1" applyFill="1" applyBorder="1" applyAlignment="1">
      <alignment horizontal="center" vertical="center" wrapText="1"/>
    </xf>
    <xf numFmtId="0" fontId="12" fillId="7" borderId="235" xfId="2" applyFont="1" applyFill="1" applyBorder="1" applyAlignment="1">
      <alignment horizontal="center" vertical="center" wrapText="1"/>
    </xf>
    <xf numFmtId="0" fontId="12" fillId="7" borderId="63" xfId="2" applyFont="1" applyFill="1" applyBorder="1" applyAlignment="1">
      <alignment horizontal="center" vertical="center" wrapText="1"/>
    </xf>
    <xf numFmtId="0" fontId="12" fillId="7" borderId="212" xfId="2" applyFont="1" applyFill="1" applyBorder="1" applyAlignment="1">
      <alignment horizontal="center" vertical="center" wrapText="1"/>
    </xf>
    <xf numFmtId="0" fontId="12" fillId="7" borderId="30" xfId="2" applyFont="1" applyFill="1" applyBorder="1" applyAlignment="1">
      <alignment horizontal="center" vertical="center" wrapText="1"/>
    </xf>
    <xf numFmtId="2" fontId="12" fillId="7" borderId="214" xfId="2" applyNumberFormat="1" applyFont="1" applyFill="1" applyBorder="1" applyAlignment="1">
      <alignment horizontal="center" vertical="center" wrapText="1"/>
    </xf>
    <xf numFmtId="2" fontId="12" fillId="7" borderId="157" xfId="2" applyNumberFormat="1" applyFont="1" applyFill="1" applyBorder="1" applyAlignment="1">
      <alignment horizontal="center" vertical="center" wrapText="1"/>
    </xf>
    <xf numFmtId="2" fontId="12" fillId="7" borderId="212" xfId="2" applyNumberFormat="1" applyFont="1" applyFill="1" applyBorder="1" applyAlignment="1">
      <alignment horizontal="center" vertical="center" wrapText="1"/>
    </xf>
    <xf numFmtId="2" fontId="12" fillId="7" borderId="30" xfId="2" applyNumberFormat="1" applyFont="1" applyFill="1" applyBorder="1" applyAlignment="1">
      <alignment horizontal="center" vertical="center" wrapText="1"/>
    </xf>
    <xf numFmtId="2" fontId="12" fillId="7" borderId="170" xfId="2" applyNumberFormat="1" applyFont="1" applyFill="1" applyBorder="1" applyAlignment="1">
      <alignment horizontal="center" vertical="center" wrapText="1"/>
    </xf>
    <xf numFmtId="2" fontId="12" fillId="7" borderId="33" xfId="2" applyNumberFormat="1" applyFont="1" applyFill="1" applyBorder="1" applyAlignment="1">
      <alignment horizontal="center" vertical="center" wrapText="1"/>
    </xf>
    <xf numFmtId="0" fontId="11" fillId="0" borderId="205" xfId="2" applyFont="1" applyFill="1" applyBorder="1" applyAlignment="1">
      <alignment horizontal="left" vertical="center"/>
    </xf>
    <xf numFmtId="0" fontId="11" fillId="0" borderId="205" xfId="2" applyFont="1" applyFill="1" applyBorder="1" applyAlignment="1">
      <alignment horizontal="center" vertical="center"/>
    </xf>
    <xf numFmtId="4" fontId="11" fillId="0" borderId="205" xfId="2" applyNumberFormat="1" applyFont="1" applyFill="1" applyBorder="1" applyAlignment="1">
      <alignment horizontal="right" vertical="center"/>
    </xf>
    <xf numFmtId="0" fontId="11" fillId="0" borderId="205" xfId="2" applyFont="1" applyFill="1" applyBorder="1" applyAlignment="1">
      <alignment horizontal="left" vertical="center" wrapText="1"/>
    </xf>
    <xf numFmtId="15" fontId="11" fillId="0" borderId="205" xfId="2" applyNumberFormat="1" applyFont="1" applyFill="1" applyBorder="1" applyAlignment="1">
      <alignment horizontal="center" vertical="center"/>
    </xf>
    <xf numFmtId="0" fontId="11" fillId="0" borderId="205" xfId="0" applyFont="1" applyFill="1" applyBorder="1" applyAlignment="1">
      <alignment horizontal="left" vertical="center" wrapText="1"/>
    </xf>
    <xf numFmtId="0" fontId="11" fillId="0" borderId="205" xfId="0" applyFont="1" applyFill="1" applyBorder="1" applyAlignment="1">
      <alignment horizontal="center" vertical="center"/>
    </xf>
    <xf numFmtId="0" fontId="11" fillId="0" borderId="205" xfId="2" applyFont="1" applyFill="1" applyBorder="1" applyAlignment="1">
      <alignment horizontal="center" vertical="center" wrapText="1"/>
    </xf>
    <xf numFmtId="0" fontId="11" fillId="0" borderId="205" xfId="0" applyFont="1" applyFill="1" applyBorder="1" applyAlignment="1">
      <alignment horizontal="center" vertical="center" wrapText="1"/>
    </xf>
    <xf numFmtId="0" fontId="12" fillId="7" borderId="161" xfId="2" applyFont="1" applyFill="1" applyBorder="1" applyAlignment="1">
      <alignment horizontal="center" vertical="center"/>
    </xf>
    <xf numFmtId="0" fontId="12" fillId="7" borderId="166" xfId="2" applyFont="1" applyFill="1" applyBorder="1" applyAlignment="1">
      <alignment horizontal="center" vertical="center"/>
    </xf>
    <xf numFmtId="0" fontId="12" fillId="7" borderId="193" xfId="2" applyFont="1" applyFill="1" applyBorder="1" applyAlignment="1">
      <alignment horizontal="center" vertical="center"/>
    </xf>
    <xf numFmtId="0" fontId="12" fillId="8" borderId="166" xfId="4" applyFont="1" applyFill="1" applyBorder="1" applyAlignment="1">
      <alignment horizontal="center" vertical="center"/>
    </xf>
    <xf numFmtId="0" fontId="12" fillId="8" borderId="176" xfId="4" applyFont="1" applyFill="1" applyBorder="1" applyAlignment="1">
      <alignment horizontal="center" vertical="center"/>
    </xf>
    <xf numFmtId="0" fontId="12" fillId="8" borderId="164" xfId="4" applyFont="1" applyFill="1" applyBorder="1" applyAlignment="1">
      <alignment horizontal="center"/>
    </xf>
    <xf numFmtId="0" fontId="12" fillId="8" borderId="165" xfId="4" applyFont="1" applyFill="1" applyBorder="1" applyAlignment="1">
      <alignment horizontal="center"/>
    </xf>
    <xf numFmtId="166" fontId="12" fillId="7" borderId="16" xfId="0" applyNumberFormat="1" applyFont="1" applyFill="1" applyBorder="1" applyAlignment="1">
      <alignment horizontal="center" vertical="center" wrapText="1"/>
    </xf>
    <xf numFmtId="166" fontId="12" fillId="7" borderId="17" xfId="0" applyNumberFormat="1" applyFont="1" applyFill="1" applyBorder="1" applyAlignment="1">
      <alignment horizontal="center" vertical="center" wrapText="1"/>
    </xf>
    <xf numFmtId="166" fontId="12" fillId="7" borderId="15" xfId="0" applyNumberFormat="1"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1" fillId="0" borderId="161" xfId="0" applyFont="1" applyBorder="1" applyAlignment="1">
      <alignment horizontal="right"/>
    </xf>
    <xf numFmtId="0" fontId="11" fillId="0" borderId="176" xfId="0" applyFont="1" applyBorder="1" applyAlignment="1">
      <alignment horizontal="right"/>
    </xf>
    <xf numFmtId="0" fontId="12" fillId="7" borderId="18"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6">
    <cellStyle name="Millares" xfId="9" builtinId="3"/>
    <cellStyle name="Millares 2" xfId="8" xr:uid="{00000000-0005-0000-0000-000001000000}"/>
    <cellStyle name="Moneda" xfId="10" builtinId="4"/>
    <cellStyle name="Normal" xfId="0" builtinId="0"/>
    <cellStyle name="Normal 15" xfId="7" xr:uid="{00000000-0005-0000-0000-000004000000}"/>
    <cellStyle name="Normal 2" xfId="4" xr:uid="{00000000-0005-0000-0000-000005000000}"/>
    <cellStyle name="Normal 3" xfId="15" xr:uid="{00000000-0005-0000-0000-000006000000}"/>
    <cellStyle name="Normal 4" xfId="13" xr:uid="{00000000-0005-0000-0000-000007000000}"/>
    <cellStyle name="Normal 5" xfId="12" xr:uid="{00000000-0005-0000-0000-000008000000}"/>
    <cellStyle name="Normal 8" xfId="5" xr:uid="{00000000-0005-0000-0000-000009000000}"/>
    <cellStyle name="Normal 9 2" xfId="6" xr:uid="{00000000-0005-0000-0000-00000A000000}"/>
    <cellStyle name="Normal_ESTR98" xfId="1" xr:uid="{00000000-0005-0000-0000-00000B000000}"/>
    <cellStyle name="Normal_PLAZAS98" xfId="2" xr:uid="{00000000-0005-0000-0000-00000C000000}"/>
    <cellStyle name="Normal_SPGG98" xfId="3" xr:uid="{00000000-0005-0000-0000-00000D000000}"/>
    <cellStyle name="Porcentaje 2" xfId="14" xr:uid="{00000000-0005-0000-0000-00000E000000}"/>
    <cellStyle name="Salida" xfId="11" builtinId="2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opLeftCell="A13" zoomScaleNormal="100" zoomScaleSheetLayoutView="100" zoomScalePageLayoutView="85" workbookViewId="0">
      <selection activeCell="A20" sqref="A20"/>
    </sheetView>
  </sheetViews>
  <sheetFormatPr baseColWidth="10" defaultColWidth="11.42578125" defaultRowHeight="12.75" x14ac:dyDescent="0.2"/>
  <cols>
    <col min="1" max="1" width="19.85546875" style="78" customWidth="1"/>
    <col min="2" max="2" width="69.85546875" style="79" customWidth="1"/>
    <col min="3" max="5" width="8.7109375" style="78" customWidth="1"/>
    <col min="6" max="16384" width="11.42578125" style="78"/>
  </cols>
  <sheetData>
    <row r="1" spans="1:512" s="77" customFormat="1" ht="15.75" x14ac:dyDescent="0.2">
      <c r="A1" s="75" t="s">
        <v>330</v>
      </c>
      <c r="B1" s="76"/>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c r="KE1" s="82"/>
      <c r="KF1" s="82"/>
      <c r="KG1" s="82"/>
      <c r="KH1" s="82"/>
      <c r="KI1" s="82"/>
      <c r="KJ1" s="82"/>
      <c r="KK1" s="82"/>
      <c r="KL1" s="82"/>
      <c r="KM1" s="82"/>
      <c r="KN1" s="82"/>
      <c r="KO1" s="82"/>
      <c r="KP1" s="82"/>
      <c r="KQ1" s="82"/>
      <c r="KR1" s="82"/>
      <c r="KS1" s="82"/>
      <c r="KT1" s="82"/>
      <c r="KU1" s="82"/>
      <c r="KV1" s="82"/>
      <c r="KW1" s="82"/>
      <c r="KX1" s="82"/>
      <c r="KY1" s="82"/>
      <c r="KZ1" s="82"/>
      <c r="LA1" s="82"/>
      <c r="LB1" s="82"/>
      <c r="LC1" s="82"/>
      <c r="LD1" s="82"/>
      <c r="LE1" s="82"/>
      <c r="LF1" s="82"/>
      <c r="LG1" s="82"/>
      <c r="LH1" s="82"/>
      <c r="LI1" s="82"/>
      <c r="LJ1" s="82"/>
      <c r="LK1" s="82"/>
      <c r="LL1" s="82"/>
      <c r="LM1" s="82"/>
      <c r="LN1" s="82"/>
      <c r="LO1" s="82"/>
      <c r="LP1" s="82"/>
      <c r="LQ1" s="82"/>
      <c r="LR1" s="82"/>
      <c r="LS1" s="82"/>
      <c r="LT1" s="82"/>
      <c r="LU1" s="82"/>
      <c r="LV1" s="82"/>
      <c r="LW1" s="82"/>
      <c r="LX1" s="82"/>
      <c r="LY1" s="82"/>
      <c r="LZ1" s="82"/>
      <c r="MA1" s="82"/>
      <c r="MB1" s="82"/>
      <c r="MC1" s="82"/>
      <c r="MD1" s="82"/>
      <c r="ME1" s="82"/>
      <c r="MF1" s="82"/>
      <c r="MG1" s="82"/>
      <c r="MH1" s="82"/>
      <c r="MI1" s="82"/>
      <c r="MJ1" s="82"/>
      <c r="MK1" s="82"/>
      <c r="ML1" s="82"/>
      <c r="MM1" s="82"/>
      <c r="MN1" s="82"/>
      <c r="MO1" s="82"/>
      <c r="MP1" s="82"/>
      <c r="MQ1" s="82"/>
      <c r="MR1" s="82"/>
      <c r="MS1" s="82"/>
      <c r="MT1" s="82"/>
      <c r="MU1" s="82"/>
      <c r="MV1" s="82"/>
      <c r="MW1" s="82"/>
      <c r="MX1" s="82"/>
      <c r="MY1" s="82"/>
      <c r="MZ1" s="82"/>
      <c r="NA1" s="82"/>
      <c r="NB1" s="82"/>
      <c r="NC1" s="82"/>
      <c r="ND1" s="82"/>
      <c r="NE1" s="82"/>
      <c r="NF1" s="82"/>
      <c r="NG1" s="82"/>
      <c r="NH1" s="82"/>
      <c r="NI1" s="82"/>
      <c r="NJ1" s="82"/>
      <c r="NK1" s="82"/>
      <c r="NL1" s="82"/>
      <c r="NM1" s="82"/>
      <c r="NN1" s="82"/>
      <c r="NO1" s="82"/>
      <c r="NP1" s="82"/>
      <c r="NQ1" s="82"/>
      <c r="NR1" s="82"/>
      <c r="NS1" s="82"/>
      <c r="NT1" s="82"/>
      <c r="NU1" s="82"/>
      <c r="NV1" s="82"/>
      <c r="NW1" s="82"/>
      <c r="NX1" s="82"/>
      <c r="NY1" s="82"/>
      <c r="NZ1" s="82"/>
      <c r="OA1" s="82"/>
      <c r="OB1" s="82"/>
      <c r="OC1" s="82"/>
      <c r="OD1" s="82"/>
      <c r="OE1" s="82"/>
      <c r="OF1" s="82"/>
      <c r="OG1" s="82"/>
      <c r="OH1" s="82"/>
      <c r="OI1" s="82"/>
      <c r="OJ1" s="82"/>
      <c r="OK1" s="82"/>
      <c r="OL1" s="82"/>
      <c r="OM1" s="82"/>
      <c r="ON1" s="82"/>
      <c r="OO1" s="82"/>
      <c r="OP1" s="82"/>
      <c r="OQ1" s="82"/>
      <c r="OR1" s="82"/>
      <c r="OS1" s="82"/>
      <c r="OT1" s="82"/>
      <c r="OU1" s="82"/>
      <c r="OV1" s="82"/>
      <c r="OW1" s="82"/>
      <c r="OX1" s="82"/>
      <c r="OY1" s="82"/>
      <c r="OZ1" s="82"/>
      <c r="PA1" s="82"/>
      <c r="PB1" s="82"/>
      <c r="PC1" s="82"/>
      <c r="PD1" s="82"/>
      <c r="PE1" s="82"/>
      <c r="PF1" s="82"/>
      <c r="PG1" s="82"/>
      <c r="PH1" s="82"/>
      <c r="PI1" s="82"/>
      <c r="PJ1" s="82"/>
      <c r="PK1" s="82"/>
      <c r="PL1" s="82"/>
      <c r="PM1" s="82"/>
      <c r="PN1" s="82"/>
      <c r="PO1" s="82"/>
      <c r="PP1" s="82"/>
      <c r="PQ1" s="82"/>
      <c r="PR1" s="82"/>
      <c r="PS1" s="82"/>
      <c r="PT1" s="82"/>
      <c r="PU1" s="82"/>
      <c r="PV1" s="82"/>
      <c r="PW1" s="82"/>
      <c r="PX1" s="82"/>
      <c r="PY1" s="82"/>
      <c r="PZ1" s="82"/>
      <c r="QA1" s="82"/>
      <c r="QB1" s="82"/>
      <c r="QC1" s="82"/>
      <c r="QD1" s="82"/>
      <c r="QE1" s="82"/>
      <c r="QF1" s="82"/>
      <c r="QG1" s="82"/>
      <c r="QH1" s="82"/>
      <c r="QI1" s="82"/>
      <c r="QJ1" s="82"/>
      <c r="QK1" s="82"/>
      <c r="QL1" s="82"/>
      <c r="QM1" s="82"/>
      <c r="QN1" s="82"/>
      <c r="QO1" s="82"/>
      <c r="QP1" s="82"/>
      <c r="QQ1" s="82"/>
      <c r="QR1" s="82"/>
      <c r="QS1" s="82"/>
      <c r="QT1" s="82"/>
      <c r="QU1" s="82"/>
      <c r="QV1" s="82"/>
      <c r="QW1" s="82"/>
      <c r="QX1" s="82"/>
      <c r="QY1" s="82"/>
      <c r="QZ1" s="82"/>
      <c r="RA1" s="82"/>
      <c r="RB1" s="82"/>
      <c r="RC1" s="82"/>
      <c r="RD1" s="82"/>
      <c r="RE1" s="82"/>
      <c r="RF1" s="82"/>
      <c r="RG1" s="82"/>
      <c r="RH1" s="82"/>
      <c r="RI1" s="82"/>
      <c r="RJ1" s="82"/>
      <c r="RK1" s="82"/>
      <c r="RL1" s="82"/>
      <c r="RM1" s="82"/>
      <c r="RN1" s="82"/>
      <c r="RO1" s="82"/>
      <c r="RP1" s="82"/>
      <c r="RQ1" s="82"/>
      <c r="RR1" s="82"/>
      <c r="RS1" s="82"/>
      <c r="RT1" s="82"/>
      <c r="RU1" s="82"/>
      <c r="RV1" s="82"/>
      <c r="RW1" s="82"/>
      <c r="RX1" s="82"/>
      <c r="RY1" s="82"/>
      <c r="RZ1" s="82"/>
      <c r="SA1" s="82"/>
      <c r="SB1" s="82"/>
      <c r="SC1" s="82"/>
      <c r="SD1" s="82"/>
      <c r="SE1" s="82"/>
      <c r="SF1" s="82"/>
      <c r="SG1" s="82"/>
      <c r="SH1" s="82"/>
      <c r="SI1" s="82"/>
      <c r="SJ1" s="82"/>
      <c r="SK1" s="82"/>
      <c r="SL1" s="82"/>
      <c r="SM1" s="82"/>
      <c r="SN1" s="82"/>
      <c r="SO1" s="82"/>
      <c r="SP1" s="82"/>
      <c r="SQ1" s="82"/>
      <c r="SR1" s="82"/>
    </row>
    <row r="2" spans="1:512" x14ac:dyDescent="0.2">
      <c r="C2" s="80"/>
      <c r="D2" s="80"/>
      <c r="E2" s="84"/>
      <c r="F2" s="83"/>
    </row>
    <row r="3" spans="1:512" x14ac:dyDescent="0.2">
      <c r="A3" s="81" t="s">
        <v>349</v>
      </c>
      <c r="E3" s="83"/>
      <c r="F3" s="83"/>
    </row>
    <row r="4" spans="1:512" x14ac:dyDescent="0.2">
      <c r="E4" s="83"/>
      <c r="F4" s="83"/>
    </row>
    <row r="5" spans="1:512" s="168" customFormat="1" ht="27" customHeight="1" x14ac:dyDescent="0.2">
      <c r="A5" s="173" t="s">
        <v>331</v>
      </c>
      <c r="B5" s="1306" t="s">
        <v>397</v>
      </c>
      <c r="C5" s="1307"/>
      <c r="D5" s="1307"/>
      <c r="E5" s="1308"/>
      <c r="F5" s="169"/>
    </row>
    <row r="6" spans="1:512" x14ac:dyDescent="0.2">
      <c r="A6" s="81"/>
      <c r="B6" s="167"/>
      <c r="C6" s="168"/>
      <c r="D6" s="168"/>
      <c r="E6" s="169"/>
      <c r="F6" s="83"/>
    </row>
    <row r="7" spans="1:512" x14ac:dyDescent="0.2">
      <c r="A7" s="81" t="s">
        <v>350</v>
      </c>
      <c r="B7" s="167"/>
      <c r="C7" s="168"/>
      <c r="D7" s="168"/>
      <c r="E7" s="169"/>
      <c r="F7" s="83"/>
    </row>
    <row r="8" spans="1:512" x14ac:dyDescent="0.2">
      <c r="A8" s="81"/>
      <c r="B8" s="167"/>
      <c r="C8" s="168"/>
      <c r="D8" s="168"/>
      <c r="E8" s="169"/>
      <c r="F8" s="83"/>
    </row>
    <row r="9" spans="1:512" s="168" customFormat="1" ht="27" customHeight="1" x14ac:dyDescent="0.2">
      <c r="A9" s="173" t="s">
        <v>332</v>
      </c>
      <c r="B9" s="1306" t="s">
        <v>398</v>
      </c>
      <c r="C9" s="1307"/>
      <c r="D9" s="1307"/>
      <c r="E9" s="1308"/>
      <c r="F9" s="169"/>
    </row>
    <row r="10" spans="1:512" s="168" customFormat="1" ht="27" customHeight="1" x14ac:dyDescent="0.2">
      <c r="A10" s="173" t="s">
        <v>333</v>
      </c>
      <c r="B10" s="1306" t="s">
        <v>399</v>
      </c>
      <c r="C10" s="1307"/>
      <c r="D10" s="1307"/>
      <c r="E10" s="1308"/>
      <c r="F10" s="169"/>
    </row>
    <row r="11" spans="1:512" s="168" customFormat="1" ht="27" customHeight="1" x14ac:dyDescent="0.2">
      <c r="A11" s="173" t="s">
        <v>334</v>
      </c>
      <c r="B11" s="1306" t="s">
        <v>400</v>
      </c>
      <c r="C11" s="1307"/>
      <c r="D11" s="1307"/>
      <c r="E11" s="1308"/>
      <c r="F11" s="169"/>
    </row>
    <row r="12" spans="1:512" s="168" customFormat="1" ht="27" customHeight="1" x14ac:dyDescent="0.2">
      <c r="A12" s="173" t="s">
        <v>335</v>
      </c>
      <c r="B12" s="1306" t="s">
        <v>401</v>
      </c>
      <c r="C12" s="1307"/>
      <c r="D12" s="1307"/>
      <c r="E12" s="1308"/>
      <c r="F12" s="169"/>
    </row>
    <row r="13" spans="1:512" s="168" customFormat="1" ht="27" customHeight="1" x14ac:dyDescent="0.2">
      <c r="A13" s="173" t="s">
        <v>336</v>
      </c>
      <c r="B13" s="1306" t="s">
        <v>402</v>
      </c>
      <c r="C13" s="1307"/>
      <c r="D13" s="1307"/>
      <c r="E13" s="1308"/>
      <c r="F13" s="169"/>
    </row>
    <row r="14" spans="1:512" s="168" customFormat="1" ht="27" customHeight="1" x14ac:dyDescent="0.2">
      <c r="A14" s="173" t="s">
        <v>337</v>
      </c>
      <c r="B14" s="1306" t="s">
        <v>403</v>
      </c>
      <c r="C14" s="1307"/>
      <c r="D14" s="1307"/>
      <c r="E14" s="1308"/>
      <c r="F14" s="169"/>
    </row>
    <row r="15" spans="1:512" s="168" customFormat="1" ht="27" customHeight="1" x14ac:dyDescent="0.2">
      <c r="A15" s="173" t="s">
        <v>338</v>
      </c>
      <c r="B15" s="1306" t="s">
        <v>404</v>
      </c>
      <c r="C15" s="1307"/>
      <c r="D15" s="1307"/>
      <c r="E15" s="1308"/>
      <c r="F15" s="169"/>
    </row>
    <row r="16" spans="1:512" x14ac:dyDescent="0.2">
      <c r="A16" s="81"/>
      <c r="B16" s="167"/>
      <c r="C16" s="168"/>
      <c r="D16" s="168"/>
      <c r="E16" s="169"/>
      <c r="F16" s="83"/>
    </row>
    <row r="17" spans="1:6" x14ac:dyDescent="0.2">
      <c r="A17" s="81" t="s">
        <v>351</v>
      </c>
      <c r="B17" s="167"/>
      <c r="C17" s="168"/>
      <c r="D17" s="168"/>
      <c r="E17" s="169"/>
      <c r="F17" s="83"/>
    </row>
    <row r="18" spans="1:6" x14ac:dyDescent="0.2">
      <c r="A18" s="81"/>
      <c r="B18" s="167"/>
      <c r="C18" s="168"/>
      <c r="D18" s="168"/>
      <c r="E18" s="169"/>
      <c r="F18" s="83"/>
    </row>
    <row r="19" spans="1:6" s="168" customFormat="1" ht="27" customHeight="1" x14ac:dyDescent="0.2">
      <c r="A19" s="173" t="s">
        <v>339</v>
      </c>
      <c r="B19" s="1306" t="s">
        <v>405</v>
      </c>
      <c r="C19" s="1307"/>
      <c r="D19" s="1307"/>
      <c r="E19" s="1308"/>
      <c r="F19" s="169"/>
    </row>
    <row r="20" spans="1:6" s="168" customFormat="1" ht="27" customHeight="1" x14ac:dyDescent="0.2">
      <c r="A20" s="173" t="s">
        <v>340</v>
      </c>
      <c r="B20" s="1306" t="s">
        <v>406</v>
      </c>
      <c r="C20" s="1307"/>
      <c r="D20" s="1307"/>
      <c r="E20" s="1308"/>
      <c r="F20" s="169"/>
    </row>
    <row r="21" spans="1:6" s="168" customFormat="1" ht="27" customHeight="1" x14ac:dyDescent="0.2">
      <c r="A21" s="173" t="s">
        <v>341</v>
      </c>
      <c r="B21" s="1306" t="s">
        <v>407</v>
      </c>
      <c r="C21" s="1307"/>
      <c r="D21" s="1307"/>
      <c r="E21" s="1308"/>
      <c r="F21" s="169"/>
    </row>
    <row r="22" spans="1:6" x14ac:dyDescent="0.2">
      <c r="A22" s="81"/>
      <c r="B22" s="167"/>
      <c r="C22" s="168"/>
      <c r="D22" s="168"/>
      <c r="E22" s="169"/>
      <c r="F22" s="83"/>
    </row>
    <row r="23" spans="1:6" x14ac:dyDescent="0.2">
      <c r="A23" s="81" t="s">
        <v>352</v>
      </c>
      <c r="B23" s="167"/>
      <c r="C23" s="168"/>
      <c r="D23" s="168"/>
      <c r="E23" s="169"/>
      <c r="F23" s="83"/>
    </row>
    <row r="24" spans="1:6" x14ac:dyDescent="0.2">
      <c r="A24" s="81"/>
      <c r="B24" s="167"/>
      <c r="C24" s="168"/>
      <c r="D24" s="168"/>
      <c r="E24" s="169"/>
      <c r="F24" s="83"/>
    </row>
    <row r="25" spans="1:6" s="168" customFormat="1" ht="27" customHeight="1" x14ac:dyDescent="0.2">
      <c r="A25" s="173" t="s">
        <v>342</v>
      </c>
      <c r="B25" s="1306" t="s">
        <v>408</v>
      </c>
      <c r="C25" s="1307"/>
      <c r="D25" s="1307"/>
      <c r="E25" s="1308"/>
      <c r="F25" s="169"/>
    </row>
    <row r="26" spans="1:6" s="168" customFormat="1" ht="27" customHeight="1" x14ac:dyDescent="0.2">
      <c r="A26" s="173" t="s">
        <v>343</v>
      </c>
      <c r="B26" s="1306" t="s">
        <v>409</v>
      </c>
      <c r="C26" s="1307"/>
      <c r="D26" s="1307"/>
      <c r="E26" s="1308"/>
      <c r="F26" s="169"/>
    </row>
    <row r="27" spans="1:6" s="168" customFormat="1" ht="27" customHeight="1" x14ac:dyDescent="0.2">
      <c r="A27" s="173" t="s">
        <v>344</v>
      </c>
      <c r="B27" s="1306" t="s">
        <v>410</v>
      </c>
      <c r="C27" s="1307"/>
      <c r="D27" s="1307"/>
      <c r="E27" s="1308"/>
      <c r="F27" s="169"/>
    </row>
    <row r="28" spans="1:6" s="168" customFormat="1" ht="27" customHeight="1" x14ac:dyDescent="0.2">
      <c r="A28" s="173" t="s">
        <v>345</v>
      </c>
      <c r="B28" s="1306" t="s">
        <v>411</v>
      </c>
      <c r="C28" s="1307"/>
      <c r="D28" s="1307"/>
      <c r="E28" s="1308"/>
      <c r="F28" s="169"/>
    </row>
    <row r="29" spans="1:6" s="168" customFormat="1" ht="27" customHeight="1" x14ac:dyDescent="0.2">
      <c r="A29" s="173" t="s">
        <v>346</v>
      </c>
      <c r="B29" s="1306" t="s">
        <v>412</v>
      </c>
      <c r="C29" s="1307"/>
      <c r="D29" s="1307"/>
      <c r="E29" s="1308"/>
      <c r="F29" s="169"/>
    </row>
    <row r="30" spans="1:6" x14ac:dyDescent="0.2">
      <c r="A30" s="81"/>
      <c r="B30" s="167"/>
      <c r="C30" s="168"/>
      <c r="D30" s="168"/>
      <c r="E30" s="169"/>
      <c r="F30" s="83"/>
    </row>
    <row r="31" spans="1:6" x14ac:dyDescent="0.2">
      <c r="A31" s="81" t="s">
        <v>22</v>
      </c>
      <c r="B31" s="167"/>
      <c r="C31" s="168"/>
      <c r="D31" s="168"/>
      <c r="E31" s="169"/>
      <c r="F31" s="83"/>
    </row>
    <row r="32" spans="1:6" x14ac:dyDescent="0.2">
      <c r="A32" s="81"/>
      <c r="B32" s="167"/>
      <c r="C32" s="168"/>
      <c r="D32" s="168"/>
      <c r="E32" s="169"/>
      <c r="F32" s="83"/>
    </row>
    <row r="33" spans="1:6" s="168" customFormat="1" ht="27" customHeight="1" x14ac:dyDescent="0.2">
      <c r="A33" s="173" t="s">
        <v>347</v>
      </c>
      <c r="B33" s="1306" t="s">
        <v>413</v>
      </c>
      <c r="C33" s="1307"/>
      <c r="D33" s="1307"/>
      <c r="E33" s="1308"/>
      <c r="F33" s="169"/>
    </row>
    <row r="34" spans="1:6" s="168" customFormat="1" ht="27" customHeight="1" x14ac:dyDescent="0.2">
      <c r="A34" s="173" t="s">
        <v>348</v>
      </c>
      <c r="B34" s="1306" t="s">
        <v>414</v>
      </c>
      <c r="C34" s="1307"/>
      <c r="D34" s="1307"/>
      <c r="E34" s="1308"/>
      <c r="F34" s="169"/>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797"/>
  <sheetViews>
    <sheetView zoomScaleNormal="100" zoomScaleSheetLayoutView="90" zoomScalePageLayoutView="85" workbookViewId="0">
      <selection activeCell="H9" sqref="H9"/>
    </sheetView>
  </sheetViews>
  <sheetFormatPr baseColWidth="10" defaultColWidth="11.42578125" defaultRowHeight="12.75" x14ac:dyDescent="0.2"/>
  <cols>
    <col min="1" max="1" width="27.7109375" style="17" customWidth="1"/>
    <col min="2" max="2" width="14.42578125" style="17" customWidth="1"/>
    <col min="3" max="3" width="7" style="17" customWidth="1"/>
    <col min="4" max="4" width="8.28515625" style="17" customWidth="1"/>
    <col min="5" max="9" width="7" style="17" customWidth="1"/>
    <col min="10" max="10" width="14.140625" style="17" customWidth="1"/>
    <col min="11" max="11" width="14.7109375" style="17" customWidth="1"/>
    <col min="12" max="12" width="17.28515625" style="17" customWidth="1"/>
    <col min="13" max="13" width="15.28515625" style="17" customWidth="1"/>
    <col min="14" max="14" width="7" style="17" customWidth="1"/>
    <col min="15" max="15" width="8.28515625" style="17" customWidth="1"/>
    <col min="16" max="20" width="7" style="17" customWidth="1"/>
    <col min="21" max="21" width="11.5703125" style="17" customWidth="1"/>
    <col min="22" max="22" width="13.42578125" style="17" customWidth="1"/>
    <col min="23" max="23" width="15.7109375" style="17" customWidth="1"/>
    <col min="24" max="24" width="1.7109375" style="72" customWidth="1"/>
    <col min="25" max="28" width="10.7109375" customWidth="1"/>
    <col min="29" max="16384" width="11.42578125" style="85"/>
  </cols>
  <sheetData>
    <row r="1" spans="1:24" s="90" customFormat="1" ht="15.75" x14ac:dyDescent="0.2">
      <c r="A1" s="163" t="s">
        <v>376</v>
      </c>
      <c r="B1" s="89"/>
      <c r="C1" s="89"/>
      <c r="D1" s="89"/>
      <c r="E1" s="89"/>
      <c r="F1" s="89"/>
      <c r="G1" s="89"/>
      <c r="H1" s="89"/>
      <c r="I1" s="89"/>
      <c r="J1" s="89"/>
      <c r="K1" s="89"/>
      <c r="L1" s="89"/>
      <c r="M1" s="89"/>
      <c r="N1" s="89"/>
      <c r="O1" s="89"/>
      <c r="P1" s="89"/>
      <c r="Q1" s="89"/>
      <c r="R1" s="89"/>
      <c r="S1" s="89"/>
      <c r="T1" s="89"/>
      <c r="U1" s="89"/>
      <c r="V1" s="89"/>
      <c r="W1" s="89"/>
      <c r="X1" s="91"/>
    </row>
    <row r="2" spans="1:24" s="90" customFormat="1" ht="15.75" x14ac:dyDescent="0.2">
      <c r="A2" s="163" t="s">
        <v>844</v>
      </c>
      <c r="B2" s="89"/>
      <c r="C2" s="89"/>
      <c r="D2" s="89"/>
      <c r="E2" s="89"/>
      <c r="F2" s="89"/>
      <c r="G2" s="89"/>
      <c r="H2" s="89"/>
      <c r="I2" s="89"/>
      <c r="J2" s="89"/>
      <c r="K2" s="89"/>
      <c r="L2" s="89"/>
      <c r="M2" s="89"/>
      <c r="N2" s="89"/>
      <c r="O2" s="89"/>
      <c r="P2" s="89"/>
      <c r="Q2" s="89"/>
      <c r="R2" s="89"/>
      <c r="S2" s="89"/>
      <c r="T2" s="89"/>
      <c r="U2" s="89"/>
      <c r="V2" s="89"/>
      <c r="W2" s="89"/>
      <c r="X2" s="91"/>
    </row>
    <row r="3" spans="1:24" s="73" customFormat="1" ht="15.75" x14ac:dyDescent="0.25">
      <c r="A3" s="164" t="s">
        <v>845</v>
      </c>
      <c r="X3" s="71"/>
    </row>
    <row r="4" spans="1:24" x14ac:dyDescent="0.2">
      <c r="L4" s="18"/>
      <c r="W4" s="18"/>
    </row>
    <row r="5" spans="1:24" ht="13.5" thickBot="1" x14ac:dyDescent="0.25"/>
    <row r="6" spans="1:24" x14ac:dyDescent="0.2">
      <c r="A6" s="236" t="s">
        <v>10</v>
      </c>
      <c r="B6" s="1354" t="s">
        <v>419</v>
      </c>
      <c r="C6" s="1355"/>
      <c r="D6" s="1355"/>
      <c r="E6" s="1355"/>
      <c r="F6" s="1355"/>
      <c r="G6" s="1355"/>
      <c r="H6" s="1355"/>
      <c r="I6" s="1355"/>
      <c r="J6" s="1355"/>
      <c r="K6" s="1355"/>
      <c r="L6" s="1356"/>
      <c r="M6" s="1354" t="s">
        <v>420</v>
      </c>
      <c r="N6" s="1355"/>
      <c r="O6" s="1355"/>
      <c r="P6" s="1355"/>
      <c r="Q6" s="1355"/>
      <c r="R6" s="1355"/>
      <c r="S6" s="1355"/>
      <c r="T6" s="1355"/>
      <c r="U6" s="1355"/>
      <c r="V6" s="1355"/>
      <c r="W6" s="1356"/>
    </row>
    <row r="7" spans="1:24" ht="121.5" x14ac:dyDescent="0.2">
      <c r="A7" s="237" t="s">
        <v>9</v>
      </c>
      <c r="B7" s="238" t="s">
        <v>316</v>
      </c>
      <c r="C7" s="238" t="s">
        <v>113</v>
      </c>
      <c r="D7" s="239" t="s">
        <v>272</v>
      </c>
      <c r="E7" s="239" t="s">
        <v>266</v>
      </c>
      <c r="F7" s="239" t="s">
        <v>274</v>
      </c>
      <c r="G7" s="239" t="s">
        <v>275</v>
      </c>
      <c r="H7" s="239" t="s">
        <v>276</v>
      </c>
      <c r="I7" s="239" t="s">
        <v>283</v>
      </c>
      <c r="J7" s="240" t="s">
        <v>278</v>
      </c>
      <c r="K7" s="241" t="s">
        <v>280</v>
      </c>
      <c r="L7" s="242" t="s">
        <v>282</v>
      </c>
      <c r="M7" s="238" t="s">
        <v>316</v>
      </c>
      <c r="N7" s="238" t="s">
        <v>113</v>
      </c>
      <c r="O7" s="239" t="s">
        <v>272</v>
      </c>
      <c r="P7" s="239" t="s">
        <v>266</v>
      </c>
      <c r="Q7" s="239" t="s">
        <v>274</v>
      </c>
      <c r="R7" s="239" t="s">
        <v>275</v>
      </c>
      <c r="S7" s="239" t="s">
        <v>276</v>
      </c>
      <c r="T7" s="239" t="s">
        <v>283</v>
      </c>
      <c r="U7" s="240" t="s">
        <v>278</v>
      </c>
      <c r="V7" s="241" t="s">
        <v>280</v>
      </c>
      <c r="W7" s="242" t="s">
        <v>281</v>
      </c>
    </row>
    <row r="8" spans="1:24" x14ac:dyDescent="0.2">
      <c r="A8" s="243"/>
      <c r="B8" s="235"/>
      <c r="C8" s="235"/>
      <c r="D8" s="235"/>
      <c r="E8" s="235"/>
      <c r="F8" s="235"/>
      <c r="G8" s="235"/>
      <c r="H8" s="235"/>
      <c r="I8" s="235"/>
      <c r="J8" s="235"/>
      <c r="K8" s="235"/>
      <c r="L8" s="244"/>
      <c r="M8" s="235"/>
      <c r="N8" s="235"/>
      <c r="O8" s="235"/>
      <c r="P8" s="235"/>
      <c r="Q8" s="235"/>
      <c r="R8" s="235"/>
      <c r="S8" s="235"/>
      <c r="T8" s="235"/>
      <c r="U8" s="235"/>
      <c r="V8" s="235"/>
      <c r="W8" s="244"/>
    </row>
    <row r="9" spans="1:24" x14ac:dyDescent="0.2">
      <c r="A9" s="245" t="s">
        <v>7</v>
      </c>
      <c r="B9" s="246"/>
      <c r="C9" s="246"/>
      <c r="D9" s="246"/>
      <c r="E9" s="246"/>
      <c r="F9" s="246"/>
      <c r="G9" s="246"/>
      <c r="H9" s="246"/>
      <c r="I9" s="246"/>
      <c r="J9" s="246"/>
      <c r="K9" s="246"/>
      <c r="L9" s="247">
        <v>3475544.2</v>
      </c>
      <c r="M9" s="246"/>
      <c r="N9" s="246"/>
      <c r="O9" s="246"/>
      <c r="P9" s="246"/>
      <c r="Q9" s="246"/>
      <c r="R9" s="246"/>
      <c r="S9" s="246"/>
      <c r="T9" s="246"/>
      <c r="U9" s="246"/>
      <c r="V9" s="246"/>
      <c r="W9" s="247">
        <v>3475544.2</v>
      </c>
    </row>
    <row r="10" spans="1:24" x14ac:dyDescent="0.2">
      <c r="A10" s="243" t="s">
        <v>3</v>
      </c>
      <c r="B10" s="235">
        <v>1</v>
      </c>
      <c r="C10" s="235"/>
      <c r="D10" s="235"/>
      <c r="E10" s="235"/>
      <c r="F10" s="235"/>
      <c r="G10" s="235"/>
      <c r="H10" s="235"/>
      <c r="I10" s="235"/>
      <c r="J10" s="235"/>
      <c r="K10" s="248">
        <v>14300</v>
      </c>
      <c r="L10" s="249">
        <v>172600</v>
      </c>
      <c r="M10" s="235">
        <v>1</v>
      </c>
      <c r="N10" s="235"/>
      <c r="O10" s="235"/>
      <c r="P10" s="235"/>
      <c r="Q10" s="235"/>
      <c r="R10" s="235"/>
      <c r="S10" s="235"/>
      <c r="T10" s="235"/>
      <c r="U10" s="235"/>
      <c r="V10" s="248">
        <v>14300</v>
      </c>
      <c r="W10" s="249">
        <v>172600</v>
      </c>
    </row>
    <row r="11" spans="1:24" x14ac:dyDescent="0.2">
      <c r="A11" s="243" t="s">
        <v>577</v>
      </c>
      <c r="B11" s="235">
        <v>1</v>
      </c>
      <c r="C11" s="235"/>
      <c r="D11" s="235"/>
      <c r="E11" s="235"/>
      <c r="F11" s="235"/>
      <c r="G11" s="235"/>
      <c r="H11" s="235"/>
      <c r="I11" s="235"/>
      <c r="J11" s="235"/>
      <c r="K11" s="248">
        <v>13704.08</v>
      </c>
      <c r="L11" s="249">
        <v>165448.95999999999</v>
      </c>
      <c r="M11" s="235">
        <v>1</v>
      </c>
      <c r="N11" s="235"/>
      <c r="O11" s="235"/>
      <c r="P11" s="235"/>
      <c r="Q11" s="235"/>
      <c r="R11" s="235"/>
      <c r="S11" s="235"/>
      <c r="T11" s="235"/>
      <c r="U11" s="235"/>
      <c r="V11" s="248">
        <v>13704.08</v>
      </c>
      <c r="W11" s="249">
        <v>165448.95999999999</v>
      </c>
    </row>
    <row r="12" spans="1:24" x14ac:dyDescent="0.2">
      <c r="A12" s="243" t="s">
        <v>578</v>
      </c>
      <c r="B12" s="235">
        <v>14</v>
      </c>
      <c r="C12" s="235"/>
      <c r="D12" s="235"/>
      <c r="E12" s="235"/>
      <c r="F12" s="235"/>
      <c r="G12" s="235"/>
      <c r="H12" s="235"/>
      <c r="I12" s="235"/>
      <c r="J12" s="235"/>
      <c r="K12" s="248">
        <v>6625.74</v>
      </c>
      <c r="L12" s="249">
        <v>1127124.32</v>
      </c>
      <c r="M12" s="235">
        <v>14</v>
      </c>
      <c r="N12" s="235"/>
      <c r="O12" s="235"/>
      <c r="P12" s="235"/>
      <c r="Q12" s="235"/>
      <c r="R12" s="235"/>
      <c r="S12" s="235"/>
      <c r="T12" s="235"/>
      <c r="U12" s="235"/>
      <c r="V12" s="248">
        <v>13063.83</v>
      </c>
      <c r="W12" s="249">
        <v>234863.07999999996</v>
      </c>
    </row>
    <row r="13" spans="1:24" x14ac:dyDescent="0.2">
      <c r="A13" s="243" t="s">
        <v>579</v>
      </c>
      <c r="B13" s="235">
        <v>20</v>
      </c>
      <c r="C13" s="235"/>
      <c r="D13" s="235"/>
      <c r="E13" s="235"/>
      <c r="F13" s="235"/>
      <c r="G13" s="235"/>
      <c r="H13" s="235"/>
      <c r="I13" s="235"/>
      <c r="J13" s="235"/>
      <c r="K13" s="248">
        <v>3615.37</v>
      </c>
      <c r="L13" s="249">
        <v>887688.8</v>
      </c>
      <c r="M13" s="235">
        <v>20</v>
      </c>
      <c r="N13" s="235"/>
      <c r="O13" s="235"/>
      <c r="P13" s="235"/>
      <c r="Q13" s="235"/>
      <c r="R13" s="235"/>
      <c r="S13" s="235"/>
      <c r="T13" s="235"/>
      <c r="U13" s="235"/>
      <c r="V13" s="248">
        <v>18920.770000000004</v>
      </c>
      <c r="W13" s="249">
        <v>271433.68000000005</v>
      </c>
    </row>
    <row r="14" spans="1:24" x14ac:dyDescent="0.2">
      <c r="A14" s="243" t="s">
        <v>580</v>
      </c>
      <c r="B14" s="235">
        <v>29</v>
      </c>
      <c r="C14" s="235"/>
      <c r="D14" s="235"/>
      <c r="E14" s="235"/>
      <c r="F14" s="235"/>
      <c r="G14" s="235"/>
      <c r="H14" s="235"/>
      <c r="I14" s="235"/>
      <c r="J14" s="235"/>
      <c r="K14" s="248">
        <v>2280.19</v>
      </c>
      <c r="L14" s="249">
        <v>822506.12</v>
      </c>
      <c r="M14" s="235">
        <v>29</v>
      </c>
      <c r="N14" s="235"/>
      <c r="O14" s="235"/>
      <c r="P14" s="235"/>
      <c r="Q14" s="235"/>
      <c r="R14" s="235"/>
      <c r="S14" s="235"/>
      <c r="T14" s="235"/>
      <c r="U14" s="235"/>
      <c r="V14" s="248">
        <v>27902.209999999988</v>
      </c>
      <c r="W14" s="249">
        <v>359507.91999999993</v>
      </c>
    </row>
    <row r="15" spans="1:24" x14ac:dyDescent="0.2">
      <c r="A15" s="243" t="s">
        <v>581</v>
      </c>
      <c r="B15" s="235">
        <v>7</v>
      </c>
      <c r="C15" s="235"/>
      <c r="D15" s="235"/>
      <c r="E15" s="235"/>
      <c r="F15" s="235"/>
      <c r="G15" s="235"/>
      <c r="H15" s="235"/>
      <c r="I15" s="235"/>
      <c r="J15" s="235"/>
      <c r="K15" s="248">
        <v>2210</v>
      </c>
      <c r="L15" s="249">
        <v>192640</v>
      </c>
      <c r="M15" s="235">
        <v>7</v>
      </c>
      <c r="N15" s="235"/>
      <c r="O15" s="235"/>
      <c r="P15" s="235"/>
      <c r="Q15" s="235"/>
      <c r="R15" s="235"/>
      <c r="S15" s="235"/>
      <c r="T15" s="235"/>
      <c r="U15" s="235"/>
      <c r="V15" s="248">
        <v>5952.08</v>
      </c>
      <c r="W15" s="249">
        <v>88744.959999999992</v>
      </c>
    </row>
    <row r="16" spans="1:24" x14ac:dyDescent="0.2">
      <c r="A16" s="243" t="s">
        <v>12</v>
      </c>
      <c r="B16" s="235">
        <v>4</v>
      </c>
      <c r="C16" s="235"/>
      <c r="D16" s="235"/>
      <c r="E16" s="235"/>
      <c r="F16" s="235"/>
      <c r="G16" s="235"/>
      <c r="H16" s="235"/>
      <c r="I16" s="235"/>
      <c r="J16" s="235"/>
      <c r="K16" s="248">
        <v>2157</v>
      </c>
      <c r="L16" s="249">
        <v>107536</v>
      </c>
      <c r="M16" s="235">
        <v>4</v>
      </c>
      <c r="N16" s="235"/>
      <c r="O16" s="235"/>
      <c r="P16" s="235"/>
      <c r="Q16" s="235"/>
      <c r="R16" s="235"/>
      <c r="S16" s="235"/>
      <c r="T16" s="235"/>
      <c r="U16" s="235"/>
      <c r="V16" s="248">
        <v>3187.55</v>
      </c>
      <c r="W16" s="249">
        <v>55570.600000000006</v>
      </c>
    </row>
    <row r="17" spans="1:23" x14ac:dyDescent="0.2">
      <c r="A17" s="245" t="s">
        <v>4</v>
      </c>
      <c r="B17" s="246"/>
      <c r="C17" s="246"/>
      <c r="D17" s="246"/>
      <c r="E17" s="246"/>
      <c r="F17" s="246"/>
      <c r="G17" s="246"/>
      <c r="H17" s="246"/>
      <c r="I17" s="246"/>
      <c r="J17" s="246"/>
      <c r="K17" s="250"/>
      <c r="L17" s="247">
        <v>1787652.52</v>
      </c>
      <c r="M17" s="246"/>
      <c r="N17" s="246"/>
      <c r="O17" s="246"/>
      <c r="P17" s="246"/>
      <c r="Q17" s="246"/>
      <c r="R17" s="246"/>
      <c r="S17" s="246"/>
      <c r="T17" s="246"/>
      <c r="U17" s="246"/>
      <c r="V17" s="250"/>
      <c r="W17" s="247">
        <v>1787652.52</v>
      </c>
    </row>
    <row r="18" spans="1:23" x14ac:dyDescent="0.2">
      <c r="A18" s="243" t="s">
        <v>13</v>
      </c>
      <c r="B18" s="235">
        <v>16</v>
      </c>
      <c r="C18" s="235"/>
      <c r="D18" s="235"/>
      <c r="E18" s="235"/>
      <c r="F18" s="235"/>
      <c r="G18" s="235"/>
      <c r="H18" s="235"/>
      <c r="I18" s="235"/>
      <c r="J18" s="235"/>
      <c r="K18" s="248">
        <v>2049</v>
      </c>
      <c r="L18" s="249">
        <v>409408</v>
      </c>
      <c r="M18" s="235">
        <v>16</v>
      </c>
      <c r="N18" s="235"/>
      <c r="O18" s="235"/>
      <c r="P18" s="235"/>
      <c r="Q18" s="235"/>
      <c r="R18" s="235"/>
      <c r="S18" s="235"/>
      <c r="T18" s="235"/>
      <c r="U18" s="235"/>
      <c r="V18" s="248">
        <v>13100.750000000004</v>
      </c>
      <c r="W18" s="249">
        <v>172969.00000000006</v>
      </c>
    </row>
    <row r="19" spans="1:23" x14ac:dyDescent="0.2">
      <c r="A19" s="243" t="s">
        <v>582</v>
      </c>
      <c r="B19" s="235">
        <v>8</v>
      </c>
      <c r="C19" s="235"/>
      <c r="D19" s="235"/>
      <c r="E19" s="235"/>
      <c r="F19" s="235"/>
      <c r="G19" s="235"/>
      <c r="H19" s="235"/>
      <c r="I19" s="235"/>
      <c r="J19" s="235"/>
      <c r="K19" s="248">
        <v>1993</v>
      </c>
      <c r="L19" s="249">
        <v>199328</v>
      </c>
      <c r="M19" s="235">
        <v>8</v>
      </c>
      <c r="N19" s="235"/>
      <c r="O19" s="235"/>
      <c r="P19" s="235"/>
      <c r="Q19" s="235"/>
      <c r="R19" s="235"/>
      <c r="S19" s="235"/>
      <c r="T19" s="235"/>
      <c r="U19" s="235"/>
      <c r="V19" s="248">
        <v>6103.1899999999987</v>
      </c>
      <c r="W19" s="249">
        <v>88998.279999999984</v>
      </c>
    </row>
    <row r="20" spans="1:23" x14ac:dyDescent="0.2">
      <c r="A20" s="243" t="s">
        <v>583</v>
      </c>
      <c r="B20" s="235">
        <v>13</v>
      </c>
      <c r="C20" s="235"/>
      <c r="D20" s="235"/>
      <c r="E20" s="235"/>
      <c r="F20" s="235"/>
      <c r="G20" s="235"/>
      <c r="H20" s="235"/>
      <c r="I20" s="235"/>
      <c r="J20" s="235"/>
      <c r="K20" s="248">
        <v>1969</v>
      </c>
      <c r="L20" s="249">
        <v>320164</v>
      </c>
      <c r="M20" s="235">
        <v>13</v>
      </c>
      <c r="N20" s="235"/>
      <c r="O20" s="235"/>
      <c r="P20" s="235"/>
      <c r="Q20" s="235"/>
      <c r="R20" s="235"/>
      <c r="S20" s="235"/>
      <c r="T20" s="235"/>
      <c r="U20" s="235"/>
      <c r="V20" s="248">
        <v>9429.1799999999985</v>
      </c>
      <c r="W20" s="249">
        <v>131062.23999999999</v>
      </c>
    </row>
    <row r="21" spans="1:23" x14ac:dyDescent="0.2">
      <c r="A21" s="243" t="s">
        <v>584</v>
      </c>
      <c r="B21" s="235">
        <v>12</v>
      </c>
      <c r="C21" s="235"/>
      <c r="D21" s="235"/>
      <c r="E21" s="235"/>
      <c r="F21" s="235"/>
      <c r="G21" s="235"/>
      <c r="H21" s="235"/>
      <c r="I21" s="235"/>
      <c r="J21" s="235"/>
      <c r="K21" s="248">
        <v>1922</v>
      </c>
      <c r="L21" s="249">
        <v>288768</v>
      </c>
      <c r="M21" s="235">
        <v>12</v>
      </c>
      <c r="N21" s="235"/>
      <c r="O21" s="235"/>
      <c r="P21" s="235"/>
      <c r="Q21" s="235"/>
      <c r="R21" s="235"/>
      <c r="S21" s="235"/>
      <c r="T21" s="235"/>
      <c r="U21" s="235"/>
      <c r="V21" s="248">
        <v>8301.32</v>
      </c>
      <c r="W21" s="249">
        <v>115375.84</v>
      </c>
    </row>
    <row r="22" spans="1:23" x14ac:dyDescent="0.2">
      <c r="A22" s="243" t="s">
        <v>14</v>
      </c>
      <c r="B22" s="235">
        <v>23</v>
      </c>
      <c r="C22" s="235"/>
      <c r="D22" s="235"/>
      <c r="E22" s="235"/>
      <c r="F22" s="235"/>
      <c r="G22" s="235"/>
      <c r="H22" s="235"/>
      <c r="I22" s="235"/>
      <c r="J22" s="235"/>
      <c r="K22" s="248">
        <v>1898</v>
      </c>
      <c r="L22" s="249">
        <v>546848</v>
      </c>
      <c r="M22" s="235">
        <v>23</v>
      </c>
      <c r="N22" s="235"/>
      <c r="O22" s="235"/>
      <c r="P22" s="235"/>
      <c r="Q22" s="235"/>
      <c r="R22" s="235"/>
      <c r="S22" s="235"/>
      <c r="T22" s="235"/>
      <c r="U22" s="235"/>
      <c r="V22" s="248">
        <v>15359.069999999998</v>
      </c>
      <c r="W22" s="249">
        <v>200068.84</v>
      </c>
    </row>
    <row r="23" spans="1:23" x14ac:dyDescent="0.2">
      <c r="A23" s="243" t="s">
        <v>585</v>
      </c>
      <c r="B23" s="235">
        <v>1</v>
      </c>
      <c r="C23" s="235"/>
      <c r="D23" s="235"/>
      <c r="E23" s="235"/>
      <c r="F23" s="235"/>
      <c r="G23" s="235"/>
      <c r="H23" s="235"/>
      <c r="I23" s="235"/>
      <c r="J23" s="235"/>
      <c r="K23" s="248">
        <v>1844.71</v>
      </c>
      <c r="L23" s="249">
        <v>23136.52</v>
      </c>
      <c r="M23" s="235">
        <v>1</v>
      </c>
      <c r="N23" s="235"/>
      <c r="O23" s="235"/>
      <c r="P23" s="235"/>
      <c r="Q23" s="235"/>
      <c r="R23" s="235"/>
      <c r="S23" s="235"/>
      <c r="T23" s="235"/>
      <c r="U23" s="235"/>
      <c r="V23" s="248">
        <v>614.71</v>
      </c>
      <c r="W23" s="249">
        <v>23136.52</v>
      </c>
    </row>
    <row r="24" spans="1:23" x14ac:dyDescent="0.2">
      <c r="A24" s="245" t="s">
        <v>5</v>
      </c>
      <c r="B24" s="246"/>
      <c r="C24" s="246"/>
      <c r="D24" s="246"/>
      <c r="E24" s="246"/>
      <c r="F24" s="246"/>
      <c r="G24" s="246"/>
      <c r="H24" s="246"/>
      <c r="I24" s="246"/>
      <c r="J24" s="246"/>
      <c r="K24" s="250"/>
      <c r="L24" s="247">
        <v>2588580.7999999998</v>
      </c>
      <c r="M24" s="246"/>
      <c r="N24" s="246"/>
      <c r="O24" s="246"/>
      <c r="P24" s="246"/>
      <c r="Q24" s="246"/>
      <c r="R24" s="246"/>
      <c r="S24" s="246"/>
      <c r="T24" s="246"/>
      <c r="U24" s="246"/>
      <c r="V24" s="250"/>
      <c r="W24" s="247">
        <v>2588580.7999999998</v>
      </c>
    </row>
    <row r="25" spans="1:23" x14ac:dyDescent="0.2">
      <c r="A25" s="243" t="s">
        <v>15</v>
      </c>
      <c r="B25" s="235">
        <v>21</v>
      </c>
      <c r="C25" s="235"/>
      <c r="D25" s="235"/>
      <c r="E25" s="235"/>
      <c r="F25" s="235"/>
      <c r="G25" s="235"/>
      <c r="H25" s="235"/>
      <c r="I25" s="235"/>
      <c r="J25" s="235"/>
      <c r="K25" s="248">
        <v>1796</v>
      </c>
      <c r="L25" s="249">
        <v>473592</v>
      </c>
      <c r="M25" s="235">
        <v>21</v>
      </c>
      <c r="N25" s="235"/>
      <c r="O25" s="235"/>
      <c r="P25" s="235"/>
      <c r="Q25" s="235"/>
      <c r="R25" s="235"/>
      <c r="S25" s="235"/>
      <c r="T25" s="235"/>
      <c r="U25" s="235"/>
      <c r="V25" s="248">
        <v>13135.98</v>
      </c>
      <c r="W25" s="249">
        <v>172671.76</v>
      </c>
    </row>
    <row r="26" spans="1:23" x14ac:dyDescent="0.2">
      <c r="A26" s="243" t="s">
        <v>586</v>
      </c>
      <c r="B26" s="235">
        <v>31</v>
      </c>
      <c r="C26" s="235"/>
      <c r="D26" s="235"/>
      <c r="E26" s="235"/>
      <c r="F26" s="235"/>
      <c r="G26" s="235"/>
      <c r="H26" s="235"/>
      <c r="I26" s="235"/>
      <c r="J26" s="235"/>
      <c r="K26" s="248">
        <v>1770</v>
      </c>
      <c r="L26" s="249">
        <v>689440</v>
      </c>
      <c r="M26" s="235">
        <v>31</v>
      </c>
      <c r="N26" s="235"/>
      <c r="O26" s="235"/>
      <c r="P26" s="235"/>
      <c r="Q26" s="235"/>
      <c r="R26" s="235"/>
      <c r="S26" s="235"/>
      <c r="T26" s="235"/>
      <c r="U26" s="235"/>
      <c r="V26" s="248">
        <v>16818.16</v>
      </c>
      <c r="W26" s="249">
        <v>238234.36000000007</v>
      </c>
    </row>
    <row r="27" spans="1:23" x14ac:dyDescent="0.2">
      <c r="A27" s="243" t="s">
        <v>587</v>
      </c>
      <c r="B27" s="235">
        <v>48</v>
      </c>
      <c r="C27" s="235"/>
      <c r="D27" s="235"/>
      <c r="E27" s="235"/>
      <c r="F27" s="235"/>
      <c r="G27" s="235"/>
      <c r="H27" s="235"/>
      <c r="I27" s="235"/>
      <c r="J27" s="235"/>
      <c r="K27" s="248">
        <v>1780</v>
      </c>
      <c r="L27" s="249">
        <v>1073280</v>
      </c>
      <c r="M27" s="235">
        <v>48</v>
      </c>
      <c r="N27" s="235"/>
      <c r="O27" s="235"/>
      <c r="P27" s="235"/>
      <c r="Q27" s="235"/>
      <c r="R27" s="235"/>
      <c r="S27" s="235"/>
      <c r="T27" s="235"/>
      <c r="U27" s="235"/>
      <c r="V27" s="248">
        <v>29272.189999999988</v>
      </c>
      <c r="W27" s="249">
        <v>366306.27999999985</v>
      </c>
    </row>
    <row r="28" spans="1:23" x14ac:dyDescent="0.2">
      <c r="A28" s="243" t="s">
        <v>588</v>
      </c>
      <c r="B28" s="235">
        <v>14</v>
      </c>
      <c r="C28" s="235"/>
      <c r="D28" s="235"/>
      <c r="E28" s="235"/>
      <c r="F28" s="235"/>
      <c r="G28" s="235"/>
      <c r="H28" s="235"/>
      <c r="I28" s="235"/>
      <c r="J28" s="235"/>
      <c r="K28" s="248">
        <v>1754</v>
      </c>
      <c r="L28" s="249">
        <v>308672</v>
      </c>
      <c r="M28" s="235">
        <v>14</v>
      </c>
      <c r="N28" s="235"/>
      <c r="O28" s="235"/>
      <c r="P28" s="235"/>
      <c r="Q28" s="235"/>
      <c r="R28" s="235"/>
      <c r="S28" s="235"/>
      <c r="T28" s="235"/>
      <c r="U28" s="235"/>
      <c r="V28" s="248">
        <v>8170.09</v>
      </c>
      <c r="W28" s="249">
        <v>113081.08</v>
      </c>
    </row>
    <row r="29" spans="1:23" x14ac:dyDescent="0.2">
      <c r="A29" s="243" t="s">
        <v>589</v>
      </c>
      <c r="B29" s="235">
        <v>2</v>
      </c>
      <c r="C29" s="235"/>
      <c r="D29" s="235"/>
      <c r="E29" s="235"/>
      <c r="F29" s="235"/>
      <c r="G29" s="235"/>
      <c r="H29" s="235"/>
      <c r="I29" s="235"/>
      <c r="J29" s="235"/>
      <c r="K29" s="248">
        <v>1733.2</v>
      </c>
      <c r="L29" s="249">
        <v>43596.800000000003</v>
      </c>
      <c r="M29" s="235">
        <v>2</v>
      </c>
      <c r="N29" s="235"/>
      <c r="O29" s="235"/>
      <c r="P29" s="235"/>
      <c r="Q29" s="235"/>
      <c r="R29" s="235"/>
      <c r="S29" s="235"/>
      <c r="T29" s="235"/>
      <c r="U29" s="235"/>
      <c r="V29" s="248">
        <v>1126.4000000000001</v>
      </c>
      <c r="W29" s="249">
        <v>28556.799999999996</v>
      </c>
    </row>
    <row r="30" spans="1:23" x14ac:dyDescent="0.2">
      <c r="A30" s="245" t="s">
        <v>6</v>
      </c>
      <c r="B30" s="246"/>
      <c r="C30" s="246"/>
      <c r="D30" s="246"/>
      <c r="E30" s="246"/>
      <c r="F30" s="246"/>
      <c r="G30" s="246"/>
      <c r="H30" s="246"/>
      <c r="I30" s="246"/>
      <c r="J30" s="246"/>
      <c r="K30" s="250"/>
      <c r="L30" s="247">
        <v>829038.92</v>
      </c>
      <c r="M30" s="246"/>
      <c r="N30" s="246"/>
      <c r="O30" s="246"/>
      <c r="P30" s="246"/>
      <c r="Q30" s="246"/>
      <c r="R30" s="246"/>
      <c r="S30" s="246"/>
      <c r="T30" s="246"/>
      <c r="U30" s="246"/>
      <c r="V30" s="250"/>
      <c r="W30" s="247">
        <v>829038.92</v>
      </c>
    </row>
    <row r="31" spans="1:23" x14ac:dyDescent="0.2">
      <c r="A31" s="243" t="s">
        <v>16</v>
      </c>
      <c r="B31" s="235">
        <v>35</v>
      </c>
      <c r="C31" s="235"/>
      <c r="D31" s="235"/>
      <c r="E31" s="235"/>
      <c r="F31" s="235"/>
      <c r="G31" s="235"/>
      <c r="H31" s="235"/>
      <c r="I31" s="235"/>
      <c r="J31" s="235"/>
      <c r="K31" s="248">
        <v>1736.15</v>
      </c>
      <c r="L31" s="249">
        <v>764183.00000000012</v>
      </c>
      <c r="M31" s="235">
        <v>35</v>
      </c>
      <c r="N31" s="235"/>
      <c r="O31" s="235"/>
      <c r="P31" s="235"/>
      <c r="Q31" s="235"/>
      <c r="R31" s="235"/>
      <c r="S31" s="235"/>
      <c r="T31" s="235"/>
      <c r="U31" s="235"/>
      <c r="V31" s="248">
        <v>19928.990000000002</v>
      </c>
      <c r="W31" s="249">
        <v>261020.68000000005</v>
      </c>
    </row>
    <row r="32" spans="1:23" x14ac:dyDescent="0.2">
      <c r="A32" s="243" t="s">
        <v>590</v>
      </c>
      <c r="B32" s="235">
        <v>2</v>
      </c>
      <c r="C32" s="235"/>
      <c r="D32" s="235"/>
      <c r="E32" s="235"/>
      <c r="F32" s="235"/>
      <c r="G32" s="235"/>
      <c r="H32" s="235"/>
      <c r="I32" s="235"/>
      <c r="J32" s="235"/>
      <c r="K32" s="248">
        <v>1715.4299999999998</v>
      </c>
      <c r="L32" s="249">
        <v>43170.319999999992</v>
      </c>
      <c r="M32" s="235">
        <v>2</v>
      </c>
      <c r="N32" s="235"/>
      <c r="O32" s="235"/>
      <c r="P32" s="235"/>
      <c r="Q32" s="235"/>
      <c r="R32" s="235"/>
      <c r="S32" s="235"/>
      <c r="T32" s="235"/>
      <c r="U32" s="235"/>
      <c r="V32" s="248">
        <v>1130.8499999999999</v>
      </c>
      <c r="W32" s="249">
        <v>28370.199999999997</v>
      </c>
    </row>
    <row r="33" spans="1:23" x14ac:dyDescent="0.2">
      <c r="A33" s="243" t="s">
        <v>591</v>
      </c>
      <c r="B33" s="235">
        <v>1</v>
      </c>
      <c r="C33" s="235"/>
      <c r="D33" s="235"/>
      <c r="E33" s="235"/>
      <c r="F33" s="235"/>
      <c r="G33" s="235"/>
      <c r="H33" s="235"/>
      <c r="I33" s="235"/>
      <c r="J33" s="235"/>
      <c r="K33" s="248">
        <v>1723.8</v>
      </c>
      <c r="L33" s="249">
        <v>21685.599999999999</v>
      </c>
      <c r="M33" s="235">
        <v>1</v>
      </c>
      <c r="N33" s="235"/>
      <c r="O33" s="235"/>
      <c r="P33" s="235"/>
      <c r="Q33" s="235"/>
      <c r="R33" s="235"/>
      <c r="S33" s="235"/>
      <c r="T33" s="235"/>
      <c r="U33" s="235"/>
      <c r="V33" s="248">
        <v>573.79999999999995</v>
      </c>
      <c r="W33" s="249">
        <v>21685.599999999999</v>
      </c>
    </row>
    <row r="34" spans="1:23" x14ac:dyDescent="0.2">
      <c r="A34" s="243"/>
      <c r="B34" s="235"/>
      <c r="C34" s="235"/>
      <c r="D34" s="235"/>
      <c r="E34" s="235"/>
      <c r="F34" s="235"/>
      <c r="G34" s="235"/>
      <c r="H34" s="235"/>
      <c r="I34" s="235"/>
      <c r="J34" s="235"/>
      <c r="K34" s="235"/>
      <c r="L34" s="244"/>
      <c r="M34" s="235"/>
      <c r="N34" s="235"/>
      <c r="O34" s="235"/>
      <c r="P34" s="235"/>
      <c r="Q34" s="235"/>
      <c r="R34" s="235"/>
      <c r="S34" s="235"/>
      <c r="T34" s="235"/>
      <c r="U34" s="235"/>
      <c r="V34" s="235"/>
      <c r="W34" s="244"/>
    </row>
    <row r="35" spans="1:23" x14ac:dyDescent="0.2">
      <c r="A35" s="245" t="s">
        <v>80</v>
      </c>
      <c r="B35" s="246"/>
      <c r="C35" s="246"/>
      <c r="D35" s="246"/>
      <c r="E35" s="246"/>
      <c r="F35" s="246"/>
      <c r="G35" s="246"/>
      <c r="H35" s="246"/>
      <c r="I35" s="246"/>
      <c r="J35" s="246"/>
      <c r="K35" s="246"/>
      <c r="L35" s="251"/>
      <c r="M35" s="246"/>
      <c r="N35" s="246"/>
      <c r="O35" s="246"/>
      <c r="P35" s="246"/>
      <c r="Q35" s="246"/>
      <c r="R35" s="246"/>
      <c r="S35" s="246"/>
      <c r="T35" s="246"/>
      <c r="U35" s="246"/>
      <c r="V35" s="250"/>
      <c r="W35" s="247"/>
    </row>
    <row r="36" spans="1:23" x14ac:dyDescent="0.2">
      <c r="A36" s="243"/>
      <c r="B36" s="235"/>
      <c r="C36" s="235"/>
      <c r="D36" s="235"/>
      <c r="E36" s="235"/>
      <c r="F36" s="235"/>
      <c r="G36" s="235"/>
      <c r="H36" s="235"/>
      <c r="I36" s="235"/>
      <c r="J36" s="235"/>
      <c r="K36" s="235"/>
      <c r="L36" s="244"/>
      <c r="M36" s="235"/>
      <c r="N36" s="235"/>
      <c r="O36" s="235"/>
      <c r="P36" s="235"/>
      <c r="Q36" s="235"/>
      <c r="R36" s="235"/>
      <c r="S36" s="235"/>
      <c r="T36" s="235"/>
      <c r="U36" s="235"/>
      <c r="V36" s="248"/>
      <c r="W36" s="249"/>
    </row>
    <row r="37" spans="1:23" x14ac:dyDescent="0.2">
      <c r="A37" s="243" t="s">
        <v>80</v>
      </c>
      <c r="B37" s="235"/>
      <c r="C37" s="235"/>
      <c r="D37" s="235">
        <v>102</v>
      </c>
      <c r="E37" s="235"/>
      <c r="F37" s="235"/>
      <c r="G37" s="235"/>
      <c r="H37" s="235"/>
      <c r="I37" s="235"/>
      <c r="J37" s="235"/>
      <c r="K37" s="248">
        <v>221370</v>
      </c>
      <c r="L37" s="249">
        <v>2717640</v>
      </c>
      <c r="M37" s="235"/>
      <c r="N37" s="235"/>
      <c r="O37" s="235">
        <v>102</v>
      </c>
      <c r="P37" s="235"/>
      <c r="Q37" s="235"/>
      <c r="R37" s="235"/>
      <c r="S37" s="235"/>
      <c r="T37" s="234"/>
      <c r="U37" s="234"/>
      <c r="V37" s="248">
        <v>221370</v>
      </c>
      <c r="W37" s="249">
        <v>2717640</v>
      </c>
    </row>
    <row r="38" spans="1:23" ht="13.5" thickBot="1" x14ac:dyDescent="0.25">
      <c r="A38" s="243"/>
      <c r="B38" s="235"/>
      <c r="C38" s="235"/>
      <c r="D38" s="235"/>
      <c r="E38" s="235"/>
      <c r="F38" s="235"/>
      <c r="G38" s="235"/>
      <c r="H38" s="235"/>
      <c r="I38" s="235"/>
      <c r="J38" s="235"/>
      <c r="K38" s="235"/>
      <c r="L38" s="244"/>
      <c r="M38" s="235"/>
      <c r="N38" s="235"/>
      <c r="O38" s="235"/>
      <c r="P38" s="235"/>
      <c r="Q38" s="235"/>
      <c r="R38" s="235"/>
      <c r="S38" s="235"/>
      <c r="T38" s="235"/>
      <c r="U38" s="235"/>
      <c r="V38" s="235"/>
      <c r="W38" s="244"/>
    </row>
    <row r="39" spans="1:23" ht="13.5" thickBot="1" x14ac:dyDescent="0.25">
      <c r="A39" s="252" t="s">
        <v>21</v>
      </c>
      <c r="B39" s="253"/>
      <c r="C39" s="253"/>
      <c r="D39" s="253"/>
      <c r="E39" s="253"/>
      <c r="F39" s="253"/>
      <c r="G39" s="253"/>
      <c r="H39" s="253"/>
      <c r="I39" s="253"/>
      <c r="J39" s="253"/>
      <c r="K39" s="253"/>
      <c r="L39" s="254">
        <f>L9+L17+L24+L30</f>
        <v>8680816.4400000013</v>
      </c>
      <c r="M39" s="253"/>
      <c r="N39" s="253"/>
      <c r="O39" s="253"/>
      <c r="P39" s="253"/>
      <c r="Q39" s="253"/>
      <c r="R39" s="253"/>
      <c r="S39" s="253"/>
      <c r="T39" s="253"/>
      <c r="U39" s="253"/>
      <c r="V39" s="253"/>
      <c r="W39" s="254">
        <f>W9+W17+W24+W30</f>
        <v>8680816.4400000013</v>
      </c>
    </row>
    <row r="40" spans="1:23" x14ac:dyDescent="0.2">
      <c r="A40" s="255" t="s">
        <v>279</v>
      </c>
      <c r="B40" s="256"/>
      <c r="C40" s="256"/>
      <c r="D40" s="256"/>
      <c r="E40" s="256"/>
      <c r="F40" s="256"/>
      <c r="G40" s="256"/>
      <c r="H40" s="256"/>
      <c r="I40" s="256"/>
      <c r="J40" s="256"/>
      <c r="K40" s="256"/>
      <c r="L40" s="256"/>
      <c r="M40" s="256"/>
      <c r="N40" s="256"/>
      <c r="O40" s="256"/>
      <c r="P40" s="234"/>
      <c r="Q40" s="257"/>
      <c r="R40" s="233"/>
      <c r="S40" s="233"/>
      <c r="T40" s="234"/>
      <c r="U40" s="234"/>
      <c r="V40" s="234"/>
      <c r="W40" s="234"/>
    </row>
    <row r="41" spans="1:23" x14ac:dyDescent="0.2">
      <c r="A41" s="235" t="s">
        <v>273</v>
      </c>
      <c r="B41" s="235"/>
      <c r="C41" s="235"/>
      <c r="D41" s="235"/>
      <c r="E41" s="235"/>
      <c r="F41" s="235"/>
      <c r="G41" s="235"/>
      <c r="H41" s="235"/>
      <c r="I41" s="235"/>
      <c r="J41" s="235"/>
      <c r="K41" s="235"/>
      <c r="L41" s="235"/>
      <c r="M41" s="235"/>
      <c r="N41" s="235"/>
      <c r="O41" s="235"/>
      <c r="P41" s="234"/>
      <c r="Q41" s="257"/>
      <c r="R41" s="233"/>
      <c r="S41" s="233"/>
      <c r="T41" s="233"/>
      <c r="U41" s="233"/>
      <c r="V41" s="234"/>
      <c r="W41" s="234"/>
    </row>
    <row r="42" spans="1:23" x14ac:dyDescent="0.2">
      <c r="A42" s="235" t="s">
        <v>277</v>
      </c>
      <c r="B42" s="235"/>
      <c r="C42" s="235"/>
      <c r="D42" s="235"/>
      <c r="E42" s="235"/>
      <c r="F42" s="235"/>
      <c r="G42" s="235"/>
      <c r="H42" s="235"/>
      <c r="I42" s="235"/>
      <c r="J42" s="235"/>
      <c r="K42" s="235"/>
      <c r="L42" s="235"/>
      <c r="M42" s="235"/>
      <c r="N42" s="235"/>
      <c r="O42" s="235"/>
      <c r="P42" s="234"/>
      <c r="Q42" s="257"/>
      <c r="R42" s="233"/>
      <c r="S42" s="233"/>
      <c r="T42" s="233"/>
      <c r="U42" s="233"/>
      <c r="V42" s="234"/>
      <c r="W42" s="234"/>
    </row>
    <row r="43" spans="1:23" x14ac:dyDescent="0.2">
      <c r="A43" s="235" t="s">
        <v>284</v>
      </c>
      <c r="B43" s="235"/>
      <c r="C43" s="235"/>
      <c r="D43" s="235"/>
      <c r="E43" s="235"/>
      <c r="F43" s="235"/>
      <c r="G43" s="235"/>
      <c r="H43" s="235"/>
      <c r="I43" s="235"/>
      <c r="J43" s="235"/>
      <c r="K43" s="235"/>
      <c r="L43" s="235"/>
      <c r="M43" s="235"/>
      <c r="N43" s="235"/>
      <c r="O43" s="235"/>
      <c r="P43" s="235"/>
      <c r="Q43" s="235"/>
      <c r="R43" s="235"/>
      <c r="S43" s="235"/>
      <c r="T43" s="235"/>
      <c r="U43" s="235"/>
      <c r="V43" s="235"/>
      <c r="W43" s="235"/>
    </row>
    <row r="45" spans="1:23" ht="240" customHeight="1" x14ac:dyDescent="0.2"/>
    <row r="47" spans="1:23" ht="13.5" thickBot="1" x14ac:dyDescent="0.25">
      <c r="A47" s="256" t="s">
        <v>836</v>
      </c>
      <c r="B47" s="235"/>
      <c r="C47" s="235"/>
      <c r="D47" s="235"/>
      <c r="E47" s="235"/>
      <c r="F47" s="235"/>
      <c r="G47" s="235"/>
      <c r="H47" s="235"/>
      <c r="I47" s="235"/>
      <c r="J47" s="235"/>
      <c r="K47" s="235"/>
      <c r="L47" s="720"/>
      <c r="M47" s="235"/>
      <c r="N47" s="235"/>
      <c r="O47" s="235"/>
      <c r="P47" s="235"/>
      <c r="Q47" s="235"/>
      <c r="R47" s="235"/>
      <c r="S47" s="235"/>
      <c r="T47" s="235"/>
      <c r="U47" s="235"/>
      <c r="V47" s="235"/>
      <c r="W47" s="720"/>
    </row>
    <row r="48" spans="1:23" x14ac:dyDescent="0.2">
      <c r="A48" s="721" t="s">
        <v>10</v>
      </c>
      <c r="B48" s="1351" t="s">
        <v>419</v>
      </c>
      <c r="C48" s="1352"/>
      <c r="D48" s="1352"/>
      <c r="E48" s="1352"/>
      <c r="F48" s="1352"/>
      <c r="G48" s="1352"/>
      <c r="H48" s="1352"/>
      <c r="I48" s="1352"/>
      <c r="J48" s="1352"/>
      <c r="K48" s="1352"/>
      <c r="L48" s="1353"/>
      <c r="M48" s="1351" t="s">
        <v>420</v>
      </c>
      <c r="N48" s="1352"/>
      <c r="O48" s="1352"/>
      <c r="P48" s="1352"/>
      <c r="Q48" s="1352"/>
      <c r="R48" s="1352"/>
      <c r="S48" s="1352"/>
      <c r="T48" s="1352"/>
      <c r="U48" s="1352"/>
      <c r="V48" s="1352"/>
      <c r="W48" s="1353"/>
    </row>
    <row r="49" spans="1:23" ht="135" thickBot="1" x14ac:dyDescent="0.25">
      <c r="A49" s="722" t="s">
        <v>9</v>
      </c>
      <c r="B49" s="723" t="s">
        <v>316</v>
      </c>
      <c r="C49" s="723" t="s">
        <v>113</v>
      </c>
      <c r="D49" s="724" t="s">
        <v>272</v>
      </c>
      <c r="E49" s="724" t="s">
        <v>266</v>
      </c>
      <c r="F49" s="724" t="s">
        <v>274</v>
      </c>
      <c r="G49" s="724" t="s">
        <v>275</v>
      </c>
      <c r="H49" s="724" t="s">
        <v>276</v>
      </c>
      <c r="I49" s="724" t="s">
        <v>283</v>
      </c>
      <c r="J49" s="725" t="s">
        <v>278</v>
      </c>
      <c r="K49" s="726" t="s">
        <v>280</v>
      </c>
      <c r="L49" s="727" t="s">
        <v>282</v>
      </c>
      <c r="M49" s="723" t="s">
        <v>316</v>
      </c>
      <c r="N49" s="723" t="s">
        <v>113</v>
      </c>
      <c r="O49" s="724" t="s">
        <v>272</v>
      </c>
      <c r="P49" s="724" t="s">
        <v>266</v>
      </c>
      <c r="Q49" s="724" t="s">
        <v>274</v>
      </c>
      <c r="R49" s="724" t="s">
        <v>275</v>
      </c>
      <c r="S49" s="724" t="s">
        <v>276</v>
      </c>
      <c r="T49" s="724" t="s">
        <v>283</v>
      </c>
      <c r="U49" s="725" t="s">
        <v>278</v>
      </c>
      <c r="V49" s="726" t="s">
        <v>280</v>
      </c>
      <c r="W49" s="727" t="s">
        <v>281</v>
      </c>
    </row>
    <row r="50" spans="1:23" x14ac:dyDescent="0.2">
      <c r="A50" s="732" t="s">
        <v>49</v>
      </c>
      <c r="B50" s="733">
        <f t="shared" ref="B50:W50" si="0">SUM(B51+B60+B67+B74)</f>
        <v>234</v>
      </c>
      <c r="C50" s="734">
        <f t="shared" si="0"/>
        <v>0</v>
      </c>
      <c r="D50" s="734">
        <f t="shared" si="0"/>
        <v>55</v>
      </c>
      <c r="E50" s="734">
        <f t="shared" si="0"/>
        <v>0</v>
      </c>
      <c r="F50" s="734">
        <f t="shared" si="0"/>
        <v>0</v>
      </c>
      <c r="G50" s="734">
        <f t="shared" si="0"/>
        <v>0</v>
      </c>
      <c r="H50" s="734">
        <f t="shared" si="0"/>
        <v>0</v>
      </c>
      <c r="I50" s="734">
        <f t="shared" si="0"/>
        <v>0</v>
      </c>
      <c r="J50" s="734">
        <f t="shared" si="0"/>
        <v>0</v>
      </c>
      <c r="K50" s="734">
        <f t="shared" si="0"/>
        <v>289</v>
      </c>
      <c r="L50" s="735">
        <f t="shared" si="0"/>
        <v>7374660.3399999989</v>
      </c>
      <c r="M50" s="736">
        <f t="shared" si="0"/>
        <v>235</v>
      </c>
      <c r="N50" s="734">
        <f t="shared" si="0"/>
        <v>0</v>
      </c>
      <c r="O50" s="734">
        <f t="shared" si="0"/>
        <v>55</v>
      </c>
      <c r="P50" s="734">
        <f t="shared" si="0"/>
        <v>0</v>
      </c>
      <c r="Q50" s="734">
        <f t="shared" si="0"/>
        <v>0</v>
      </c>
      <c r="R50" s="734">
        <f t="shared" si="0"/>
        <v>0</v>
      </c>
      <c r="S50" s="734">
        <f t="shared" si="0"/>
        <v>0</v>
      </c>
      <c r="T50" s="734">
        <f t="shared" si="0"/>
        <v>0</v>
      </c>
      <c r="U50" s="734">
        <f t="shared" si="0"/>
        <v>0</v>
      </c>
      <c r="V50" s="737">
        <f t="shared" si="0"/>
        <v>290</v>
      </c>
      <c r="W50" s="735">
        <f t="shared" si="0"/>
        <v>7426402.9399999995</v>
      </c>
    </row>
    <row r="51" spans="1:23" x14ac:dyDescent="0.2">
      <c r="A51" s="738" t="s">
        <v>7</v>
      </c>
      <c r="B51" s="739">
        <f t="shared" ref="B51:W51" si="1">SUM(B52:B59)</f>
        <v>12</v>
      </c>
      <c r="C51" s="246">
        <f t="shared" si="1"/>
        <v>0</v>
      </c>
      <c r="D51" s="246">
        <f t="shared" si="1"/>
        <v>0</v>
      </c>
      <c r="E51" s="246">
        <f t="shared" si="1"/>
        <v>0</v>
      </c>
      <c r="F51" s="246">
        <f t="shared" si="1"/>
        <v>0</v>
      </c>
      <c r="G51" s="246">
        <f t="shared" si="1"/>
        <v>0</v>
      </c>
      <c r="H51" s="246">
        <f t="shared" si="1"/>
        <v>0</v>
      </c>
      <c r="I51" s="246">
        <f t="shared" si="1"/>
        <v>0</v>
      </c>
      <c r="J51" s="246">
        <f t="shared" si="1"/>
        <v>0</v>
      </c>
      <c r="K51" s="246">
        <f t="shared" si="1"/>
        <v>12</v>
      </c>
      <c r="L51" s="740">
        <f t="shared" si="1"/>
        <v>615072.96</v>
      </c>
      <c r="M51" s="741">
        <f t="shared" si="1"/>
        <v>13</v>
      </c>
      <c r="N51" s="246">
        <f t="shared" si="1"/>
        <v>0</v>
      </c>
      <c r="O51" s="246">
        <f t="shared" si="1"/>
        <v>0</v>
      </c>
      <c r="P51" s="246">
        <f t="shared" si="1"/>
        <v>0</v>
      </c>
      <c r="Q51" s="246">
        <f t="shared" si="1"/>
        <v>0</v>
      </c>
      <c r="R51" s="246">
        <f t="shared" si="1"/>
        <v>0</v>
      </c>
      <c r="S51" s="246">
        <f t="shared" si="1"/>
        <v>0</v>
      </c>
      <c r="T51" s="246">
        <f t="shared" si="1"/>
        <v>0</v>
      </c>
      <c r="U51" s="246">
        <f t="shared" si="1"/>
        <v>0</v>
      </c>
      <c r="V51" s="742">
        <f t="shared" si="1"/>
        <v>13</v>
      </c>
      <c r="W51" s="740">
        <f t="shared" si="1"/>
        <v>666815.56000000006</v>
      </c>
    </row>
    <row r="52" spans="1:23" ht="14.25" x14ac:dyDescent="0.2">
      <c r="A52" s="743" t="s">
        <v>3</v>
      </c>
      <c r="B52" s="744" t="s">
        <v>77</v>
      </c>
      <c r="C52" s="235"/>
      <c r="D52" s="235"/>
      <c r="E52" s="235"/>
      <c r="F52" s="235"/>
      <c r="G52" s="235"/>
      <c r="H52" s="235"/>
      <c r="I52" s="235"/>
      <c r="J52" s="235"/>
      <c r="K52" s="235">
        <f t="shared" ref="K52:K59" si="2">SUM(B52:J52)</f>
        <v>0</v>
      </c>
      <c r="L52" s="745" t="s">
        <v>77</v>
      </c>
      <c r="M52" s="746"/>
      <c r="N52" s="235"/>
      <c r="O52" s="235"/>
      <c r="P52" s="235"/>
      <c r="Q52" s="235"/>
      <c r="R52" s="235"/>
      <c r="S52" s="235"/>
      <c r="T52" s="235"/>
      <c r="U52" s="235"/>
      <c r="V52" s="747"/>
      <c r="W52" s="748"/>
    </row>
    <row r="53" spans="1:23" ht="14.25" x14ac:dyDescent="0.2">
      <c r="A53" s="743" t="s">
        <v>577</v>
      </c>
      <c r="B53" s="744">
        <v>0</v>
      </c>
      <c r="C53" s="235"/>
      <c r="D53" s="235"/>
      <c r="E53" s="235"/>
      <c r="F53" s="235"/>
      <c r="G53" s="235"/>
      <c r="H53" s="235"/>
      <c r="I53" s="235"/>
      <c r="J53" s="235"/>
      <c r="K53" s="235">
        <f t="shared" si="2"/>
        <v>0</v>
      </c>
      <c r="L53" s="745" t="s">
        <v>77</v>
      </c>
      <c r="M53" s="746"/>
      <c r="N53" s="235"/>
      <c r="O53" s="235"/>
      <c r="P53" s="235"/>
      <c r="Q53" s="235"/>
      <c r="R53" s="235"/>
      <c r="S53" s="235"/>
      <c r="T53" s="235"/>
      <c r="U53" s="235"/>
      <c r="V53" s="747"/>
      <c r="W53" s="748"/>
    </row>
    <row r="54" spans="1:23" ht="14.25" x14ac:dyDescent="0.2">
      <c r="A54" s="743" t="s">
        <v>642</v>
      </c>
      <c r="B54" s="744">
        <v>0</v>
      </c>
      <c r="C54" s="235"/>
      <c r="D54" s="235"/>
      <c r="E54" s="235"/>
      <c r="F54" s="235"/>
      <c r="G54" s="235"/>
      <c r="H54" s="235"/>
      <c r="I54" s="235"/>
      <c r="J54" s="235"/>
      <c r="K54" s="235">
        <f t="shared" si="2"/>
        <v>0</v>
      </c>
      <c r="L54" s="745" t="s">
        <v>77</v>
      </c>
      <c r="M54" s="746"/>
      <c r="N54" s="235"/>
      <c r="O54" s="235"/>
      <c r="P54" s="235"/>
      <c r="Q54" s="235"/>
      <c r="R54" s="235"/>
      <c r="S54" s="235"/>
      <c r="T54" s="235"/>
      <c r="U54" s="235"/>
      <c r="V54" s="747"/>
      <c r="W54" s="748"/>
    </row>
    <row r="55" spans="1:23" ht="14.25" x14ac:dyDescent="0.2">
      <c r="A55" s="743" t="s">
        <v>578</v>
      </c>
      <c r="B55" s="744">
        <v>1</v>
      </c>
      <c r="C55" s="235"/>
      <c r="D55" s="235"/>
      <c r="E55" s="235"/>
      <c r="F55" s="235"/>
      <c r="G55" s="235"/>
      <c r="H55" s="235"/>
      <c r="I55" s="235"/>
      <c r="J55" s="235"/>
      <c r="K55" s="235">
        <f t="shared" si="2"/>
        <v>1</v>
      </c>
      <c r="L55" s="748">
        <v>59060.320000000007</v>
      </c>
      <c r="M55" s="746">
        <v>1</v>
      </c>
      <c r="N55" s="235"/>
      <c r="O55" s="235"/>
      <c r="P55" s="235"/>
      <c r="Q55" s="235"/>
      <c r="R55" s="235"/>
      <c r="S55" s="235"/>
      <c r="T55" s="235"/>
      <c r="U55" s="235"/>
      <c r="V55" s="747">
        <f>SUM(M55:U55)</f>
        <v>1</v>
      </c>
      <c r="W55" s="748">
        <v>59060.56</v>
      </c>
    </row>
    <row r="56" spans="1:23" ht="14.25" x14ac:dyDescent="0.2">
      <c r="A56" s="743" t="s">
        <v>579</v>
      </c>
      <c r="B56" s="744">
        <v>4</v>
      </c>
      <c r="C56" s="235"/>
      <c r="D56" s="235"/>
      <c r="E56" s="235"/>
      <c r="F56" s="235"/>
      <c r="G56" s="235"/>
      <c r="H56" s="235"/>
      <c r="I56" s="235"/>
      <c r="J56" s="235"/>
      <c r="K56" s="235">
        <f t="shared" si="2"/>
        <v>4</v>
      </c>
      <c r="L56" s="748">
        <v>206969.44000000003</v>
      </c>
      <c r="M56" s="746">
        <v>5</v>
      </c>
      <c r="N56" s="235"/>
      <c r="O56" s="235"/>
      <c r="P56" s="235"/>
      <c r="Q56" s="235"/>
      <c r="R56" s="235"/>
      <c r="S56" s="235"/>
      <c r="T56" s="235"/>
      <c r="U56" s="235"/>
      <c r="V56" s="747">
        <f>SUM(M56:U56)</f>
        <v>5</v>
      </c>
      <c r="W56" s="748">
        <v>258711.80000000005</v>
      </c>
    </row>
    <row r="57" spans="1:23" ht="14.25" x14ac:dyDescent="0.2">
      <c r="A57" s="743" t="s">
        <v>580</v>
      </c>
      <c r="B57" s="744">
        <v>2</v>
      </c>
      <c r="C57" s="235"/>
      <c r="D57" s="235"/>
      <c r="E57" s="235"/>
      <c r="F57" s="235"/>
      <c r="G57" s="235"/>
      <c r="H57" s="235"/>
      <c r="I57" s="235"/>
      <c r="J57" s="235"/>
      <c r="K57" s="235">
        <f t="shared" si="2"/>
        <v>2</v>
      </c>
      <c r="L57" s="748">
        <v>102308</v>
      </c>
      <c r="M57" s="746">
        <v>2</v>
      </c>
      <c r="N57" s="235"/>
      <c r="O57" s="235"/>
      <c r="P57" s="235"/>
      <c r="Q57" s="235"/>
      <c r="R57" s="235"/>
      <c r="S57" s="235"/>
      <c r="T57" s="235"/>
      <c r="U57" s="235"/>
      <c r="V57" s="747">
        <f>SUM(M57:U57)</f>
        <v>2</v>
      </c>
      <c r="W57" s="748">
        <v>102308</v>
      </c>
    </row>
    <row r="58" spans="1:23" ht="14.25" x14ac:dyDescent="0.2">
      <c r="A58" s="743" t="s">
        <v>581</v>
      </c>
      <c r="B58" s="744">
        <v>5</v>
      </c>
      <c r="C58" s="235"/>
      <c r="D58" s="235"/>
      <c r="E58" s="235"/>
      <c r="F58" s="235"/>
      <c r="G58" s="235"/>
      <c r="H58" s="235"/>
      <c r="I58" s="235"/>
      <c r="J58" s="235"/>
      <c r="K58" s="235">
        <f t="shared" si="2"/>
        <v>5</v>
      </c>
      <c r="L58" s="748">
        <v>246735.2</v>
      </c>
      <c r="M58" s="746">
        <v>5</v>
      </c>
      <c r="N58" s="235"/>
      <c r="O58" s="235"/>
      <c r="P58" s="235"/>
      <c r="Q58" s="235"/>
      <c r="R58" s="235"/>
      <c r="S58" s="235"/>
      <c r="T58" s="235"/>
      <c r="U58" s="235"/>
      <c r="V58" s="747">
        <f>SUM(M58:U58)</f>
        <v>5</v>
      </c>
      <c r="W58" s="748">
        <v>246735.2</v>
      </c>
    </row>
    <row r="59" spans="1:23" ht="14.25" x14ac:dyDescent="0.2">
      <c r="A59" s="743" t="s">
        <v>12</v>
      </c>
      <c r="B59" s="744">
        <v>0</v>
      </c>
      <c r="C59" s="235"/>
      <c r="D59" s="235"/>
      <c r="E59" s="235"/>
      <c r="F59" s="235"/>
      <c r="G59" s="235"/>
      <c r="H59" s="235"/>
      <c r="I59" s="235"/>
      <c r="J59" s="235"/>
      <c r="K59" s="235">
        <f t="shared" si="2"/>
        <v>0</v>
      </c>
      <c r="L59" s="748" t="s">
        <v>77</v>
      </c>
      <c r="M59" s="746"/>
      <c r="N59" s="235"/>
      <c r="O59" s="235"/>
      <c r="P59" s="235"/>
      <c r="Q59" s="235"/>
      <c r="R59" s="235"/>
      <c r="S59" s="235"/>
      <c r="T59" s="235"/>
      <c r="U59" s="235"/>
      <c r="V59" s="747"/>
      <c r="W59" s="748"/>
    </row>
    <row r="60" spans="1:23" x14ac:dyDescent="0.2">
      <c r="A60" s="749" t="s">
        <v>4</v>
      </c>
      <c r="B60" s="739">
        <f t="shared" ref="B60:W60" si="3">SUM(B61:B66)</f>
        <v>42</v>
      </c>
      <c r="C60" s="246">
        <f t="shared" si="3"/>
        <v>0</v>
      </c>
      <c r="D60" s="246">
        <f t="shared" si="3"/>
        <v>29</v>
      </c>
      <c r="E60" s="246">
        <f t="shared" si="3"/>
        <v>0</v>
      </c>
      <c r="F60" s="246">
        <f t="shared" si="3"/>
        <v>0</v>
      </c>
      <c r="G60" s="246">
        <f t="shared" si="3"/>
        <v>0</v>
      </c>
      <c r="H60" s="246">
        <f t="shared" si="3"/>
        <v>0</v>
      </c>
      <c r="I60" s="246">
        <f t="shared" si="3"/>
        <v>0</v>
      </c>
      <c r="J60" s="246">
        <f t="shared" si="3"/>
        <v>0</v>
      </c>
      <c r="K60" s="246">
        <f t="shared" si="3"/>
        <v>71</v>
      </c>
      <c r="L60" s="740">
        <f t="shared" si="3"/>
        <v>1936843.97</v>
      </c>
      <c r="M60" s="741">
        <f t="shared" si="3"/>
        <v>42</v>
      </c>
      <c r="N60" s="246">
        <f t="shared" si="3"/>
        <v>0</v>
      </c>
      <c r="O60" s="246">
        <f t="shared" si="3"/>
        <v>29</v>
      </c>
      <c r="P60" s="246">
        <f t="shared" si="3"/>
        <v>0</v>
      </c>
      <c r="Q60" s="246">
        <f t="shared" si="3"/>
        <v>0</v>
      </c>
      <c r="R60" s="246">
        <f t="shared" si="3"/>
        <v>0</v>
      </c>
      <c r="S60" s="246">
        <f t="shared" si="3"/>
        <v>0</v>
      </c>
      <c r="T60" s="246">
        <f t="shared" si="3"/>
        <v>0</v>
      </c>
      <c r="U60" s="246">
        <f t="shared" si="3"/>
        <v>0</v>
      </c>
      <c r="V60" s="742">
        <f t="shared" si="3"/>
        <v>71</v>
      </c>
      <c r="W60" s="740">
        <f t="shared" si="3"/>
        <v>1936843.97</v>
      </c>
    </row>
    <row r="61" spans="1:23" x14ac:dyDescent="0.2">
      <c r="A61" s="750" t="s">
        <v>13</v>
      </c>
      <c r="B61" s="744">
        <v>3</v>
      </c>
      <c r="C61" s="235"/>
      <c r="D61" s="235"/>
      <c r="E61" s="235"/>
      <c r="F61" s="235"/>
      <c r="G61" s="235"/>
      <c r="H61" s="235"/>
      <c r="I61" s="235"/>
      <c r="J61" s="235"/>
      <c r="K61" s="235">
        <f>SUM(B61:J61)</f>
        <v>3</v>
      </c>
      <c r="L61" s="748">
        <v>105674.88</v>
      </c>
      <c r="M61" s="746">
        <v>3</v>
      </c>
      <c r="N61" s="235"/>
      <c r="O61" s="235"/>
      <c r="P61" s="235"/>
      <c r="Q61" s="235"/>
      <c r="R61" s="235"/>
      <c r="S61" s="235"/>
      <c r="T61" s="235"/>
      <c r="U61" s="235"/>
      <c r="V61" s="747">
        <f>SUM(M61:U61)</f>
        <v>3</v>
      </c>
      <c r="W61" s="748">
        <v>105674.88</v>
      </c>
    </row>
    <row r="62" spans="1:23" ht="14.25" x14ac:dyDescent="0.2">
      <c r="A62" s="743" t="s">
        <v>582</v>
      </c>
      <c r="B62" s="744">
        <v>0</v>
      </c>
      <c r="C62" s="235"/>
      <c r="D62" s="235"/>
      <c r="E62" s="235"/>
      <c r="F62" s="235"/>
      <c r="G62" s="235"/>
      <c r="H62" s="235"/>
      <c r="I62" s="235"/>
      <c r="J62" s="235"/>
      <c r="K62" s="235">
        <f>SUM(B62:J62)</f>
        <v>0</v>
      </c>
      <c r="L62" s="748">
        <v>0</v>
      </c>
      <c r="M62" s="746" t="s">
        <v>77</v>
      </c>
      <c r="N62" s="235"/>
      <c r="O62" s="235"/>
      <c r="P62" s="235"/>
      <c r="Q62" s="235"/>
      <c r="R62" s="235"/>
      <c r="S62" s="235"/>
      <c r="T62" s="235"/>
      <c r="U62" s="235"/>
      <c r="V62" s="747" t="s">
        <v>77</v>
      </c>
      <c r="W62" s="748">
        <v>0</v>
      </c>
    </row>
    <row r="63" spans="1:23" ht="14.25" x14ac:dyDescent="0.2">
      <c r="A63" s="743" t="s">
        <v>583</v>
      </c>
      <c r="B63" s="744">
        <v>13</v>
      </c>
      <c r="C63" s="235"/>
      <c r="D63" s="235"/>
      <c r="E63" s="235"/>
      <c r="F63" s="235"/>
      <c r="G63" s="235"/>
      <c r="H63" s="235"/>
      <c r="I63" s="235"/>
      <c r="J63" s="235"/>
      <c r="K63" s="235">
        <f>SUM(B63:J63)</f>
        <v>13</v>
      </c>
      <c r="L63" s="748">
        <v>520371.27999999997</v>
      </c>
      <c r="M63" s="746">
        <v>13</v>
      </c>
      <c r="N63" s="235"/>
      <c r="O63" s="235"/>
      <c r="P63" s="235"/>
      <c r="Q63" s="235"/>
      <c r="R63" s="235"/>
      <c r="S63" s="235"/>
      <c r="T63" s="235"/>
      <c r="U63" s="235"/>
      <c r="V63" s="747">
        <f>SUM(M63:U63)</f>
        <v>13</v>
      </c>
      <c r="W63" s="748">
        <v>520371.27999999997</v>
      </c>
    </row>
    <row r="64" spans="1:23" ht="14.25" x14ac:dyDescent="0.2">
      <c r="A64" s="743" t="s">
        <v>584</v>
      </c>
      <c r="B64" s="744">
        <v>1</v>
      </c>
      <c r="C64" s="235"/>
      <c r="D64" s="235"/>
      <c r="E64" s="235"/>
      <c r="F64" s="235"/>
      <c r="G64" s="235"/>
      <c r="H64" s="235"/>
      <c r="I64" s="235"/>
      <c r="J64" s="235"/>
      <c r="K64" s="235">
        <f>SUM(B64:J64)</f>
        <v>1</v>
      </c>
      <c r="L64" s="748">
        <v>33616.479999999996</v>
      </c>
      <c r="M64" s="746">
        <v>1</v>
      </c>
      <c r="N64" s="235"/>
      <c r="O64" s="235"/>
      <c r="P64" s="235"/>
      <c r="Q64" s="235"/>
      <c r="R64" s="235"/>
      <c r="S64" s="235"/>
      <c r="T64" s="235"/>
      <c r="U64" s="235"/>
      <c r="V64" s="747">
        <f>SUM(M64:U64)</f>
        <v>1</v>
      </c>
      <c r="W64" s="748">
        <v>33616.479999999996</v>
      </c>
    </row>
    <row r="65" spans="1:23" ht="14.25" x14ac:dyDescent="0.2">
      <c r="A65" s="743" t="s">
        <v>14</v>
      </c>
      <c r="B65" s="744">
        <v>25</v>
      </c>
      <c r="C65" s="235"/>
      <c r="D65" s="235">
        <v>29</v>
      </c>
      <c r="E65" s="235"/>
      <c r="F65" s="235"/>
      <c r="G65" s="235"/>
      <c r="H65" s="235"/>
      <c r="I65" s="235"/>
      <c r="J65" s="235"/>
      <c r="K65" s="235">
        <f>SUM(B65:J65)</f>
        <v>54</v>
      </c>
      <c r="L65" s="748">
        <v>1277181.33</v>
      </c>
      <c r="M65" s="746">
        <v>25</v>
      </c>
      <c r="N65" s="235"/>
      <c r="O65" s="235">
        <v>29</v>
      </c>
      <c r="P65" s="235"/>
      <c r="Q65" s="235"/>
      <c r="R65" s="235"/>
      <c r="S65" s="235"/>
      <c r="T65" s="235"/>
      <c r="U65" s="235"/>
      <c r="V65" s="747">
        <f>SUM(M65:U65)</f>
        <v>54</v>
      </c>
      <c r="W65" s="748">
        <v>1277181.33</v>
      </c>
    </row>
    <row r="66" spans="1:23" ht="14.25" x14ac:dyDescent="0.2">
      <c r="A66" s="743" t="s">
        <v>585</v>
      </c>
      <c r="B66" s="744">
        <v>0</v>
      </c>
      <c r="C66" s="235"/>
      <c r="D66" s="235"/>
      <c r="E66" s="235"/>
      <c r="F66" s="235"/>
      <c r="G66" s="235"/>
      <c r="H66" s="235"/>
      <c r="I66" s="235"/>
      <c r="J66" s="235"/>
      <c r="K66" s="235"/>
      <c r="L66" s="748">
        <v>0</v>
      </c>
      <c r="M66" s="746"/>
      <c r="N66" s="235"/>
      <c r="O66" s="235"/>
      <c r="P66" s="235"/>
      <c r="Q66" s="235"/>
      <c r="R66" s="235"/>
      <c r="S66" s="235"/>
      <c r="T66" s="235"/>
      <c r="U66" s="235"/>
      <c r="V66" s="747"/>
      <c r="W66" s="748"/>
    </row>
    <row r="67" spans="1:23" x14ac:dyDescent="0.2">
      <c r="A67" s="749" t="s">
        <v>5</v>
      </c>
      <c r="B67" s="739">
        <f t="shared" ref="B67:W67" si="4">SUM(B68:B73)</f>
        <v>72</v>
      </c>
      <c r="C67" s="246">
        <f t="shared" si="4"/>
        <v>0</v>
      </c>
      <c r="D67" s="246">
        <f t="shared" si="4"/>
        <v>12</v>
      </c>
      <c r="E67" s="246">
        <f t="shared" si="4"/>
        <v>0</v>
      </c>
      <c r="F67" s="246">
        <f t="shared" si="4"/>
        <v>0</v>
      </c>
      <c r="G67" s="246">
        <f t="shared" si="4"/>
        <v>0</v>
      </c>
      <c r="H67" s="246">
        <f t="shared" si="4"/>
        <v>0</v>
      </c>
      <c r="I67" s="246">
        <f t="shared" si="4"/>
        <v>0</v>
      </c>
      <c r="J67" s="246">
        <f t="shared" si="4"/>
        <v>0</v>
      </c>
      <c r="K67" s="246">
        <f t="shared" si="4"/>
        <v>84</v>
      </c>
      <c r="L67" s="740">
        <f t="shared" si="4"/>
        <v>2121614.38</v>
      </c>
      <c r="M67" s="741">
        <f t="shared" si="4"/>
        <v>72</v>
      </c>
      <c r="N67" s="246">
        <f t="shared" si="4"/>
        <v>0</v>
      </c>
      <c r="O67" s="246">
        <f t="shared" si="4"/>
        <v>12</v>
      </c>
      <c r="P67" s="246">
        <f t="shared" si="4"/>
        <v>0</v>
      </c>
      <c r="Q67" s="246">
        <f t="shared" si="4"/>
        <v>0</v>
      </c>
      <c r="R67" s="246">
        <f t="shared" si="4"/>
        <v>0</v>
      </c>
      <c r="S67" s="246">
        <f t="shared" si="4"/>
        <v>0</v>
      </c>
      <c r="T67" s="246">
        <f t="shared" si="4"/>
        <v>0</v>
      </c>
      <c r="U67" s="246">
        <f t="shared" si="4"/>
        <v>0</v>
      </c>
      <c r="V67" s="742">
        <f t="shared" si="4"/>
        <v>84</v>
      </c>
      <c r="W67" s="740">
        <f t="shared" si="4"/>
        <v>2121614.38</v>
      </c>
    </row>
    <row r="68" spans="1:23" ht="14.25" x14ac:dyDescent="0.2">
      <c r="A68" s="743" t="s">
        <v>15</v>
      </c>
      <c r="B68" s="744">
        <v>19</v>
      </c>
      <c r="C68" s="235"/>
      <c r="D68" s="235"/>
      <c r="E68" s="235"/>
      <c r="F68" s="235"/>
      <c r="G68" s="235"/>
      <c r="H68" s="235"/>
      <c r="I68" s="235"/>
      <c r="J68" s="235"/>
      <c r="K68" s="235">
        <f t="shared" ref="K68:K73" si="5">SUM(B68:J68)</f>
        <v>19</v>
      </c>
      <c r="L68" s="748">
        <v>590928.88</v>
      </c>
      <c r="M68" s="746">
        <v>19</v>
      </c>
      <c r="N68" s="235"/>
      <c r="O68" s="235"/>
      <c r="P68" s="235"/>
      <c r="Q68" s="235"/>
      <c r="R68" s="235"/>
      <c r="S68" s="235"/>
      <c r="T68" s="235"/>
      <c r="U68" s="235"/>
      <c r="V68" s="747">
        <f>SUM(M68:U68)</f>
        <v>19</v>
      </c>
      <c r="W68" s="748">
        <v>590928.88</v>
      </c>
    </row>
    <row r="69" spans="1:23" ht="14.25" x14ac:dyDescent="0.2">
      <c r="A69" s="743" t="s">
        <v>586</v>
      </c>
      <c r="B69" s="744">
        <v>1</v>
      </c>
      <c r="C69" s="235"/>
      <c r="D69" s="235"/>
      <c r="E69" s="235"/>
      <c r="F69" s="235"/>
      <c r="G69" s="235"/>
      <c r="H69" s="235"/>
      <c r="I69" s="235"/>
      <c r="J69" s="235"/>
      <c r="K69" s="235">
        <f t="shared" si="5"/>
        <v>1</v>
      </c>
      <c r="L69" s="748">
        <v>38005.479999999996</v>
      </c>
      <c r="M69" s="746">
        <v>1</v>
      </c>
      <c r="N69" s="235"/>
      <c r="O69" s="235"/>
      <c r="P69" s="235"/>
      <c r="Q69" s="235"/>
      <c r="R69" s="235"/>
      <c r="S69" s="235"/>
      <c r="T69" s="235"/>
      <c r="U69" s="235"/>
      <c r="V69" s="747">
        <f>SUM(M69:U69)</f>
        <v>1</v>
      </c>
      <c r="W69" s="748">
        <v>38005.479999999996</v>
      </c>
    </row>
    <row r="70" spans="1:23" ht="14.25" x14ac:dyDescent="0.2">
      <c r="A70" s="743" t="s">
        <v>587</v>
      </c>
      <c r="B70" s="744">
        <v>3</v>
      </c>
      <c r="C70" s="235"/>
      <c r="D70" s="235"/>
      <c r="E70" s="235"/>
      <c r="F70" s="235"/>
      <c r="G70" s="235"/>
      <c r="H70" s="235"/>
      <c r="I70" s="235"/>
      <c r="J70" s="235"/>
      <c r="K70" s="235">
        <f t="shared" si="5"/>
        <v>3</v>
      </c>
      <c r="L70" s="748">
        <v>75564.84</v>
      </c>
      <c r="M70" s="746">
        <v>3</v>
      </c>
      <c r="N70" s="235"/>
      <c r="O70" s="235"/>
      <c r="P70" s="235"/>
      <c r="Q70" s="235"/>
      <c r="R70" s="235"/>
      <c r="S70" s="235"/>
      <c r="T70" s="235"/>
      <c r="U70" s="235"/>
      <c r="V70" s="747">
        <f>SUM(M70:U70)</f>
        <v>3</v>
      </c>
      <c r="W70" s="748">
        <v>75564.84</v>
      </c>
    </row>
    <row r="71" spans="1:23" ht="14.25" x14ac:dyDescent="0.2">
      <c r="A71" s="743" t="s">
        <v>588</v>
      </c>
      <c r="B71" s="744">
        <v>0</v>
      </c>
      <c r="C71" s="235"/>
      <c r="D71" s="235"/>
      <c r="E71" s="235"/>
      <c r="F71" s="235"/>
      <c r="G71" s="235"/>
      <c r="H71" s="235"/>
      <c r="I71" s="235"/>
      <c r="J71" s="235"/>
      <c r="K71" s="235">
        <f t="shared" si="5"/>
        <v>0</v>
      </c>
      <c r="L71" s="748" t="s">
        <v>77</v>
      </c>
      <c r="M71" s="746" t="s">
        <v>77</v>
      </c>
      <c r="N71" s="235"/>
      <c r="O71" s="235"/>
      <c r="P71" s="235"/>
      <c r="Q71" s="235"/>
      <c r="R71" s="235"/>
      <c r="S71" s="235"/>
      <c r="T71" s="235"/>
      <c r="U71" s="235"/>
      <c r="V71" s="747" t="s">
        <v>77</v>
      </c>
      <c r="W71" s="748" t="s">
        <v>77</v>
      </c>
    </row>
    <row r="72" spans="1:23" ht="14.25" x14ac:dyDescent="0.2">
      <c r="A72" s="743" t="s">
        <v>643</v>
      </c>
      <c r="B72" s="744">
        <v>46</v>
      </c>
      <c r="C72" s="235"/>
      <c r="D72" s="235">
        <v>12</v>
      </c>
      <c r="E72" s="235"/>
      <c r="F72" s="235"/>
      <c r="G72" s="235"/>
      <c r="H72" s="235"/>
      <c r="I72" s="235"/>
      <c r="J72" s="235"/>
      <c r="K72" s="235">
        <f t="shared" si="5"/>
        <v>58</v>
      </c>
      <c r="L72" s="748">
        <v>1342996.1</v>
      </c>
      <c r="M72" s="746">
        <v>46</v>
      </c>
      <c r="N72" s="235"/>
      <c r="O72" s="235">
        <v>12</v>
      </c>
      <c r="P72" s="235"/>
      <c r="Q72" s="235"/>
      <c r="R72" s="235"/>
      <c r="S72" s="235"/>
      <c r="T72" s="235"/>
      <c r="U72" s="235"/>
      <c r="V72" s="747">
        <f>SUM(M72:U72)</f>
        <v>58</v>
      </c>
      <c r="W72" s="748">
        <v>1342996.1</v>
      </c>
    </row>
    <row r="73" spans="1:23" ht="14.25" x14ac:dyDescent="0.2">
      <c r="A73" s="743" t="s">
        <v>589</v>
      </c>
      <c r="B73" s="744">
        <v>3</v>
      </c>
      <c r="C73" s="235"/>
      <c r="D73" s="235"/>
      <c r="E73" s="235"/>
      <c r="F73" s="235"/>
      <c r="G73" s="235"/>
      <c r="H73" s="235"/>
      <c r="I73" s="235"/>
      <c r="J73" s="235"/>
      <c r="K73" s="235">
        <f t="shared" si="5"/>
        <v>3</v>
      </c>
      <c r="L73" s="748">
        <v>74119.08</v>
      </c>
      <c r="M73" s="746">
        <v>3</v>
      </c>
      <c r="N73" s="235"/>
      <c r="O73" s="235"/>
      <c r="P73" s="235"/>
      <c r="Q73" s="235"/>
      <c r="R73" s="235"/>
      <c r="S73" s="235"/>
      <c r="T73" s="235"/>
      <c r="U73" s="235"/>
      <c r="V73" s="747">
        <f>SUM(M73:U73)</f>
        <v>3</v>
      </c>
      <c r="W73" s="748">
        <v>74119.08</v>
      </c>
    </row>
    <row r="74" spans="1:23" x14ac:dyDescent="0.2">
      <c r="A74" s="749" t="s">
        <v>6</v>
      </c>
      <c r="B74" s="739">
        <f t="shared" ref="B74:W74" si="6">SUM(B75:B80)</f>
        <v>108</v>
      </c>
      <c r="C74" s="246">
        <f t="shared" si="6"/>
        <v>0</v>
      </c>
      <c r="D74" s="246">
        <f t="shared" si="6"/>
        <v>14</v>
      </c>
      <c r="E74" s="246">
        <f t="shared" si="6"/>
        <v>0</v>
      </c>
      <c r="F74" s="246">
        <f t="shared" si="6"/>
        <v>0</v>
      </c>
      <c r="G74" s="246">
        <f t="shared" si="6"/>
        <v>0</v>
      </c>
      <c r="H74" s="246">
        <f t="shared" si="6"/>
        <v>0</v>
      </c>
      <c r="I74" s="246">
        <f t="shared" si="6"/>
        <v>0</v>
      </c>
      <c r="J74" s="246">
        <f t="shared" si="6"/>
        <v>0</v>
      </c>
      <c r="K74" s="246">
        <f t="shared" si="6"/>
        <v>122</v>
      </c>
      <c r="L74" s="740">
        <f t="shared" si="6"/>
        <v>2701129.0299999993</v>
      </c>
      <c r="M74" s="741">
        <f t="shared" si="6"/>
        <v>108</v>
      </c>
      <c r="N74" s="246">
        <f t="shared" si="6"/>
        <v>0</v>
      </c>
      <c r="O74" s="246">
        <f t="shared" si="6"/>
        <v>14</v>
      </c>
      <c r="P74" s="246">
        <f t="shared" si="6"/>
        <v>0</v>
      </c>
      <c r="Q74" s="246">
        <f t="shared" si="6"/>
        <v>0</v>
      </c>
      <c r="R74" s="246">
        <f t="shared" si="6"/>
        <v>0</v>
      </c>
      <c r="S74" s="246">
        <f t="shared" si="6"/>
        <v>0</v>
      </c>
      <c r="T74" s="246">
        <f t="shared" si="6"/>
        <v>0</v>
      </c>
      <c r="U74" s="246">
        <f t="shared" si="6"/>
        <v>0</v>
      </c>
      <c r="V74" s="742">
        <f t="shared" si="6"/>
        <v>122</v>
      </c>
      <c r="W74" s="740">
        <f t="shared" si="6"/>
        <v>2701129.0299999993</v>
      </c>
    </row>
    <row r="75" spans="1:23" ht="14.25" x14ac:dyDescent="0.2">
      <c r="A75" s="743" t="s">
        <v>16</v>
      </c>
      <c r="B75" s="744">
        <v>12</v>
      </c>
      <c r="C75" s="235"/>
      <c r="D75" s="235"/>
      <c r="E75" s="235"/>
      <c r="F75" s="235"/>
      <c r="G75" s="235"/>
      <c r="H75" s="235"/>
      <c r="I75" s="235"/>
      <c r="J75" s="235"/>
      <c r="K75" s="235">
        <f t="shared" ref="K75:K80" si="7">SUM(B75:J75)</f>
        <v>12</v>
      </c>
      <c r="L75" s="748">
        <v>305860.8</v>
      </c>
      <c r="M75" s="746">
        <v>12</v>
      </c>
      <c r="N75" s="235"/>
      <c r="O75" s="235"/>
      <c r="P75" s="235"/>
      <c r="Q75" s="235"/>
      <c r="R75" s="235"/>
      <c r="S75" s="235"/>
      <c r="T75" s="235"/>
      <c r="U75" s="235"/>
      <c r="V75" s="747">
        <f>SUM(M75:U75)</f>
        <v>12</v>
      </c>
      <c r="W75" s="748">
        <v>305860.8</v>
      </c>
    </row>
    <row r="76" spans="1:23" ht="14.25" x14ac:dyDescent="0.2">
      <c r="A76" s="743" t="s">
        <v>590</v>
      </c>
      <c r="B76" s="744">
        <v>13</v>
      </c>
      <c r="C76" s="235"/>
      <c r="D76" s="235"/>
      <c r="E76" s="235"/>
      <c r="F76" s="235"/>
      <c r="G76" s="235"/>
      <c r="H76" s="235"/>
      <c r="I76" s="235"/>
      <c r="J76" s="235"/>
      <c r="K76" s="235">
        <f t="shared" si="7"/>
        <v>13</v>
      </c>
      <c r="L76" s="748">
        <v>319945.59999999998</v>
      </c>
      <c r="M76" s="746">
        <v>13</v>
      </c>
      <c r="N76" s="235"/>
      <c r="O76" s="235"/>
      <c r="P76" s="235"/>
      <c r="Q76" s="235"/>
      <c r="R76" s="235"/>
      <c r="S76" s="235"/>
      <c r="T76" s="235"/>
      <c r="U76" s="235"/>
      <c r="V76" s="747">
        <f>SUM(M76:U76)</f>
        <v>13</v>
      </c>
      <c r="W76" s="748">
        <v>319945.59999999998</v>
      </c>
    </row>
    <row r="77" spans="1:23" ht="14.25" x14ac:dyDescent="0.2">
      <c r="A77" s="743" t="s">
        <v>591</v>
      </c>
      <c r="B77" s="744" t="s">
        <v>77</v>
      </c>
      <c r="C77" s="235"/>
      <c r="D77" s="235"/>
      <c r="E77" s="235"/>
      <c r="F77" s="235"/>
      <c r="G77" s="235"/>
      <c r="H77" s="235"/>
      <c r="I77" s="235"/>
      <c r="J77" s="235"/>
      <c r="K77" s="235">
        <f t="shared" si="7"/>
        <v>0</v>
      </c>
      <c r="L77" s="748" t="s">
        <v>77</v>
      </c>
      <c r="M77" s="746" t="s">
        <v>77</v>
      </c>
      <c r="N77" s="235"/>
      <c r="O77" s="235"/>
      <c r="P77" s="235"/>
      <c r="Q77" s="235"/>
      <c r="R77" s="235"/>
      <c r="S77" s="235"/>
      <c r="T77" s="235"/>
      <c r="U77" s="235"/>
      <c r="V77" s="747">
        <f>SUM(M77:U77)</f>
        <v>0</v>
      </c>
      <c r="W77" s="748" t="s">
        <v>77</v>
      </c>
    </row>
    <row r="78" spans="1:23" ht="14.25" x14ac:dyDescent="0.2">
      <c r="A78" s="743" t="s">
        <v>644</v>
      </c>
      <c r="B78" s="744">
        <v>0</v>
      </c>
      <c r="C78" s="235"/>
      <c r="D78" s="235"/>
      <c r="E78" s="235"/>
      <c r="F78" s="235"/>
      <c r="G78" s="235"/>
      <c r="H78" s="235"/>
      <c r="I78" s="235"/>
      <c r="J78" s="235"/>
      <c r="K78" s="235">
        <f t="shared" si="7"/>
        <v>0</v>
      </c>
      <c r="L78" s="748" t="s">
        <v>77</v>
      </c>
      <c r="M78" s="746">
        <v>0</v>
      </c>
      <c r="N78" s="235"/>
      <c r="O78" s="235"/>
      <c r="P78" s="235"/>
      <c r="Q78" s="235"/>
      <c r="R78" s="235"/>
      <c r="S78" s="235"/>
      <c r="T78" s="235"/>
      <c r="U78" s="235"/>
      <c r="V78" s="747">
        <f>SUM(M78:U78)</f>
        <v>0</v>
      </c>
      <c r="W78" s="748" t="s">
        <v>77</v>
      </c>
    </row>
    <row r="79" spans="1:23" ht="14.25" x14ac:dyDescent="0.2">
      <c r="A79" s="743" t="s">
        <v>645</v>
      </c>
      <c r="B79" s="744">
        <v>83</v>
      </c>
      <c r="C79" s="235"/>
      <c r="D79" s="235">
        <v>14</v>
      </c>
      <c r="E79" s="235"/>
      <c r="F79" s="235"/>
      <c r="G79" s="235"/>
      <c r="H79" s="235"/>
      <c r="I79" s="235"/>
      <c r="J79" s="235"/>
      <c r="K79" s="235">
        <f t="shared" si="7"/>
        <v>97</v>
      </c>
      <c r="L79" s="748">
        <v>2075322.6299999994</v>
      </c>
      <c r="M79" s="746">
        <v>83</v>
      </c>
      <c r="N79" s="235"/>
      <c r="O79" s="235">
        <v>14</v>
      </c>
      <c r="P79" s="235"/>
      <c r="Q79" s="235"/>
      <c r="R79" s="235"/>
      <c r="S79" s="235"/>
      <c r="T79" s="235"/>
      <c r="U79" s="235"/>
      <c r="V79" s="747">
        <f>SUM(M79:U79)</f>
        <v>97</v>
      </c>
      <c r="W79" s="748">
        <v>2075322.6299999994</v>
      </c>
    </row>
    <row r="80" spans="1:23" ht="14.25" x14ac:dyDescent="0.2">
      <c r="A80" s="743" t="s">
        <v>646</v>
      </c>
      <c r="B80" s="744">
        <v>0</v>
      </c>
      <c r="C80" s="235"/>
      <c r="D80" s="235"/>
      <c r="E80" s="235"/>
      <c r="F80" s="235"/>
      <c r="G80" s="235"/>
      <c r="H80" s="235"/>
      <c r="I80" s="235"/>
      <c r="J80" s="235"/>
      <c r="K80" s="235">
        <f t="shared" si="7"/>
        <v>0</v>
      </c>
      <c r="L80" s="748">
        <v>0</v>
      </c>
      <c r="M80" s="746"/>
      <c r="N80" s="235"/>
      <c r="O80" s="235"/>
      <c r="P80" s="235"/>
      <c r="Q80" s="235"/>
      <c r="R80" s="235"/>
      <c r="S80" s="235"/>
      <c r="T80" s="235"/>
      <c r="U80" s="235"/>
      <c r="V80" s="747"/>
      <c r="W80" s="748"/>
    </row>
    <row r="81" spans="1:23" x14ac:dyDescent="0.2">
      <c r="A81" s="638"/>
      <c r="B81" s="744"/>
      <c r="C81" s="235"/>
      <c r="D81" s="235"/>
      <c r="E81" s="235"/>
      <c r="F81" s="235"/>
      <c r="G81" s="235"/>
      <c r="H81" s="235"/>
      <c r="I81" s="235"/>
      <c r="J81" s="235"/>
      <c r="K81" s="235"/>
      <c r="L81" s="748"/>
      <c r="M81" s="746"/>
      <c r="N81" s="235"/>
      <c r="O81" s="235"/>
      <c r="P81" s="234"/>
      <c r="Q81" s="364"/>
      <c r="R81" s="233"/>
      <c r="S81" s="233"/>
      <c r="T81" s="233"/>
      <c r="U81" s="233"/>
      <c r="V81" s="681"/>
      <c r="W81" s="673"/>
    </row>
    <row r="82" spans="1:23" x14ac:dyDescent="0.2">
      <c r="A82" s="751" t="s">
        <v>648</v>
      </c>
      <c r="B82" s="741">
        <f>SUM(J83:J99)</f>
        <v>648</v>
      </c>
      <c r="C82" s="246">
        <f t="shared" ref="C82:W82" si="8">SUM(C83:C99)</f>
        <v>0</v>
      </c>
      <c r="D82" s="246">
        <f t="shared" si="8"/>
        <v>0</v>
      </c>
      <c r="E82" s="246">
        <f t="shared" si="8"/>
        <v>0</v>
      </c>
      <c r="F82" s="246">
        <f t="shared" si="8"/>
        <v>0</v>
      </c>
      <c r="G82" s="246">
        <f t="shared" si="8"/>
        <v>0</v>
      </c>
      <c r="H82" s="246">
        <f t="shared" si="8"/>
        <v>0</v>
      </c>
      <c r="I82" s="246">
        <f t="shared" si="8"/>
        <v>0</v>
      </c>
      <c r="J82" s="246">
        <f t="shared" si="8"/>
        <v>648</v>
      </c>
      <c r="K82" s="246">
        <f t="shared" si="8"/>
        <v>648</v>
      </c>
      <c r="L82" s="740">
        <f t="shared" si="8"/>
        <v>22180947.240000002</v>
      </c>
      <c r="M82" s="741">
        <f t="shared" si="8"/>
        <v>648</v>
      </c>
      <c r="N82" s="246">
        <f t="shared" si="8"/>
        <v>0</v>
      </c>
      <c r="O82" s="246">
        <f t="shared" si="8"/>
        <v>0</v>
      </c>
      <c r="P82" s="246">
        <f t="shared" si="8"/>
        <v>0</v>
      </c>
      <c r="Q82" s="246">
        <f t="shared" si="8"/>
        <v>0</v>
      </c>
      <c r="R82" s="246">
        <f t="shared" si="8"/>
        <v>0</v>
      </c>
      <c r="S82" s="246">
        <f t="shared" si="8"/>
        <v>0</v>
      </c>
      <c r="T82" s="246">
        <f t="shared" si="8"/>
        <v>0</v>
      </c>
      <c r="U82" s="246">
        <f t="shared" si="8"/>
        <v>0</v>
      </c>
      <c r="V82" s="742">
        <f t="shared" si="8"/>
        <v>648</v>
      </c>
      <c r="W82" s="740">
        <f t="shared" si="8"/>
        <v>22180947.240000002</v>
      </c>
    </row>
    <row r="83" spans="1:23" x14ac:dyDescent="0.2">
      <c r="A83" s="753" t="s">
        <v>649</v>
      </c>
      <c r="B83" s="235"/>
      <c r="C83" s="235"/>
      <c r="D83" s="235"/>
      <c r="E83" s="235"/>
      <c r="F83" s="235"/>
      <c r="G83" s="235"/>
      <c r="H83" s="235"/>
      <c r="I83" s="235"/>
      <c r="J83" s="235">
        <v>14</v>
      </c>
      <c r="K83" s="235">
        <f t="shared" ref="K83:K99" si="9">SUM(C83:J83)</f>
        <v>14</v>
      </c>
      <c r="L83" s="748">
        <v>722240.96</v>
      </c>
      <c r="M83" s="746">
        <v>14</v>
      </c>
      <c r="N83" s="235"/>
      <c r="O83" s="235"/>
      <c r="P83" s="235"/>
      <c r="Q83" s="235"/>
      <c r="R83" s="235"/>
      <c r="S83" s="235"/>
      <c r="T83" s="235"/>
      <c r="U83" s="235"/>
      <c r="V83" s="747">
        <f t="shared" ref="V83:V99" si="10">SUM(M83:U83)</f>
        <v>14</v>
      </c>
      <c r="W83" s="748">
        <v>722240.96</v>
      </c>
    </row>
    <row r="84" spans="1:23" x14ac:dyDescent="0.2">
      <c r="A84" s="753" t="s">
        <v>650</v>
      </c>
      <c r="B84" s="235"/>
      <c r="C84" s="235"/>
      <c r="D84" s="235"/>
      <c r="E84" s="235"/>
      <c r="F84" s="235"/>
      <c r="G84" s="235"/>
      <c r="H84" s="235"/>
      <c r="I84" s="235"/>
      <c r="J84" s="235">
        <v>3</v>
      </c>
      <c r="K84" s="235">
        <f t="shared" si="9"/>
        <v>3</v>
      </c>
      <c r="L84" s="748">
        <v>269425.19999999995</v>
      </c>
      <c r="M84" s="746">
        <v>3</v>
      </c>
      <c r="N84" s="235"/>
      <c r="O84" s="235"/>
      <c r="P84" s="235"/>
      <c r="Q84" s="235"/>
      <c r="R84" s="235"/>
      <c r="S84" s="235"/>
      <c r="T84" s="235"/>
      <c r="U84" s="235"/>
      <c r="V84" s="747">
        <f t="shared" si="10"/>
        <v>3</v>
      </c>
      <c r="W84" s="748">
        <v>269425.19999999995</v>
      </c>
    </row>
    <row r="85" spans="1:23" x14ac:dyDescent="0.2">
      <c r="A85" s="753" t="s">
        <v>651</v>
      </c>
      <c r="B85" s="235"/>
      <c r="C85" s="235"/>
      <c r="D85" s="235"/>
      <c r="E85" s="235"/>
      <c r="F85" s="235"/>
      <c r="G85" s="235"/>
      <c r="H85" s="235"/>
      <c r="I85" s="235"/>
      <c r="J85" s="235">
        <v>1</v>
      </c>
      <c r="K85" s="235">
        <f t="shared" si="9"/>
        <v>1</v>
      </c>
      <c r="L85" s="748">
        <v>51406.36</v>
      </c>
      <c r="M85" s="746">
        <v>1</v>
      </c>
      <c r="N85" s="235"/>
      <c r="O85" s="235"/>
      <c r="P85" s="235"/>
      <c r="Q85" s="235"/>
      <c r="R85" s="235"/>
      <c r="S85" s="235"/>
      <c r="T85" s="235"/>
      <c r="U85" s="235"/>
      <c r="V85" s="747">
        <f t="shared" si="10"/>
        <v>1</v>
      </c>
      <c r="W85" s="748">
        <v>51406.36</v>
      </c>
    </row>
    <row r="86" spans="1:23" x14ac:dyDescent="0.2">
      <c r="A86" s="753" t="s">
        <v>652</v>
      </c>
      <c r="B86" s="235"/>
      <c r="C86" s="235"/>
      <c r="D86" s="235"/>
      <c r="E86" s="235"/>
      <c r="F86" s="235"/>
      <c r="G86" s="235"/>
      <c r="H86" s="235"/>
      <c r="I86" s="235"/>
      <c r="J86" s="235">
        <v>33</v>
      </c>
      <c r="K86" s="235">
        <f t="shared" si="9"/>
        <v>33</v>
      </c>
      <c r="L86" s="748">
        <v>1293309.5999999999</v>
      </c>
      <c r="M86" s="746">
        <v>33</v>
      </c>
      <c r="N86" s="235"/>
      <c r="O86" s="235"/>
      <c r="P86" s="235"/>
      <c r="Q86" s="235"/>
      <c r="R86" s="235"/>
      <c r="S86" s="235"/>
      <c r="T86" s="235"/>
      <c r="U86" s="235"/>
      <c r="V86" s="747">
        <f t="shared" si="10"/>
        <v>33</v>
      </c>
      <c r="W86" s="748">
        <v>1293309.5999999999</v>
      </c>
    </row>
    <row r="87" spans="1:23" x14ac:dyDescent="0.2">
      <c r="A87" s="752">
        <v>240</v>
      </c>
      <c r="B87" s="235"/>
      <c r="C87" s="235"/>
      <c r="D87" s="235"/>
      <c r="E87" s="235"/>
      <c r="F87" s="235"/>
      <c r="G87" s="235"/>
      <c r="H87" s="235"/>
      <c r="I87" s="235"/>
      <c r="J87" s="235">
        <v>4</v>
      </c>
      <c r="K87" s="235">
        <f t="shared" si="9"/>
        <v>4</v>
      </c>
      <c r="L87" s="748">
        <v>349155.04</v>
      </c>
      <c r="M87" s="746">
        <v>4</v>
      </c>
      <c r="N87" s="235"/>
      <c r="O87" s="235"/>
      <c r="P87" s="235"/>
      <c r="Q87" s="235"/>
      <c r="R87" s="235"/>
      <c r="S87" s="235"/>
      <c r="T87" s="235"/>
      <c r="U87" s="235"/>
      <c r="V87" s="747">
        <f t="shared" si="10"/>
        <v>4</v>
      </c>
      <c r="W87" s="748">
        <v>349155.04</v>
      </c>
    </row>
    <row r="88" spans="1:23" x14ac:dyDescent="0.2">
      <c r="A88" s="753" t="s">
        <v>653</v>
      </c>
      <c r="B88" s="235"/>
      <c r="C88" s="235"/>
      <c r="D88" s="235"/>
      <c r="E88" s="235"/>
      <c r="F88" s="235"/>
      <c r="G88" s="235"/>
      <c r="H88" s="235"/>
      <c r="I88" s="235"/>
      <c r="J88" s="235">
        <v>1</v>
      </c>
      <c r="K88" s="235">
        <f t="shared" si="9"/>
        <v>1</v>
      </c>
      <c r="L88" s="748">
        <v>68926.240000000005</v>
      </c>
      <c r="M88" s="746">
        <v>1</v>
      </c>
      <c r="N88" s="235"/>
      <c r="O88" s="235"/>
      <c r="P88" s="235"/>
      <c r="Q88" s="235"/>
      <c r="R88" s="235"/>
      <c r="S88" s="235"/>
      <c r="T88" s="235"/>
      <c r="U88" s="235"/>
      <c r="V88" s="747">
        <f t="shared" si="10"/>
        <v>1</v>
      </c>
      <c r="W88" s="748">
        <v>68926.240000000005</v>
      </c>
    </row>
    <row r="89" spans="1:23" x14ac:dyDescent="0.2">
      <c r="A89" s="752" t="s">
        <v>654</v>
      </c>
      <c r="B89" s="235"/>
      <c r="C89" s="235"/>
      <c r="D89" s="235"/>
      <c r="E89" s="235"/>
      <c r="F89" s="235"/>
      <c r="G89" s="235"/>
      <c r="H89" s="235"/>
      <c r="I89" s="235"/>
      <c r="J89" s="235">
        <v>56</v>
      </c>
      <c r="K89" s="235">
        <f t="shared" si="9"/>
        <v>56</v>
      </c>
      <c r="L89" s="748">
        <v>2730936.3200000003</v>
      </c>
      <c r="M89" s="746">
        <v>56</v>
      </c>
      <c r="N89" s="235"/>
      <c r="O89" s="235"/>
      <c r="P89" s="235"/>
      <c r="Q89" s="235"/>
      <c r="R89" s="235"/>
      <c r="S89" s="235"/>
      <c r="T89" s="235"/>
      <c r="U89" s="235"/>
      <c r="V89" s="747">
        <f t="shared" si="10"/>
        <v>56</v>
      </c>
      <c r="W89" s="748">
        <v>2730936.3200000003</v>
      </c>
    </row>
    <row r="90" spans="1:23" x14ac:dyDescent="0.2">
      <c r="A90" s="752" t="s">
        <v>655</v>
      </c>
      <c r="B90" s="235"/>
      <c r="C90" s="235"/>
      <c r="D90" s="235"/>
      <c r="E90" s="235"/>
      <c r="F90" s="235"/>
      <c r="G90" s="235"/>
      <c r="H90" s="235"/>
      <c r="I90" s="235"/>
      <c r="J90" s="235">
        <v>1</v>
      </c>
      <c r="K90" s="235">
        <f t="shared" si="9"/>
        <v>1</v>
      </c>
      <c r="L90" s="748">
        <v>36825.040000000001</v>
      </c>
      <c r="M90" s="746">
        <v>1</v>
      </c>
      <c r="N90" s="235"/>
      <c r="O90" s="235"/>
      <c r="P90" s="235"/>
      <c r="Q90" s="235"/>
      <c r="R90" s="235"/>
      <c r="S90" s="235"/>
      <c r="T90" s="235"/>
      <c r="U90" s="235"/>
      <c r="V90" s="747">
        <f t="shared" si="10"/>
        <v>1</v>
      </c>
      <c r="W90" s="748">
        <v>36825.040000000001</v>
      </c>
    </row>
    <row r="91" spans="1:23" x14ac:dyDescent="0.2">
      <c r="A91" s="752" t="s">
        <v>656</v>
      </c>
      <c r="B91" s="235"/>
      <c r="C91" s="235"/>
      <c r="D91" s="235"/>
      <c r="E91" s="235"/>
      <c r="F91" s="235"/>
      <c r="G91" s="235"/>
      <c r="H91" s="235"/>
      <c r="I91" s="235"/>
      <c r="J91" s="235">
        <v>76</v>
      </c>
      <c r="K91" s="235">
        <f t="shared" si="9"/>
        <v>76</v>
      </c>
      <c r="L91" s="748">
        <v>2798684.8000000003</v>
      </c>
      <c r="M91" s="746">
        <v>76</v>
      </c>
      <c r="N91" s="235"/>
      <c r="O91" s="235"/>
      <c r="P91" s="235"/>
      <c r="Q91" s="235"/>
      <c r="R91" s="235"/>
      <c r="S91" s="235"/>
      <c r="T91" s="235"/>
      <c r="U91" s="235"/>
      <c r="V91" s="747">
        <f t="shared" si="10"/>
        <v>76</v>
      </c>
      <c r="W91" s="748">
        <v>2798684.8000000003</v>
      </c>
    </row>
    <row r="92" spans="1:23" x14ac:dyDescent="0.2">
      <c r="A92" s="752" t="s">
        <v>657</v>
      </c>
      <c r="B92" s="235"/>
      <c r="C92" s="235"/>
      <c r="D92" s="235"/>
      <c r="E92" s="235"/>
      <c r="F92" s="235"/>
      <c r="G92" s="235"/>
      <c r="H92" s="235"/>
      <c r="I92" s="235"/>
      <c r="J92" s="235">
        <v>3</v>
      </c>
      <c r="K92" s="235">
        <f t="shared" si="9"/>
        <v>3</v>
      </c>
      <c r="L92" s="748">
        <v>83605.8</v>
      </c>
      <c r="M92" s="746">
        <v>3</v>
      </c>
      <c r="N92" s="235"/>
      <c r="O92" s="235"/>
      <c r="P92" s="235"/>
      <c r="Q92" s="235"/>
      <c r="R92" s="235"/>
      <c r="S92" s="235"/>
      <c r="T92" s="235"/>
      <c r="U92" s="235"/>
      <c r="V92" s="747">
        <f t="shared" si="10"/>
        <v>3</v>
      </c>
      <c r="W92" s="748">
        <v>83605.8</v>
      </c>
    </row>
    <row r="93" spans="1:23" x14ac:dyDescent="0.2">
      <c r="A93" s="752" t="s">
        <v>658</v>
      </c>
      <c r="B93" s="235"/>
      <c r="C93" s="235"/>
      <c r="D93" s="235"/>
      <c r="E93" s="235"/>
      <c r="F93" s="235"/>
      <c r="G93" s="235"/>
      <c r="H93" s="235"/>
      <c r="I93" s="235"/>
      <c r="J93" s="235">
        <v>43</v>
      </c>
      <c r="K93" s="235">
        <f t="shared" si="9"/>
        <v>43</v>
      </c>
      <c r="L93" s="748">
        <v>1862111.5599999998</v>
      </c>
      <c r="M93" s="746">
        <v>43</v>
      </c>
      <c r="N93" s="235"/>
      <c r="O93" s="235"/>
      <c r="P93" s="235"/>
      <c r="Q93" s="235"/>
      <c r="R93" s="235"/>
      <c r="S93" s="235"/>
      <c r="T93" s="235"/>
      <c r="U93" s="235"/>
      <c r="V93" s="747">
        <f t="shared" si="10"/>
        <v>43</v>
      </c>
      <c r="W93" s="748">
        <v>1862111.5599999998</v>
      </c>
    </row>
    <row r="94" spans="1:23" x14ac:dyDescent="0.2">
      <c r="A94" s="752" t="s">
        <v>659</v>
      </c>
      <c r="B94" s="235"/>
      <c r="C94" s="235"/>
      <c r="D94" s="235"/>
      <c r="E94" s="235"/>
      <c r="F94" s="235"/>
      <c r="G94" s="235"/>
      <c r="H94" s="235"/>
      <c r="I94" s="235"/>
      <c r="J94" s="235">
        <v>21</v>
      </c>
      <c r="K94" s="235">
        <f t="shared" si="9"/>
        <v>21</v>
      </c>
      <c r="L94" s="748">
        <v>274013.03999999998</v>
      </c>
      <c r="M94" s="746">
        <v>21</v>
      </c>
      <c r="N94" s="235"/>
      <c r="O94" s="235"/>
      <c r="P94" s="235"/>
      <c r="Q94" s="235"/>
      <c r="R94" s="235"/>
      <c r="S94" s="235"/>
      <c r="T94" s="235"/>
      <c r="U94" s="235"/>
      <c r="V94" s="747">
        <f t="shared" si="10"/>
        <v>21</v>
      </c>
      <c r="W94" s="748">
        <v>274013.03999999998</v>
      </c>
    </row>
    <row r="95" spans="1:23" x14ac:dyDescent="0.2">
      <c r="A95" s="752" t="s">
        <v>660</v>
      </c>
      <c r="B95" s="235"/>
      <c r="C95" s="235"/>
      <c r="D95" s="235"/>
      <c r="E95" s="235"/>
      <c r="F95" s="235"/>
      <c r="G95" s="235"/>
      <c r="H95" s="235"/>
      <c r="I95" s="235"/>
      <c r="J95" s="235">
        <v>1</v>
      </c>
      <c r="K95" s="235">
        <f t="shared" si="9"/>
        <v>1</v>
      </c>
      <c r="L95" s="748">
        <v>29803.600000000002</v>
      </c>
      <c r="M95" s="746">
        <v>1</v>
      </c>
      <c r="N95" s="235"/>
      <c r="O95" s="235"/>
      <c r="P95" s="235"/>
      <c r="Q95" s="235"/>
      <c r="R95" s="235"/>
      <c r="S95" s="235"/>
      <c r="T95" s="235"/>
      <c r="U95" s="235"/>
      <c r="V95" s="747">
        <f t="shared" si="10"/>
        <v>1</v>
      </c>
      <c r="W95" s="748">
        <v>29803.600000000002</v>
      </c>
    </row>
    <row r="96" spans="1:23" x14ac:dyDescent="0.2">
      <c r="A96" s="752" t="s">
        <v>661</v>
      </c>
      <c r="B96" s="235"/>
      <c r="C96" s="235"/>
      <c r="D96" s="235"/>
      <c r="E96" s="235"/>
      <c r="F96" s="235"/>
      <c r="G96" s="235"/>
      <c r="H96" s="235"/>
      <c r="I96" s="235"/>
      <c r="J96" s="235">
        <v>1</v>
      </c>
      <c r="K96" s="235">
        <f t="shared" si="9"/>
        <v>1</v>
      </c>
      <c r="L96" s="748">
        <v>39404.800000000003</v>
      </c>
      <c r="M96" s="746">
        <v>1</v>
      </c>
      <c r="N96" s="235"/>
      <c r="O96" s="235"/>
      <c r="P96" s="235"/>
      <c r="Q96" s="235"/>
      <c r="R96" s="235"/>
      <c r="S96" s="235"/>
      <c r="T96" s="235"/>
      <c r="U96" s="235"/>
      <c r="V96" s="747">
        <f t="shared" si="10"/>
        <v>1</v>
      </c>
      <c r="W96" s="748">
        <v>39404.800000000003</v>
      </c>
    </row>
    <row r="97" spans="1:23" x14ac:dyDescent="0.2">
      <c r="A97" s="752" t="s">
        <v>662</v>
      </c>
      <c r="B97" s="235"/>
      <c r="C97" s="235"/>
      <c r="D97" s="235"/>
      <c r="E97" s="235"/>
      <c r="F97" s="235"/>
      <c r="G97" s="235"/>
      <c r="H97" s="235"/>
      <c r="I97" s="235"/>
      <c r="J97" s="235">
        <v>28</v>
      </c>
      <c r="K97" s="235">
        <f t="shared" si="9"/>
        <v>28</v>
      </c>
      <c r="L97" s="748">
        <v>446703.04000000004</v>
      </c>
      <c r="M97" s="746">
        <v>28</v>
      </c>
      <c r="N97" s="235"/>
      <c r="O97" s="235"/>
      <c r="P97" s="235"/>
      <c r="Q97" s="235"/>
      <c r="R97" s="235"/>
      <c r="S97" s="235"/>
      <c r="T97" s="235"/>
      <c r="U97" s="235"/>
      <c r="V97" s="747">
        <f t="shared" si="10"/>
        <v>28</v>
      </c>
      <c r="W97" s="748">
        <v>446703.04000000004</v>
      </c>
    </row>
    <row r="98" spans="1:23" x14ac:dyDescent="0.2">
      <c r="A98" s="752" t="s">
        <v>663</v>
      </c>
      <c r="B98" s="235"/>
      <c r="C98" s="235"/>
      <c r="D98" s="235"/>
      <c r="E98" s="235"/>
      <c r="F98" s="235"/>
      <c r="G98" s="235"/>
      <c r="H98" s="235"/>
      <c r="I98" s="235"/>
      <c r="J98" s="235">
        <v>6</v>
      </c>
      <c r="K98" s="235">
        <f t="shared" si="9"/>
        <v>6</v>
      </c>
      <c r="L98" s="748">
        <v>140343.36000000002</v>
      </c>
      <c r="M98" s="746">
        <v>6</v>
      </c>
      <c r="N98" s="235"/>
      <c r="O98" s="235"/>
      <c r="P98" s="235"/>
      <c r="Q98" s="235"/>
      <c r="R98" s="235"/>
      <c r="S98" s="235"/>
      <c r="T98" s="235"/>
      <c r="U98" s="235"/>
      <c r="V98" s="747">
        <f t="shared" si="10"/>
        <v>6</v>
      </c>
      <c r="W98" s="748">
        <v>140343.36000000002</v>
      </c>
    </row>
    <row r="99" spans="1:23" x14ac:dyDescent="0.2">
      <c r="A99" s="752" t="s">
        <v>664</v>
      </c>
      <c r="B99" s="235"/>
      <c r="C99" s="235"/>
      <c r="D99" s="235"/>
      <c r="E99" s="235"/>
      <c r="F99" s="235"/>
      <c r="G99" s="235"/>
      <c r="H99" s="235"/>
      <c r="I99" s="235"/>
      <c r="J99" s="235">
        <v>356</v>
      </c>
      <c r="K99" s="235">
        <f t="shared" si="9"/>
        <v>356</v>
      </c>
      <c r="L99" s="748">
        <v>10984052.48</v>
      </c>
      <c r="M99" s="746">
        <v>356</v>
      </c>
      <c r="N99" s="235"/>
      <c r="O99" s="235"/>
      <c r="P99" s="235"/>
      <c r="Q99" s="235"/>
      <c r="R99" s="235"/>
      <c r="S99" s="235"/>
      <c r="T99" s="235"/>
      <c r="U99" s="235"/>
      <c r="V99" s="747">
        <f t="shared" si="10"/>
        <v>356</v>
      </c>
      <c r="W99" s="748">
        <v>10984052.48</v>
      </c>
    </row>
    <row r="100" spans="1:23" x14ac:dyDescent="0.2">
      <c r="A100" s="638" t="s">
        <v>77</v>
      </c>
      <c r="B100" s="235"/>
      <c r="C100" s="235"/>
      <c r="D100" s="235"/>
      <c r="E100" s="235"/>
      <c r="F100" s="235"/>
      <c r="G100" s="235"/>
      <c r="H100" s="235"/>
      <c r="I100" s="235"/>
      <c r="J100" s="235"/>
      <c r="K100" s="235"/>
      <c r="L100" s="748"/>
      <c r="M100" s="746"/>
      <c r="N100" s="235"/>
      <c r="O100" s="235"/>
      <c r="P100" s="235"/>
      <c r="Q100" s="235"/>
      <c r="R100" s="235"/>
      <c r="S100" s="235"/>
      <c r="T100" s="235"/>
      <c r="U100" s="235"/>
      <c r="V100" s="747"/>
      <c r="W100" s="748"/>
    </row>
    <row r="101" spans="1:23" x14ac:dyDescent="0.2">
      <c r="A101" s="751" t="s">
        <v>665</v>
      </c>
      <c r="B101" s="754">
        <f t="shared" ref="B101:W101" si="11">SUM(B102)</f>
        <v>1</v>
      </c>
      <c r="C101" s="755">
        <f t="shared" si="11"/>
        <v>0</v>
      </c>
      <c r="D101" s="755">
        <f t="shared" si="11"/>
        <v>0</v>
      </c>
      <c r="E101" s="755">
        <f t="shared" si="11"/>
        <v>0</v>
      </c>
      <c r="F101" s="755">
        <f t="shared" si="11"/>
        <v>0</v>
      </c>
      <c r="G101" s="755">
        <f t="shared" si="11"/>
        <v>0</v>
      </c>
      <c r="H101" s="755">
        <f t="shared" si="11"/>
        <v>0</v>
      </c>
      <c r="I101" s="755">
        <f t="shared" si="11"/>
        <v>0</v>
      </c>
      <c r="J101" s="755">
        <f t="shared" si="11"/>
        <v>0</v>
      </c>
      <c r="K101" s="755">
        <f t="shared" si="11"/>
        <v>1</v>
      </c>
      <c r="L101" s="756">
        <f t="shared" si="11"/>
        <v>67384</v>
      </c>
      <c r="M101" s="754">
        <f t="shared" si="11"/>
        <v>1</v>
      </c>
      <c r="N101" s="755">
        <f t="shared" si="11"/>
        <v>0</v>
      </c>
      <c r="O101" s="755">
        <f t="shared" si="11"/>
        <v>0</v>
      </c>
      <c r="P101" s="755">
        <f t="shared" si="11"/>
        <v>0</v>
      </c>
      <c r="Q101" s="755">
        <f t="shared" si="11"/>
        <v>0</v>
      </c>
      <c r="R101" s="755">
        <f t="shared" si="11"/>
        <v>0</v>
      </c>
      <c r="S101" s="755">
        <f t="shared" si="11"/>
        <v>0</v>
      </c>
      <c r="T101" s="755">
        <f t="shared" si="11"/>
        <v>0</v>
      </c>
      <c r="U101" s="755">
        <f t="shared" si="11"/>
        <v>0</v>
      </c>
      <c r="V101" s="757">
        <f t="shared" si="11"/>
        <v>1</v>
      </c>
      <c r="W101" s="756">
        <f t="shared" si="11"/>
        <v>67384</v>
      </c>
    </row>
    <row r="102" spans="1:23" x14ac:dyDescent="0.2">
      <c r="A102" s="758" t="s">
        <v>666</v>
      </c>
      <c r="B102" s="746">
        <v>1</v>
      </c>
      <c r="C102" s="235"/>
      <c r="D102" s="235"/>
      <c r="E102" s="235"/>
      <c r="F102" s="235"/>
      <c r="G102" s="235"/>
      <c r="H102" s="235"/>
      <c r="I102" s="235"/>
      <c r="J102" s="235"/>
      <c r="K102" s="235">
        <f>SUM(B102:J102)</f>
        <v>1</v>
      </c>
      <c r="L102" s="748">
        <v>67384</v>
      </c>
      <c r="M102" s="746">
        <v>1</v>
      </c>
      <c r="N102" s="235"/>
      <c r="O102" s="235"/>
      <c r="P102" s="235"/>
      <c r="Q102" s="235"/>
      <c r="R102" s="235"/>
      <c r="S102" s="235"/>
      <c r="T102" s="235"/>
      <c r="U102" s="235"/>
      <c r="V102" s="747">
        <f>SUM(M102:U102)</f>
        <v>1</v>
      </c>
      <c r="W102" s="748">
        <v>67384</v>
      </c>
    </row>
    <row r="103" spans="1:23" x14ac:dyDescent="0.2">
      <c r="A103" s="759" t="s">
        <v>0</v>
      </c>
      <c r="B103" s="760">
        <f t="shared" ref="B103:W103" si="12">SUM(B101+B82+B50)</f>
        <v>883</v>
      </c>
      <c r="C103" s="761">
        <f t="shared" si="12"/>
        <v>0</v>
      </c>
      <c r="D103" s="761">
        <f t="shared" si="12"/>
        <v>55</v>
      </c>
      <c r="E103" s="761">
        <f t="shared" si="12"/>
        <v>0</v>
      </c>
      <c r="F103" s="761">
        <f t="shared" si="12"/>
        <v>0</v>
      </c>
      <c r="G103" s="761">
        <f t="shared" si="12"/>
        <v>0</v>
      </c>
      <c r="H103" s="761">
        <f t="shared" si="12"/>
        <v>0</v>
      </c>
      <c r="I103" s="761">
        <f t="shared" si="12"/>
        <v>0</v>
      </c>
      <c r="J103" s="761">
        <f t="shared" si="12"/>
        <v>648</v>
      </c>
      <c r="K103" s="761">
        <f t="shared" si="12"/>
        <v>938</v>
      </c>
      <c r="L103" s="762">
        <f t="shared" si="12"/>
        <v>29622991.580000002</v>
      </c>
      <c r="M103" s="760">
        <f t="shared" si="12"/>
        <v>884</v>
      </c>
      <c r="N103" s="761">
        <f t="shared" si="12"/>
        <v>0</v>
      </c>
      <c r="O103" s="761">
        <f t="shared" si="12"/>
        <v>55</v>
      </c>
      <c r="P103" s="761">
        <f t="shared" si="12"/>
        <v>0</v>
      </c>
      <c r="Q103" s="761">
        <f t="shared" si="12"/>
        <v>0</v>
      </c>
      <c r="R103" s="761">
        <f t="shared" si="12"/>
        <v>0</v>
      </c>
      <c r="S103" s="761">
        <f t="shared" si="12"/>
        <v>0</v>
      </c>
      <c r="T103" s="761">
        <f t="shared" si="12"/>
        <v>0</v>
      </c>
      <c r="U103" s="761">
        <f t="shared" si="12"/>
        <v>0</v>
      </c>
      <c r="V103" s="763">
        <f t="shared" si="12"/>
        <v>939</v>
      </c>
      <c r="W103" s="764">
        <f t="shared" si="12"/>
        <v>29674734.18</v>
      </c>
    </row>
    <row r="104" spans="1:23" ht="15.75" x14ac:dyDescent="0.25">
      <c r="A104" s="235"/>
      <c r="B104" s="475"/>
      <c r="C104" s="475"/>
      <c r="D104" s="475"/>
      <c r="E104" s="475"/>
      <c r="F104" s="475"/>
      <c r="G104" s="475"/>
      <c r="H104" s="475"/>
      <c r="I104" s="475"/>
      <c r="J104" s="475"/>
      <c r="K104" s="475"/>
      <c r="L104" s="475"/>
      <c r="M104" s="475"/>
      <c r="N104" s="475"/>
      <c r="O104" s="475"/>
      <c r="P104" s="475"/>
      <c r="Q104" s="475"/>
      <c r="R104" s="475"/>
      <c r="S104" s="475"/>
      <c r="T104" s="475"/>
      <c r="U104" s="475"/>
      <c r="V104" s="475"/>
      <c r="W104" s="475"/>
    </row>
    <row r="105" spans="1:23" ht="15.75" x14ac:dyDescent="0.25">
      <c r="A105" s="235"/>
      <c r="B105" s="475"/>
      <c r="C105" s="475"/>
      <c r="D105" s="475"/>
      <c r="E105" s="475"/>
      <c r="F105" s="475"/>
      <c r="G105" s="475"/>
      <c r="H105" s="475"/>
      <c r="I105" s="475"/>
      <c r="J105" s="475"/>
      <c r="K105" s="475"/>
      <c r="L105" s="475"/>
      <c r="M105" s="475"/>
      <c r="N105" s="475"/>
      <c r="O105" s="475"/>
      <c r="P105" s="475"/>
      <c r="Q105" s="475"/>
      <c r="R105" s="475"/>
      <c r="S105" s="475"/>
      <c r="T105" s="475"/>
      <c r="U105" s="475"/>
      <c r="V105" s="475"/>
      <c r="W105" s="475"/>
    </row>
    <row r="106" spans="1:23" ht="16.5" thickBot="1" x14ac:dyDescent="0.3">
      <c r="A106" s="256" t="s">
        <v>636</v>
      </c>
      <c r="B106" s="475"/>
      <c r="C106" s="475"/>
      <c r="D106" s="475"/>
      <c r="E106" s="235"/>
      <c r="F106" s="235"/>
      <c r="G106" s="235"/>
      <c r="H106" s="235"/>
      <c r="I106" s="235"/>
      <c r="J106" s="235"/>
      <c r="K106" s="235"/>
      <c r="L106" s="720"/>
      <c r="M106" s="235"/>
      <c r="N106" s="235"/>
      <c r="O106" s="235"/>
      <c r="P106" s="235"/>
      <c r="Q106" s="235"/>
      <c r="R106" s="235"/>
      <c r="S106" s="235"/>
      <c r="T106" s="235"/>
      <c r="U106" s="235"/>
      <c r="V106" s="235"/>
      <c r="W106" s="720"/>
    </row>
    <row r="107" spans="1:23" x14ac:dyDescent="0.2">
      <c r="A107" s="721" t="s">
        <v>10</v>
      </c>
      <c r="B107" s="1351" t="s">
        <v>419</v>
      </c>
      <c r="C107" s="1352"/>
      <c r="D107" s="1352"/>
      <c r="E107" s="1352"/>
      <c r="F107" s="1352"/>
      <c r="G107" s="1352"/>
      <c r="H107" s="1352"/>
      <c r="I107" s="1352"/>
      <c r="J107" s="1352"/>
      <c r="K107" s="1352"/>
      <c r="L107" s="1353"/>
      <c r="M107" s="1351" t="s">
        <v>420</v>
      </c>
      <c r="N107" s="1352"/>
      <c r="O107" s="1352"/>
      <c r="P107" s="1352"/>
      <c r="Q107" s="1352"/>
      <c r="R107" s="1352"/>
      <c r="S107" s="1352"/>
      <c r="T107" s="1352"/>
      <c r="U107" s="1352"/>
      <c r="V107" s="1352"/>
      <c r="W107" s="1353"/>
    </row>
    <row r="108" spans="1:23" ht="105.75" x14ac:dyDescent="0.2">
      <c r="A108" s="722" t="s">
        <v>9</v>
      </c>
      <c r="B108" s="723" t="s">
        <v>316</v>
      </c>
      <c r="C108" s="723" t="s">
        <v>113</v>
      </c>
      <c r="D108" s="724" t="s">
        <v>272</v>
      </c>
      <c r="E108" s="724" t="s">
        <v>266</v>
      </c>
      <c r="F108" s="724" t="s">
        <v>274</v>
      </c>
      <c r="G108" s="724" t="s">
        <v>275</v>
      </c>
      <c r="H108" s="724" t="s">
        <v>276</v>
      </c>
      <c r="I108" s="724" t="s">
        <v>283</v>
      </c>
      <c r="J108" s="725" t="s">
        <v>278</v>
      </c>
      <c r="K108" s="726" t="s">
        <v>280</v>
      </c>
      <c r="L108" s="727" t="s">
        <v>282</v>
      </c>
      <c r="M108" s="723" t="s">
        <v>316</v>
      </c>
      <c r="N108" s="723" t="s">
        <v>113</v>
      </c>
      <c r="O108" s="724" t="s">
        <v>272</v>
      </c>
      <c r="P108" s="724" t="s">
        <v>266</v>
      </c>
      <c r="Q108" s="724" t="s">
        <v>274</v>
      </c>
      <c r="R108" s="724" t="s">
        <v>275</v>
      </c>
      <c r="S108" s="724" t="s">
        <v>276</v>
      </c>
      <c r="T108" s="724" t="s">
        <v>283</v>
      </c>
      <c r="U108" s="725" t="s">
        <v>278</v>
      </c>
      <c r="V108" s="726" t="s">
        <v>280</v>
      </c>
      <c r="W108" s="727" t="s">
        <v>281</v>
      </c>
    </row>
    <row r="109" spans="1:23" x14ac:dyDescent="0.2">
      <c r="A109" s="590"/>
      <c r="B109" s="235"/>
      <c r="C109" s="235"/>
      <c r="D109" s="235"/>
      <c r="E109" s="235"/>
      <c r="F109" s="235"/>
      <c r="G109" s="235"/>
      <c r="H109" s="235"/>
      <c r="I109" s="235"/>
      <c r="J109" s="235"/>
      <c r="K109" s="235"/>
      <c r="L109" s="765"/>
      <c r="M109" s="235"/>
      <c r="N109" s="235"/>
      <c r="O109" s="235"/>
      <c r="P109" s="235"/>
      <c r="Q109" s="235"/>
      <c r="R109" s="235"/>
      <c r="S109" s="235"/>
      <c r="T109" s="235"/>
      <c r="U109" s="235"/>
      <c r="V109" s="235"/>
      <c r="W109" s="728"/>
    </row>
    <row r="110" spans="1:23" x14ac:dyDescent="0.2">
      <c r="A110" s="729" t="s">
        <v>7</v>
      </c>
      <c r="B110" s="246">
        <f>B111</f>
        <v>1</v>
      </c>
      <c r="C110" s="246"/>
      <c r="D110" s="246"/>
      <c r="E110" s="246"/>
      <c r="F110" s="246"/>
      <c r="G110" s="246"/>
      <c r="H110" s="246"/>
      <c r="I110" s="246"/>
      <c r="J110" s="246"/>
      <c r="K110" s="246">
        <f>K111</f>
        <v>1</v>
      </c>
      <c r="L110" s="766">
        <f>L111</f>
        <v>30591</v>
      </c>
      <c r="M110" s="246">
        <v>1</v>
      </c>
      <c r="N110" s="246"/>
      <c r="O110" s="246"/>
      <c r="P110" s="246"/>
      <c r="Q110" s="246"/>
      <c r="R110" s="246"/>
      <c r="S110" s="246"/>
      <c r="T110" s="246"/>
      <c r="U110" s="246"/>
      <c r="V110" s="246">
        <v>1</v>
      </c>
      <c r="W110" s="767">
        <v>30591</v>
      </c>
    </row>
    <row r="111" spans="1:23" x14ac:dyDescent="0.2">
      <c r="A111" s="590" t="s">
        <v>12</v>
      </c>
      <c r="B111" s="235">
        <v>1</v>
      </c>
      <c r="C111" s="235"/>
      <c r="D111" s="235"/>
      <c r="E111" s="235"/>
      <c r="F111" s="235"/>
      <c r="G111" s="235"/>
      <c r="H111" s="235"/>
      <c r="I111" s="235"/>
      <c r="J111" s="235"/>
      <c r="K111" s="235">
        <f t="shared" ref="K111:K123" si="13">B111</f>
        <v>1</v>
      </c>
      <c r="L111" s="730">
        <v>30591</v>
      </c>
      <c r="M111" s="235">
        <v>1</v>
      </c>
      <c r="N111" s="235"/>
      <c r="O111" s="235"/>
      <c r="P111" s="235"/>
      <c r="Q111" s="235"/>
      <c r="R111" s="235"/>
      <c r="S111" s="235"/>
      <c r="T111" s="235"/>
      <c r="U111" s="235"/>
      <c r="V111" s="235">
        <v>1</v>
      </c>
      <c r="W111" s="728">
        <v>30591</v>
      </c>
    </row>
    <row r="112" spans="1:23" x14ac:dyDescent="0.2">
      <c r="A112" s="729" t="s">
        <v>4</v>
      </c>
      <c r="B112" s="246">
        <f>SUM(B113:B116)</f>
        <v>18</v>
      </c>
      <c r="C112" s="246"/>
      <c r="D112" s="246"/>
      <c r="E112" s="246"/>
      <c r="F112" s="246"/>
      <c r="G112" s="246"/>
      <c r="H112" s="246"/>
      <c r="I112" s="246"/>
      <c r="J112" s="246"/>
      <c r="K112" s="246">
        <f t="shared" si="13"/>
        <v>18</v>
      </c>
      <c r="L112" s="766">
        <f>SUM(L113:L116)</f>
        <v>504972</v>
      </c>
      <c r="M112" s="246">
        <v>18</v>
      </c>
      <c r="N112" s="246"/>
      <c r="O112" s="246"/>
      <c r="P112" s="246"/>
      <c r="Q112" s="246"/>
      <c r="R112" s="246"/>
      <c r="S112" s="246"/>
      <c r="T112" s="246"/>
      <c r="U112" s="246"/>
      <c r="V112" s="246">
        <v>18</v>
      </c>
      <c r="W112" s="246">
        <v>504972</v>
      </c>
    </row>
    <row r="113" spans="1:23" x14ac:dyDescent="0.2">
      <c r="A113" s="590" t="s">
        <v>13</v>
      </c>
      <c r="B113" s="235">
        <v>1</v>
      </c>
      <c r="C113" s="235"/>
      <c r="D113" s="235"/>
      <c r="E113" s="235"/>
      <c r="F113" s="235"/>
      <c r="G113" s="235"/>
      <c r="H113" s="235"/>
      <c r="I113" s="235"/>
      <c r="J113" s="235"/>
      <c r="K113" s="235">
        <f t="shared" si="13"/>
        <v>1</v>
      </c>
      <c r="L113" s="730">
        <v>29250</v>
      </c>
      <c r="M113" s="235">
        <v>1</v>
      </c>
      <c r="N113" s="235"/>
      <c r="O113" s="235"/>
      <c r="P113" s="235"/>
      <c r="Q113" s="235"/>
      <c r="R113" s="235"/>
      <c r="S113" s="235"/>
      <c r="T113" s="235"/>
      <c r="U113" s="235"/>
      <c r="V113" s="235">
        <v>1</v>
      </c>
      <c r="W113" s="728">
        <v>29250</v>
      </c>
    </row>
    <row r="114" spans="1:23" x14ac:dyDescent="0.2">
      <c r="A114" s="590" t="s">
        <v>583</v>
      </c>
      <c r="B114" s="235">
        <v>2</v>
      </c>
      <c r="C114" s="235"/>
      <c r="D114" s="235"/>
      <c r="E114" s="235"/>
      <c r="F114" s="235"/>
      <c r="G114" s="235"/>
      <c r="H114" s="235"/>
      <c r="I114" s="235"/>
      <c r="J114" s="235"/>
      <c r="K114" s="235">
        <f t="shared" si="13"/>
        <v>2</v>
      </c>
      <c r="L114" s="730">
        <v>56964</v>
      </c>
      <c r="M114" s="235">
        <v>2</v>
      </c>
      <c r="N114" s="235"/>
      <c r="O114" s="235"/>
      <c r="P114" s="235"/>
      <c r="Q114" s="235"/>
      <c r="R114" s="235"/>
      <c r="S114" s="235"/>
      <c r="T114" s="235"/>
      <c r="U114" s="235"/>
      <c r="V114" s="235">
        <v>2</v>
      </c>
      <c r="W114" s="728">
        <v>56964</v>
      </c>
    </row>
    <row r="115" spans="1:23" x14ac:dyDescent="0.2">
      <c r="A115" s="590" t="s">
        <v>584</v>
      </c>
      <c r="B115" s="235">
        <v>6</v>
      </c>
      <c r="C115" s="235"/>
      <c r="D115" s="235"/>
      <c r="E115" s="235"/>
      <c r="F115" s="235"/>
      <c r="G115" s="235"/>
      <c r="H115" s="235"/>
      <c r="I115" s="235"/>
      <c r="J115" s="235"/>
      <c r="K115" s="235">
        <f t="shared" si="13"/>
        <v>6</v>
      </c>
      <c r="L115" s="730">
        <v>168774</v>
      </c>
      <c r="M115" s="235">
        <v>6</v>
      </c>
      <c r="N115" s="235"/>
      <c r="O115" s="235"/>
      <c r="P115" s="235"/>
      <c r="Q115" s="235"/>
      <c r="R115" s="235"/>
      <c r="S115" s="235"/>
      <c r="T115" s="235"/>
      <c r="U115" s="235"/>
      <c r="V115" s="235">
        <v>6</v>
      </c>
      <c r="W115" s="728">
        <v>168774</v>
      </c>
    </row>
    <row r="116" spans="1:23" x14ac:dyDescent="0.2">
      <c r="A116" s="590" t="s">
        <v>14</v>
      </c>
      <c r="B116" s="235">
        <v>9</v>
      </c>
      <c r="C116" s="235"/>
      <c r="D116" s="235"/>
      <c r="E116" s="235"/>
      <c r="F116" s="235"/>
      <c r="G116" s="235"/>
      <c r="H116" s="235"/>
      <c r="I116" s="235"/>
      <c r="J116" s="235"/>
      <c r="K116" s="235">
        <f t="shared" si="13"/>
        <v>9</v>
      </c>
      <c r="L116" s="730">
        <v>249984</v>
      </c>
      <c r="M116" s="235">
        <v>9</v>
      </c>
      <c r="N116" s="235"/>
      <c r="O116" s="235"/>
      <c r="P116" s="235"/>
      <c r="Q116" s="235"/>
      <c r="R116" s="235"/>
      <c r="S116" s="235"/>
      <c r="T116" s="235"/>
      <c r="U116" s="235"/>
      <c r="V116" s="235">
        <v>9</v>
      </c>
      <c r="W116" s="728">
        <v>249984</v>
      </c>
    </row>
    <row r="117" spans="1:23" x14ac:dyDescent="0.2">
      <c r="A117" s="729" t="s">
        <v>5</v>
      </c>
      <c r="B117" s="246">
        <f>SUM(B118:B120)</f>
        <v>40</v>
      </c>
      <c r="C117" s="246"/>
      <c r="D117" s="246"/>
      <c r="E117" s="246"/>
      <c r="F117" s="246"/>
      <c r="G117" s="246"/>
      <c r="H117" s="246"/>
      <c r="I117" s="246"/>
      <c r="J117" s="246"/>
      <c r="K117" s="246">
        <f t="shared" si="13"/>
        <v>40</v>
      </c>
      <c r="L117" s="766">
        <f>SUM(L118:L120)</f>
        <v>1109275</v>
      </c>
      <c r="M117" s="246">
        <v>40</v>
      </c>
      <c r="N117" s="246"/>
      <c r="O117" s="246"/>
      <c r="P117" s="246"/>
      <c r="Q117" s="246"/>
      <c r="R117" s="246"/>
      <c r="S117" s="246"/>
      <c r="T117" s="246"/>
      <c r="U117" s="246"/>
      <c r="V117" s="246">
        <v>40</v>
      </c>
      <c r="W117" s="246">
        <v>1109275</v>
      </c>
    </row>
    <row r="118" spans="1:23" x14ac:dyDescent="0.2">
      <c r="A118" s="590" t="s">
        <v>15</v>
      </c>
      <c r="B118" s="235">
        <v>26</v>
      </c>
      <c r="C118" s="235"/>
      <c r="D118" s="235"/>
      <c r="E118" s="235"/>
      <c r="F118" s="235"/>
      <c r="G118" s="235"/>
      <c r="H118" s="235"/>
      <c r="I118" s="235"/>
      <c r="J118" s="235"/>
      <c r="K118" s="235">
        <f t="shared" si="13"/>
        <v>26</v>
      </c>
      <c r="L118" s="730">
        <v>741037</v>
      </c>
      <c r="M118" s="235">
        <v>26</v>
      </c>
      <c r="N118" s="235"/>
      <c r="O118" s="235"/>
      <c r="P118" s="235"/>
      <c r="Q118" s="235"/>
      <c r="R118" s="235"/>
      <c r="S118" s="235"/>
      <c r="T118" s="235"/>
      <c r="U118" s="235"/>
      <c r="V118" s="235">
        <v>26</v>
      </c>
      <c r="W118" s="728">
        <v>741037</v>
      </c>
    </row>
    <row r="119" spans="1:23" x14ac:dyDescent="0.2">
      <c r="A119" s="590" t="s">
        <v>586</v>
      </c>
      <c r="B119" s="235">
        <v>4</v>
      </c>
      <c r="C119" s="235"/>
      <c r="D119" s="235"/>
      <c r="E119" s="235"/>
      <c r="F119" s="235"/>
      <c r="G119" s="235"/>
      <c r="H119" s="235"/>
      <c r="I119" s="235"/>
      <c r="J119" s="235"/>
      <c r="K119" s="235">
        <f t="shared" si="13"/>
        <v>4</v>
      </c>
      <c r="L119" s="730">
        <v>105754</v>
      </c>
      <c r="M119" s="235">
        <v>4</v>
      </c>
      <c r="N119" s="235"/>
      <c r="O119" s="235"/>
      <c r="P119" s="235"/>
      <c r="Q119" s="235"/>
      <c r="R119" s="235"/>
      <c r="S119" s="235"/>
      <c r="T119" s="235"/>
      <c r="U119" s="235"/>
      <c r="V119" s="235">
        <v>4</v>
      </c>
      <c r="W119" s="728">
        <v>105754</v>
      </c>
    </row>
    <row r="120" spans="1:23" x14ac:dyDescent="0.2">
      <c r="A120" s="590" t="s">
        <v>643</v>
      </c>
      <c r="B120" s="235">
        <v>10</v>
      </c>
      <c r="C120" s="235"/>
      <c r="D120" s="235"/>
      <c r="E120" s="235"/>
      <c r="F120" s="235"/>
      <c r="G120" s="235"/>
      <c r="H120" s="235"/>
      <c r="I120" s="235"/>
      <c r="J120" s="235"/>
      <c r="K120" s="235">
        <f t="shared" si="13"/>
        <v>10</v>
      </c>
      <c r="L120" s="730">
        <v>262484</v>
      </c>
      <c r="M120" s="235">
        <v>10</v>
      </c>
      <c r="N120" s="235"/>
      <c r="O120" s="235"/>
      <c r="P120" s="235"/>
      <c r="Q120" s="235"/>
      <c r="R120" s="235"/>
      <c r="S120" s="235"/>
      <c r="T120" s="235"/>
      <c r="U120" s="235"/>
      <c r="V120" s="235">
        <v>10</v>
      </c>
      <c r="W120" s="728">
        <v>262484</v>
      </c>
    </row>
    <row r="121" spans="1:23" x14ac:dyDescent="0.2">
      <c r="A121" s="729" t="s">
        <v>6</v>
      </c>
      <c r="B121" s="246">
        <f>SUM(B122:B123)</f>
        <v>67</v>
      </c>
      <c r="C121" s="246"/>
      <c r="D121" s="246"/>
      <c r="E121" s="246"/>
      <c r="F121" s="246"/>
      <c r="G121" s="246"/>
      <c r="H121" s="246"/>
      <c r="I121" s="246"/>
      <c r="J121" s="246"/>
      <c r="K121" s="246">
        <f t="shared" si="13"/>
        <v>67</v>
      </c>
      <c r="L121" s="766">
        <f>SUM(L122:L123)</f>
        <v>1402906</v>
      </c>
      <c r="M121" s="246">
        <v>67</v>
      </c>
      <c r="N121" s="246"/>
      <c r="O121" s="246"/>
      <c r="P121" s="246"/>
      <c r="Q121" s="246"/>
      <c r="R121" s="246"/>
      <c r="S121" s="246"/>
      <c r="T121" s="246"/>
      <c r="U121" s="246"/>
      <c r="V121" s="246">
        <v>67</v>
      </c>
      <c r="W121" s="246">
        <v>1402906</v>
      </c>
    </row>
    <row r="122" spans="1:23" x14ac:dyDescent="0.2">
      <c r="A122" s="590" t="s">
        <v>16</v>
      </c>
      <c r="B122" s="235">
        <v>20</v>
      </c>
      <c r="C122" s="235"/>
      <c r="D122" s="235"/>
      <c r="E122" s="235"/>
      <c r="F122" s="235"/>
      <c r="G122" s="235"/>
      <c r="H122" s="235"/>
      <c r="I122" s="235"/>
      <c r="J122" s="235"/>
      <c r="K122" s="235">
        <f t="shared" si="13"/>
        <v>20</v>
      </c>
      <c r="L122" s="730">
        <v>595129</v>
      </c>
      <c r="M122" s="235">
        <v>20</v>
      </c>
      <c r="N122" s="235"/>
      <c r="O122" s="235"/>
      <c r="P122" s="235"/>
      <c r="Q122" s="235"/>
      <c r="R122" s="235"/>
      <c r="S122" s="235"/>
      <c r="T122" s="235"/>
      <c r="U122" s="235"/>
      <c r="V122" s="235">
        <v>20</v>
      </c>
      <c r="W122" s="728">
        <v>595129</v>
      </c>
    </row>
    <row r="123" spans="1:23" x14ac:dyDescent="0.2">
      <c r="A123" s="590" t="s">
        <v>645</v>
      </c>
      <c r="B123" s="235">
        <v>47</v>
      </c>
      <c r="C123" s="235"/>
      <c r="D123" s="235"/>
      <c r="E123" s="235"/>
      <c r="F123" s="235"/>
      <c r="G123" s="235"/>
      <c r="H123" s="235"/>
      <c r="I123" s="235"/>
      <c r="J123" s="235"/>
      <c r="K123" s="235">
        <f t="shared" si="13"/>
        <v>47</v>
      </c>
      <c r="L123" s="730">
        <v>807777</v>
      </c>
      <c r="M123" s="235">
        <v>47</v>
      </c>
      <c r="N123" s="235"/>
      <c r="O123" s="235"/>
      <c r="P123" s="235"/>
      <c r="Q123" s="235"/>
      <c r="R123" s="235"/>
      <c r="S123" s="235"/>
      <c r="T123" s="235"/>
      <c r="U123" s="235"/>
      <c r="V123" s="235">
        <v>47</v>
      </c>
      <c r="W123" s="728">
        <v>807777</v>
      </c>
    </row>
    <row r="124" spans="1:23" x14ac:dyDescent="0.2">
      <c r="A124" s="768" t="s">
        <v>648</v>
      </c>
      <c r="B124" s="769"/>
      <c r="C124" s="769"/>
      <c r="D124" s="769"/>
      <c r="E124" s="769"/>
      <c r="F124" s="769"/>
      <c r="G124" s="769"/>
      <c r="H124" s="769"/>
      <c r="I124" s="769"/>
      <c r="J124" s="770">
        <f>SUM(J125:J135)</f>
        <v>42</v>
      </c>
      <c r="K124" s="770">
        <f>J124</f>
        <v>42</v>
      </c>
      <c r="L124" s="771">
        <f>SUM(L125:L135)</f>
        <v>2037288</v>
      </c>
      <c r="M124" s="769"/>
      <c r="N124" s="769"/>
      <c r="O124" s="769"/>
      <c r="P124" s="769"/>
      <c r="Q124" s="769"/>
      <c r="R124" s="769"/>
      <c r="S124" s="769"/>
      <c r="T124" s="769"/>
      <c r="U124" s="769">
        <v>42</v>
      </c>
      <c r="V124" s="770">
        <v>42</v>
      </c>
      <c r="W124" s="770">
        <v>2037288</v>
      </c>
    </row>
    <row r="125" spans="1:23" x14ac:dyDescent="0.2">
      <c r="A125" s="590" t="s">
        <v>710</v>
      </c>
      <c r="B125" s="235"/>
      <c r="C125" s="235"/>
      <c r="D125" s="235"/>
      <c r="E125" s="235"/>
      <c r="F125" s="235"/>
      <c r="G125" s="235"/>
      <c r="H125" s="235"/>
      <c r="I125" s="235"/>
      <c r="J125" s="235">
        <v>1</v>
      </c>
      <c r="K125" s="235">
        <v>1</v>
      </c>
      <c r="L125" s="730">
        <v>69670</v>
      </c>
      <c r="M125" s="235"/>
      <c r="N125" s="235"/>
      <c r="O125" s="235"/>
      <c r="P125" s="235"/>
      <c r="Q125" s="235"/>
      <c r="R125" s="235"/>
      <c r="S125" s="235"/>
      <c r="T125" s="235"/>
      <c r="U125" s="235">
        <v>1</v>
      </c>
      <c r="V125" s="235">
        <v>1</v>
      </c>
      <c r="W125" s="235">
        <v>69670</v>
      </c>
    </row>
    <row r="126" spans="1:23" x14ac:dyDescent="0.2">
      <c r="A126" s="590" t="s">
        <v>668</v>
      </c>
      <c r="B126" s="235"/>
      <c r="C126" s="235"/>
      <c r="D126" s="235"/>
      <c r="E126" s="235"/>
      <c r="F126" s="235"/>
      <c r="G126" s="235"/>
      <c r="H126" s="235"/>
      <c r="I126" s="235"/>
      <c r="J126" s="235">
        <v>1</v>
      </c>
      <c r="K126" s="235">
        <v>1</v>
      </c>
      <c r="L126" s="730">
        <v>84490</v>
      </c>
      <c r="M126" s="235"/>
      <c r="N126" s="235"/>
      <c r="O126" s="235"/>
      <c r="P126" s="235"/>
      <c r="Q126" s="235"/>
      <c r="R126" s="235"/>
      <c r="S126" s="235"/>
      <c r="T126" s="235"/>
      <c r="U126" s="235">
        <v>1</v>
      </c>
      <c r="V126" s="235">
        <v>1</v>
      </c>
      <c r="W126" s="235">
        <v>84490</v>
      </c>
    </row>
    <row r="127" spans="1:23" x14ac:dyDescent="0.2">
      <c r="A127" s="590" t="s">
        <v>669</v>
      </c>
      <c r="B127" s="235"/>
      <c r="C127" s="235"/>
      <c r="D127" s="235"/>
      <c r="E127" s="235"/>
      <c r="F127" s="235"/>
      <c r="G127" s="235"/>
      <c r="H127" s="235"/>
      <c r="I127" s="235"/>
      <c r="J127" s="235">
        <v>1</v>
      </c>
      <c r="K127" s="235">
        <v>1</v>
      </c>
      <c r="L127" s="730">
        <v>63127</v>
      </c>
      <c r="M127" s="235"/>
      <c r="N127" s="235"/>
      <c r="O127" s="235"/>
      <c r="P127" s="235"/>
      <c r="Q127" s="235"/>
      <c r="R127" s="235"/>
      <c r="S127" s="235"/>
      <c r="T127" s="235"/>
      <c r="U127" s="235">
        <v>1</v>
      </c>
      <c r="V127" s="235">
        <v>1</v>
      </c>
      <c r="W127" s="235">
        <v>63127</v>
      </c>
    </row>
    <row r="128" spans="1:23" x14ac:dyDescent="0.2">
      <c r="A128" s="590" t="s">
        <v>671</v>
      </c>
      <c r="B128" s="235"/>
      <c r="C128" s="235"/>
      <c r="D128" s="235"/>
      <c r="E128" s="235"/>
      <c r="F128" s="235"/>
      <c r="G128" s="235"/>
      <c r="H128" s="235"/>
      <c r="I128" s="235"/>
      <c r="J128" s="235">
        <v>3</v>
      </c>
      <c r="K128" s="235">
        <v>3</v>
      </c>
      <c r="L128" s="730">
        <v>218495</v>
      </c>
      <c r="M128" s="235"/>
      <c r="N128" s="235"/>
      <c r="O128" s="235"/>
      <c r="P128" s="235"/>
      <c r="Q128" s="235"/>
      <c r="R128" s="235"/>
      <c r="S128" s="235"/>
      <c r="T128" s="235"/>
      <c r="U128" s="235">
        <v>3</v>
      </c>
      <c r="V128" s="235">
        <v>3</v>
      </c>
      <c r="W128" s="235">
        <v>218495</v>
      </c>
    </row>
    <row r="129" spans="1:23" x14ac:dyDescent="0.2">
      <c r="A129" s="590" t="s">
        <v>672</v>
      </c>
      <c r="B129" s="235"/>
      <c r="C129" s="235"/>
      <c r="D129" s="235"/>
      <c r="E129" s="235"/>
      <c r="F129" s="235"/>
      <c r="G129" s="235"/>
      <c r="H129" s="235"/>
      <c r="I129" s="235"/>
      <c r="J129" s="235">
        <v>3</v>
      </c>
      <c r="K129" s="235">
        <v>3</v>
      </c>
      <c r="L129" s="730">
        <v>167471</v>
      </c>
      <c r="M129" s="235"/>
      <c r="N129" s="235"/>
      <c r="O129" s="235"/>
      <c r="P129" s="235"/>
      <c r="Q129" s="235"/>
      <c r="R129" s="235"/>
      <c r="S129" s="235"/>
      <c r="T129" s="235"/>
      <c r="U129" s="235">
        <v>3</v>
      </c>
      <c r="V129" s="235">
        <v>3</v>
      </c>
      <c r="W129" s="235">
        <v>167471</v>
      </c>
    </row>
    <row r="130" spans="1:23" x14ac:dyDescent="0.2">
      <c r="A130" s="590" t="s">
        <v>674</v>
      </c>
      <c r="B130" s="235"/>
      <c r="C130" s="235"/>
      <c r="D130" s="235"/>
      <c r="E130" s="235"/>
      <c r="F130" s="235"/>
      <c r="G130" s="235"/>
      <c r="H130" s="235"/>
      <c r="I130" s="235"/>
      <c r="J130" s="235">
        <v>2</v>
      </c>
      <c r="K130" s="235">
        <v>2</v>
      </c>
      <c r="L130" s="730">
        <v>129601</v>
      </c>
      <c r="M130" s="235"/>
      <c r="N130" s="235"/>
      <c r="O130" s="235"/>
      <c r="P130" s="235"/>
      <c r="Q130" s="235"/>
      <c r="R130" s="235"/>
      <c r="S130" s="235"/>
      <c r="T130" s="235"/>
      <c r="U130" s="235">
        <v>2</v>
      </c>
      <c r="V130" s="235">
        <v>2</v>
      </c>
      <c r="W130" s="235">
        <v>129601</v>
      </c>
    </row>
    <row r="131" spans="1:23" x14ac:dyDescent="0.2">
      <c r="A131" s="590" t="s">
        <v>675</v>
      </c>
      <c r="B131" s="235"/>
      <c r="C131" s="235"/>
      <c r="D131" s="235"/>
      <c r="E131" s="235"/>
      <c r="F131" s="235"/>
      <c r="G131" s="235"/>
      <c r="H131" s="235"/>
      <c r="I131" s="235"/>
      <c r="J131" s="235">
        <v>3</v>
      </c>
      <c r="K131" s="235">
        <v>3</v>
      </c>
      <c r="L131" s="730">
        <v>149941</v>
      </c>
      <c r="M131" s="235"/>
      <c r="N131" s="235"/>
      <c r="O131" s="235"/>
      <c r="P131" s="235"/>
      <c r="Q131" s="235"/>
      <c r="R131" s="235"/>
      <c r="S131" s="235"/>
      <c r="T131" s="235"/>
      <c r="U131" s="235">
        <v>3</v>
      </c>
      <c r="V131" s="235">
        <v>3</v>
      </c>
      <c r="W131" s="235">
        <v>149941</v>
      </c>
    </row>
    <row r="132" spans="1:23" x14ac:dyDescent="0.2">
      <c r="A132" s="590" t="s">
        <v>678</v>
      </c>
      <c r="B132" s="235"/>
      <c r="C132" s="235"/>
      <c r="D132" s="235"/>
      <c r="E132" s="235"/>
      <c r="F132" s="235"/>
      <c r="G132" s="235"/>
      <c r="H132" s="235"/>
      <c r="I132" s="235"/>
      <c r="J132" s="235">
        <v>8</v>
      </c>
      <c r="K132" s="235">
        <v>8</v>
      </c>
      <c r="L132" s="730">
        <v>379352</v>
      </c>
      <c r="M132" s="235"/>
      <c r="N132" s="235"/>
      <c r="O132" s="235"/>
      <c r="P132" s="235"/>
      <c r="Q132" s="235"/>
      <c r="R132" s="235"/>
      <c r="S132" s="235"/>
      <c r="T132" s="235"/>
      <c r="U132" s="235">
        <v>8</v>
      </c>
      <c r="V132" s="235">
        <v>8</v>
      </c>
      <c r="W132" s="235">
        <v>379352</v>
      </c>
    </row>
    <row r="133" spans="1:23" x14ac:dyDescent="0.2">
      <c r="A133" s="590" t="s">
        <v>681</v>
      </c>
      <c r="B133" s="235"/>
      <c r="C133" s="235"/>
      <c r="D133" s="235"/>
      <c r="E133" s="235"/>
      <c r="F133" s="235"/>
      <c r="G133" s="235"/>
      <c r="H133" s="235"/>
      <c r="I133" s="235"/>
      <c r="J133" s="235">
        <v>2</v>
      </c>
      <c r="K133" s="235">
        <v>2</v>
      </c>
      <c r="L133" s="730">
        <v>88274</v>
      </c>
      <c r="M133" s="235"/>
      <c r="N133" s="235"/>
      <c r="O133" s="235"/>
      <c r="P133" s="235"/>
      <c r="Q133" s="235"/>
      <c r="R133" s="235"/>
      <c r="S133" s="235"/>
      <c r="T133" s="235"/>
      <c r="U133" s="235">
        <v>2</v>
      </c>
      <c r="V133" s="235">
        <v>2</v>
      </c>
      <c r="W133" s="235">
        <v>88274</v>
      </c>
    </row>
    <row r="134" spans="1:23" x14ac:dyDescent="0.2">
      <c r="A134" s="590">
        <v>0</v>
      </c>
      <c r="B134" s="235"/>
      <c r="C134" s="235"/>
      <c r="D134" s="235"/>
      <c r="E134" s="235"/>
      <c r="F134" s="235"/>
      <c r="G134" s="235"/>
      <c r="H134" s="235"/>
      <c r="I134" s="235"/>
      <c r="J134" s="235">
        <v>2</v>
      </c>
      <c r="K134" s="235">
        <v>2</v>
      </c>
      <c r="L134" s="730">
        <v>60328</v>
      </c>
      <c r="M134" s="235"/>
      <c r="N134" s="235"/>
      <c r="O134" s="235"/>
      <c r="P134" s="235"/>
      <c r="Q134" s="235"/>
      <c r="R134" s="235"/>
      <c r="S134" s="235"/>
      <c r="T134" s="235"/>
      <c r="U134" s="235">
        <v>2</v>
      </c>
      <c r="V134" s="235">
        <v>2</v>
      </c>
      <c r="W134" s="235">
        <v>60328</v>
      </c>
    </row>
    <row r="135" spans="1:23" x14ac:dyDescent="0.2">
      <c r="A135" s="590" t="s">
        <v>837</v>
      </c>
      <c r="B135" s="235"/>
      <c r="C135" s="235"/>
      <c r="D135" s="235"/>
      <c r="E135" s="235"/>
      <c r="F135" s="235"/>
      <c r="G135" s="235"/>
      <c r="H135" s="235"/>
      <c r="I135" s="235"/>
      <c r="J135" s="235">
        <v>16</v>
      </c>
      <c r="K135" s="235">
        <v>16</v>
      </c>
      <c r="L135" s="730">
        <v>626539</v>
      </c>
      <c r="M135" s="235"/>
      <c r="N135" s="235"/>
      <c r="O135" s="235"/>
      <c r="P135" s="235"/>
      <c r="Q135" s="235"/>
      <c r="R135" s="235"/>
      <c r="S135" s="235"/>
      <c r="T135" s="235"/>
      <c r="U135" s="235">
        <v>16</v>
      </c>
      <c r="V135" s="235">
        <v>16</v>
      </c>
      <c r="W135" s="235">
        <v>626539</v>
      </c>
    </row>
    <row r="136" spans="1:23" x14ac:dyDescent="0.2">
      <c r="A136" s="768" t="s">
        <v>838</v>
      </c>
      <c r="B136" s="769"/>
      <c r="C136" s="769"/>
      <c r="D136" s="769"/>
      <c r="E136" s="769"/>
      <c r="F136" s="769"/>
      <c r="G136" s="769"/>
      <c r="H136" s="769"/>
      <c r="I136" s="769"/>
      <c r="J136" s="770">
        <v>3</v>
      </c>
      <c r="K136" s="770">
        <f>J136</f>
        <v>3</v>
      </c>
      <c r="L136" s="771">
        <f>SUM(L137:L138)</f>
        <v>219010</v>
      </c>
      <c r="M136" s="770"/>
      <c r="N136" s="770"/>
      <c r="O136" s="770"/>
      <c r="P136" s="770"/>
      <c r="Q136" s="770"/>
      <c r="R136" s="770"/>
      <c r="S136" s="770"/>
      <c r="T136" s="770"/>
      <c r="U136" s="770">
        <v>3</v>
      </c>
      <c r="V136" s="770">
        <v>3</v>
      </c>
      <c r="W136" s="772">
        <v>219010</v>
      </c>
    </row>
    <row r="137" spans="1:23" x14ac:dyDescent="0.2">
      <c r="A137" s="590" t="s">
        <v>839</v>
      </c>
      <c r="B137" s="235"/>
      <c r="C137" s="235"/>
      <c r="D137" s="235"/>
      <c r="E137" s="235"/>
      <c r="F137" s="235"/>
      <c r="G137" s="235"/>
      <c r="H137" s="235"/>
      <c r="I137" s="235"/>
      <c r="J137" s="235"/>
      <c r="K137" s="235">
        <v>2</v>
      </c>
      <c r="L137" s="730">
        <v>164535</v>
      </c>
      <c r="M137" s="235"/>
      <c r="N137" s="235"/>
      <c r="O137" s="235"/>
      <c r="P137" s="235"/>
      <c r="Q137" s="235"/>
      <c r="R137" s="235"/>
      <c r="S137" s="235"/>
      <c r="T137" s="235"/>
      <c r="U137" s="235"/>
      <c r="V137" s="235">
        <v>2</v>
      </c>
      <c r="W137" s="728">
        <v>164535</v>
      </c>
    </row>
    <row r="138" spans="1:23" ht="13.5" thickBot="1" x14ac:dyDescent="0.25">
      <c r="A138" s="590" t="s">
        <v>840</v>
      </c>
      <c r="B138" s="235"/>
      <c r="C138" s="235"/>
      <c r="D138" s="235"/>
      <c r="E138" s="235"/>
      <c r="F138" s="235"/>
      <c r="G138" s="235"/>
      <c r="H138" s="235"/>
      <c r="I138" s="235"/>
      <c r="J138" s="235"/>
      <c r="K138" s="235">
        <v>1</v>
      </c>
      <c r="L138" s="730">
        <v>54475</v>
      </c>
      <c r="M138" s="235"/>
      <c r="N138" s="235"/>
      <c r="O138" s="235"/>
      <c r="P138" s="235"/>
      <c r="Q138" s="235"/>
      <c r="R138" s="235"/>
      <c r="S138" s="235"/>
      <c r="T138" s="235"/>
      <c r="U138" s="235"/>
      <c r="V138" s="235">
        <v>1</v>
      </c>
      <c r="W138" s="728">
        <v>54475</v>
      </c>
    </row>
    <row r="139" spans="1:23" ht="13.5" thickBot="1" x14ac:dyDescent="0.25">
      <c r="A139" s="520" t="s">
        <v>21</v>
      </c>
      <c r="B139" s="773">
        <f>B110+B112+B117+B121</f>
        <v>126</v>
      </c>
      <c r="C139" s="773"/>
      <c r="D139" s="773"/>
      <c r="E139" s="773"/>
      <c r="F139" s="773"/>
      <c r="G139" s="773"/>
      <c r="H139" s="773"/>
      <c r="I139" s="773"/>
      <c r="J139" s="773">
        <f>J124+J136</f>
        <v>45</v>
      </c>
      <c r="K139" s="773">
        <f>B139+J139</f>
        <v>171</v>
      </c>
      <c r="L139" s="731">
        <f>L110+L112+L117+L121+L124+L136</f>
        <v>5304042</v>
      </c>
      <c r="M139" s="773">
        <v>126</v>
      </c>
      <c r="N139" s="773"/>
      <c r="O139" s="773"/>
      <c r="P139" s="773"/>
      <c r="Q139" s="773"/>
      <c r="R139" s="773"/>
      <c r="S139" s="773"/>
      <c r="T139" s="773"/>
      <c r="U139" s="773">
        <v>45</v>
      </c>
      <c r="V139" s="773">
        <v>171</v>
      </c>
      <c r="W139" s="773">
        <v>5304042</v>
      </c>
    </row>
    <row r="140" spans="1:23" x14ac:dyDescent="0.2">
      <c r="A140" s="255"/>
      <c r="B140" s="256"/>
      <c r="C140" s="256"/>
      <c r="D140" s="256"/>
      <c r="E140" s="256"/>
      <c r="F140" s="256"/>
      <c r="G140" s="256"/>
      <c r="H140" s="256"/>
      <c r="I140" s="256"/>
      <c r="J140" s="256"/>
      <c r="K140" s="256"/>
      <c r="L140" s="256"/>
      <c r="M140" s="256"/>
      <c r="N140" s="256"/>
      <c r="O140" s="256"/>
      <c r="P140" s="234"/>
      <c r="Q140" s="364"/>
      <c r="R140" s="233"/>
      <c r="S140" s="233"/>
      <c r="T140" s="234"/>
      <c r="U140" s="234"/>
      <c r="V140" s="234"/>
      <c r="W140" s="234"/>
    </row>
    <row r="141" spans="1:23" x14ac:dyDescent="0.2">
      <c r="A141" s="235"/>
      <c r="B141" s="235"/>
      <c r="C141" s="235"/>
      <c r="D141" s="235"/>
      <c r="E141" s="235"/>
      <c r="F141" s="235"/>
      <c r="G141" s="235"/>
      <c r="H141" s="235"/>
      <c r="I141" s="235"/>
      <c r="J141" s="235"/>
      <c r="K141" s="235"/>
      <c r="L141" s="235"/>
      <c r="M141" s="235"/>
      <c r="N141" s="235"/>
      <c r="O141" s="235"/>
      <c r="P141" s="234"/>
      <c r="Q141" s="364"/>
      <c r="R141" s="233"/>
      <c r="S141" s="233"/>
      <c r="T141" s="233"/>
      <c r="U141" s="233"/>
      <c r="V141" s="234"/>
      <c r="W141" s="234"/>
    </row>
    <row r="142" spans="1:23" ht="16.5" thickBot="1" x14ac:dyDescent="0.3">
      <c r="A142" s="474" t="s">
        <v>667</v>
      </c>
      <c r="B142" s="475"/>
      <c r="C142" s="475"/>
      <c r="D142" s="475"/>
      <c r="E142" s="475"/>
      <c r="F142" s="475"/>
      <c r="G142" s="475"/>
      <c r="H142" s="475"/>
      <c r="I142" s="475"/>
      <c r="J142" s="475"/>
      <c r="K142" s="475"/>
      <c r="L142" s="475"/>
      <c r="M142" s="475"/>
      <c r="N142" s="475"/>
      <c r="O142" s="475"/>
      <c r="P142" s="475"/>
      <c r="Q142" s="475"/>
      <c r="R142" s="475"/>
      <c r="S142" s="475"/>
      <c r="T142" s="475"/>
      <c r="U142" s="475"/>
      <c r="V142" s="475"/>
      <c r="W142" s="475"/>
    </row>
    <row r="143" spans="1:23" x14ac:dyDescent="0.2">
      <c r="A143" s="721" t="s">
        <v>10</v>
      </c>
      <c r="B143" s="1351" t="s">
        <v>419</v>
      </c>
      <c r="C143" s="1352"/>
      <c r="D143" s="1352"/>
      <c r="E143" s="1352"/>
      <c r="F143" s="1352"/>
      <c r="G143" s="1352"/>
      <c r="H143" s="1352"/>
      <c r="I143" s="1352"/>
      <c r="J143" s="1352"/>
      <c r="K143" s="1352"/>
      <c r="L143" s="1353"/>
      <c r="M143" s="1351" t="s">
        <v>420</v>
      </c>
      <c r="N143" s="1352"/>
      <c r="O143" s="1352"/>
      <c r="P143" s="1352"/>
      <c r="Q143" s="1352"/>
      <c r="R143" s="1352"/>
      <c r="S143" s="1352"/>
      <c r="T143" s="1352"/>
      <c r="U143" s="1352"/>
      <c r="V143" s="1352"/>
      <c r="W143" s="1353"/>
    </row>
    <row r="144" spans="1:23" ht="105.75" x14ac:dyDescent="0.2">
      <c r="A144" s="722" t="s">
        <v>9</v>
      </c>
      <c r="B144" s="723" t="s">
        <v>316</v>
      </c>
      <c r="C144" s="723" t="s">
        <v>113</v>
      </c>
      <c r="D144" s="724" t="s">
        <v>272</v>
      </c>
      <c r="E144" s="724" t="s">
        <v>266</v>
      </c>
      <c r="F144" s="724" t="s">
        <v>274</v>
      </c>
      <c r="G144" s="724" t="s">
        <v>275</v>
      </c>
      <c r="H144" s="724" t="s">
        <v>276</v>
      </c>
      <c r="I144" s="724" t="s">
        <v>283</v>
      </c>
      <c r="J144" s="725" t="s">
        <v>278</v>
      </c>
      <c r="K144" s="726" t="s">
        <v>280</v>
      </c>
      <c r="L144" s="727" t="s">
        <v>282</v>
      </c>
      <c r="M144" s="723" t="s">
        <v>316</v>
      </c>
      <c r="N144" s="723" t="s">
        <v>113</v>
      </c>
      <c r="O144" s="724" t="s">
        <v>272</v>
      </c>
      <c r="P144" s="724" t="s">
        <v>266</v>
      </c>
      <c r="Q144" s="724" t="s">
        <v>274</v>
      </c>
      <c r="R144" s="724" t="s">
        <v>275</v>
      </c>
      <c r="S144" s="724" t="s">
        <v>276</v>
      </c>
      <c r="T144" s="724" t="s">
        <v>283</v>
      </c>
      <c r="U144" s="725" t="s">
        <v>278</v>
      </c>
      <c r="V144" s="726" t="s">
        <v>280</v>
      </c>
      <c r="W144" s="727" t="s">
        <v>281</v>
      </c>
    </row>
    <row r="145" spans="1:23" x14ac:dyDescent="0.2">
      <c r="A145" s="590"/>
      <c r="B145" s="235"/>
      <c r="C145" s="235"/>
      <c r="D145" s="235"/>
      <c r="E145" s="235"/>
      <c r="F145" s="235"/>
      <c r="G145" s="235"/>
      <c r="H145" s="235"/>
      <c r="I145" s="235"/>
      <c r="J145" s="235"/>
      <c r="K145" s="235"/>
      <c r="L145" s="728"/>
      <c r="M145" s="235"/>
      <c r="N145" s="235"/>
      <c r="O145" s="235"/>
      <c r="P145" s="235"/>
      <c r="Q145" s="235"/>
      <c r="R145" s="235"/>
      <c r="S145" s="235"/>
      <c r="T145" s="235"/>
      <c r="U145" s="235"/>
      <c r="V145" s="235"/>
      <c r="W145" s="728"/>
    </row>
    <row r="146" spans="1:23" x14ac:dyDescent="0.2">
      <c r="A146" s="729" t="s">
        <v>7</v>
      </c>
      <c r="B146" s="246">
        <f t="shared" ref="B146:W146" si="14">SUM(B147:B154)</f>
        <v>12</v>
      </c>
      <c r="C146" s="246">
        <f t="shared" si="14"/>
        <v>0</v>
      </c>
      <c r="D146" s="246">
        <f t="shared" si="14"/>
        <v>0</v>
      </c>
      <c r="E146" s="246">
        <f t="shared" si="14"/>
        <v>0</v>
      </c>
      <c r="F146" s="246">
        <f t="shared" si="14"/>
        <v>0</v>
      </c>
      <c r="G146" s="246">
        <f t="shared" si="14"/>
        <v>0</v>
      </c>
      <c r="H146" s="246">
        <f t="shared" si="14"/>
        <v>0</v>
      </c>
      <c r="I146" s="246">
        <f t="shared" si="14"/>
        <v>0</v>
      </c>
      <c r="J146" s="246">
        <f t="shared" si="14"/>
        <v>0</v>
      </c>
      <c r="K146" s="246">
        <f t="shared" si="14"/>
        <v>12</v>
      </c>
      <c r="L146" s="740">
        <f t="shared" si="14"/>
        <v>590592</v>
      </c>
      <c r="M146" s="246">
        <f t="shared" si="14"/>
        <v>12</v>
      </c>
      <c r="N146" s="246">
        <f t="shared" si="14"/>
        <v>0</v>
      </c>
      <c r="O146" s="246">
        <f t="shared" si="14"/>
        <v>0</v>
      </c>
      <c r="P146" s="246">
        <f t="shared" si="14"/>
        <v>0</v>
      </c>
      <c r="Q146" s="246">
        <f t="shared" si="14"/>
        <v>0</v>
      </c>
      <c r="R146" s="246">
        <f t="shared" si="14"/>
        <v>0</v>
      </c>
      <c r="S146" s="246">
        <f t="shared" si="14"/>
        <v>0</v>
      </c>
      <c r="T146" s="246">
        <f t="shared" si="14"/>
        <v>0</v>
      </c>
      <c r="U146" s="246">
        <f t="shared" si="14"/>
        <v>0</v>
      </c>
      <c r="V146" s="246">
        <f t="shared" si="14"/>
        <v>12</v>
      </c>
      <c r="W146" s="740">
        <f t="shared" si="14"/>
        <v>590592</v>
      </c>
    </row>
    <row r="147" spans="1:23" x14ac:dyDescent="0.2">
      <c r="A147" s="590" t="s">
        <v>3</v>
      </c>
      <c r="B147" s="235"/>
      <c r="C147" s="235"/>
      <c r="D147" s="235"/>
      <c r="E147" s="235"/>
      <c r="F147" s="235"/>
      <c r="G147" s="235"/>
      <c r="H147" s="235"/>
      <c r="I147" s="235"/>
      <c r="J147" s="235"/>
      <c r="K147" s="235"/>
      <c r="L147" s="748"/>
      <c r="M147" s="235"/>
      <c r="N147" s="235"/>
      <c r="O147" s="235"/>
      <c r="P147" s="235"/>
      <c r="Q147" s="235"/>
      <c r="R147" s="235"/>
      <c r="S147" s="235"/>
      <c r="T147" s="235"/>
      <c r="U147" s="235"/>
      <c r="V147" s="235"/>
      <c r="W147" s="748"/>
    </row>
    <row r="148" spans="1:23" x14ac:dyDescent="0.2">
      <c r="A148" s="590" t="s">
        <v>577</v>
      </c>
      <c r="B148" s="235"/>
      <c r="C148" s="235"/>
      <c r="D148" s="235"/>
      <c r="E148" s="235"/>
      <c r="F148" s="235"/>
      <c r="G148" s="235"/>
      <c r="H148" s="235"/>
      <c r="I148" s="235"/>
      <c r="J148" s="235"/>
      <c r="K148" s="235"/>
      <c r="L148" s="748"/>
      <c r="M148" s="235"/>
      <c r="N148" s="235"/>
      <c r="O148" s="235"/>
      <c r="P148" s="235"/>
      <c r="Q148" s="235"/>
      <c r="R148" s="235"/>
      <c r="S148" s="235"/>
      <c r="T148" s="235"/>
      <c r="U148" s="235"/>
      <c r="V148" s="235"/>
      <c r="W148" s="748"/>
    </row>
    <row r="149" spans="1:23" x14ac:dyDescent="0.2">
      <c r="A149" s="590" t="s">
        <v>642</v>
      </c>
      <c r="B149" s="235"/>
      <c r="C149" s="235"/>
      <c r="D149" s="235"/>
      <c r="E149" s="235"/>
      <c r="F149" s="235"/>
      <c r="G149" s="235"/>
      <c r="H149" s="235"/>
      <c r="I149" s="235"/>
      <c r="J149" s="235"/>
      <c r="K149" s="235"/>
      <c r="L149" s="748"/>
      <c r="M149" s="235"/>
      <c r="N149" s="235"/>
      <c r="O149" s="235"/>
      <c r="P149" s="235"/>
      <c r="Q149" s="235"/>
      <c r="R149" s="235"/>
      <c r="S149" s="235"/>
      <c r="T149" s="235"/>
      <c r="U149" s="235"/>
      <c r="V149" s="235"/>
      <c r="W149" s="748"/>
    </row>
    <row r="150" spans="1:23" x14ac:dyDescent="0.2">
      <c r="A150" s="590" t="s">
        <v>578</v>
      </c>
      <c r="B150" s="235"/>
      <c r="C150" s="235"/>
      <c r="D150" s="235"/>
      <c r="E150" s="235"/>
      <c r="F150" s="235"/>
      <c r="G150" s="235"/>
      <c r="H150" s="235"/>
      <c r="I150" s="235"/>
      <c r="J150" s="235"/>
      <c r="K150" s="235"/>
      <c r="L150" s="748"/>
      <c r="M150" s="235"/>
      <c r="N150" s="235"/>
      <c r="O150" s="235"/>
      <c r="P150" s="235"/>
      <c r="Q150" s="235"/>
      <c r="R150" s="235"/>
      <c r="S150" s="235"/>
      <c r="T150" s="235"/>
      <c r="U150" s="235"/>
      <c r="V150" s="235"/>
      <c r="W150" s="748"/>
    </row>
    <row r="151" spans="1:23" x14ac:dyDescent="0.2">
      <c r="A151" s="590" t="s">
        <v>579</v>
      </c>
      <c r="B151" s="235"/>
      <c r="C151" s="235"/>
      <c r="D151" s="235"/>
      <c r="E151" s="235"/>
      <c r="F151" s="235"/>
      <c r="G151" s="235"/>
      <c r="H151" s="235"/>
      <c r="I151" s="235"/>
      <c r="J151" s="235"/>
      <c r="K151" s="235"/>
      <c r="L151" s="748"/>
      <c r="M151" s="235"/>
      <c r="N151" s="235"/>
      <c r="O151" s="235"/>
      <c r="P151" s="235"/>
      <c r="Q151" s="235"/>
      <c r="R151" s="235"/>
      <c r="S151" s="235"/>
      <c r="T151" s="235"/>
      <c r="U151" s="235"/>
      <c r="V151" s="235"/>
      <c r="W151" s="748"/>
    </row>
    <row r="152" spans="1:23" x14ac:dyDescent="0.2">
      <c r="A152" s="590" t="s">
        <v>580</v>
      </c>
      <c r="B152" s="235">
        <v>4</v>
      </c>
      <c r="C152" s="235"/>
      <c r="D152" s="235"/>
      <c r="E152" s="235"/>
      <c r="F152" s="235"/>
      <c r="G152" s="235"/>
      <c r="H152" s="235"/>
      <c r="I152" s="235"/>
      <c r="J152" s="235"/>
      <c r="K152" s="235">
        <f>B152</f>
        <v>4</v>
      </c>
      <c r="L152" s="748">
        <v>203120</v>
      </c>
      <c r="M152" s="235">
        <v>4</v>
      </c>
      <c r="N152" s="235"/>
      <c r="O152" s="235"/>
      <c r="P152" s="235"/>
      <c r="Q152" s="235"/>
      <c r="R152" s="235"/>
      <c r="S152" s="235"/>
      <c r="T152" s="235"/>
      <c r="U152" s="235"/>
      <c r="V152" s="235">
        <f>M152</f>
        <v>4</v>
      </c>
      <c r="W152" s="748">
        <v>203120</v>
      </c>
    </row>
    <row r="153" spans="1:23" x14ac:dyDescent="0.2">
      <c r="A153" s="590" t="s">
        <v>581</v>
      </c>
      <c r="B153" s="235">
        <v>7</v>
      </c>
      <c r="C153" s="235"/>
      <c r="D153" s="235"/>
      <c r="E153" s="235"/>
      <c r="F153" s="235"/>
      <c r="G153" s="235"/>
      <c r="H153" s="235"/>
      <c r="I153" s="235"/>
      <c r="J153" s="235"/>
      <c r="K153" s="235">
        <f>B153</f>
        <v>7</v>
      </c>
      <c r="L153" s="748">
        <v>339080</v>
      </c>
      <c r="M153" s="235">
        <v>7</v>
      </c>
      <c r="N153" s="235"/>
      <c r="O153" s="235"/>
      <c r="P153" s="235"/>
      <c r="Q153" s="235"/>
      <c r="R153" s="235"/>
      <c r="S153" s="235"/>
      <c r="T153" s="235"/>
      <c r="U153" s="235"/>
      <c r="V153" s="235">
        <f>M153</f>
        <v>7</v>
      </c>
      <c r="W153" s="748">
        <v>339080</v>
      </c>
    </row>
    <row r="154" spans="1:23" x14ac:dyDescent="0.2">
      <c r="A154" s="590" t="s">
        <v>12</v>
      </c>
      <c r="B154" s="235">
        <v>1</v>
      </c>
      <c r="C154" s="235"/>
      <c r="D154" s="235"/>
      <c r="E154" s="235"/>
      <c r="F154" s="235"/>
      <c r="G154" s="235"/>
      <c r="H154" s="235"/>
      <c r="I154" s="235"/>
      <c r="J154" s="235"/>
      <c r="K154" s="235">
        <f>B154</f>
        <v>1</v>
      </c>
      <c r="L154" s="748">
        <v>48392</v>
      </c>
      <c r="M154" s="235">
        <v>1</v>
      </c>
      <c r="N154" s="235"/>
      <c r="O154" s="235"/>
      <c r="P154" s="235"/>
      <c r="Q154" s="235"/>
      <c r="R154" s="235"/>
      <c r="S154" s="235"/>
      <c r="T154" s="235"/>
      <c r="U154" s="235"/>
      <c r="V154" s="235">
        <f>M154</f>
        <v>1</v>
      </c>
      <c r="W154" s="748">
        <v>48392</v>
      </c>
    </row>
    <row r="155" spans="1:23" x14ac:dyDescent="0.2">
      <c r="A155" s="669"/>
      <c r="B155" s="235"/>
      <c r="C155" s="235"/>
      <c r="D155" s="235"/>
      <c r="E155" s="235"/>
      <c r="F155" s="235"/>
      <c r="G155" s="235"/>
      <c r="H155" s="235"/>
      <c r="I155" s="235"/>
      <c r="J155" s="235"/>
      <c r="K155" s="235"/>
      <c r="L155" s="748"/>
      <c r="M155" s="235"/>
      <c r="N155" s="235"/>
      <c r="O155" s="235"/>
      <c r="P155" s="235"/>
      <c r="Q155" s="235"/>
      <c r="R155" s="235"/>
      <c r="S155" s="235"/>
      <c r="T155" s="235"/>
      <c r="U155" s="235"/>
      <c r="V155" s="235"/>
      <c r="W155" s="748"/>
    </row>
    <row r="156" spans="1:23" x14ac:dyDescent="0.2">
      <c r="A156" s="729" t="s">
        <v>4</v>
      </c>
      <c r="B156" s="246">
        <f t="shared" ref="B156:W156" si="15">SUM(B157:B162)</f>
        <v>33</v>
      </c>
      <c r="C156" s="246">
        <f t="shared" si="15"/>
        <v>0</v>
      </c>
      <c r="D156" s="246">
        <f t="shared" si="15"/>
        <v>0</v>
      </c>
      <c r="E156" s="246">
        <f t="shared" si="15"/>
        <v>0</v>
      </c>
      <c r="F156" s="246">
        <f t="shared" si="15"/>
        <v>0</v>
      </c>
      <c r="G156" s="246">
        <f t="shared" si="15"/>
        <v>0</v>
      </c>
      <c r="H156" s="246">
        <f t="shared" si="15"/>
        <v>0</v>
      </c>
      <c r="I156" s="246">
        <f t="shared" si="15"/>
        <v>0</v>
      </c>
      <c r="J156" s="246">
        <f t="shared" si="15"/>
        <v>0</v>
      </c>
      <c r="K156" s="246">
        <f t="shared" si="15"/>
        <v>33</v>
      </c>
      <c r="L156" s="740">
        <f t="shared" si="15"/>
        <v>1311200</v>
      </c>
      <c r="M156" s="246">
        <f t="shared" si="15"/>
        <v>33</v>
      </c>
      <c r="N156" s="246">
        <f t="shared" si="15"/>
        <v>0</v>
      </c>
      <c r="O156" s="246">
        <f t="shared" si="15"/>
        <v>0</v>
      </c>
      <c r="P156" s="246">
        <f t="shared" si="15"/>
        <v>0</v>
      </c>
      <c r="Q156" s="246">
        <f t="shared" si="15"/>
        <v>0</v>
      </c>
      <c r="R156" s="246">
        <f t="shared" si="15"/>
        <v>0</v>
      </c>
      <c r="S156" s="246">
        <f t="shared" si="15"/>
        <v>0</v>
      </c>
      <c r="T156" s="246">
        <f t="shared" si="15"/>
        <v>0</v>
      </c>
      <c r="U156" s="246">
        <f t="shared" si="15"/>
        <v>0</v>
      </c>
      <c r="V156" s="246">
        <f t="shared" si="15"/>
        <v>33</v>
      </c>
      <c r="W156" s="740">
        <f t="shared" si="15"/>
        <v>1311200</v>
      </c>
    </row>
    <row r="157" spans="1:23" x14ac:dyDescent="0.2">
      <c r="A157" s="590" t="s">
        <v>13</v>
      </c>
      <c r="B157" s="235">
        <v>1</v>
      </c>
      <c r="C157" s="235"/>
      <c r="D157" s="235"/>
      <c r="E157" s="235"/>
      <c r="F157" s="235"/>
      <c r="G157" s="235"/>
      <c r="H157" s="235"/>
      <c r="I157" s="235"/>
      <c r="J157" s="235"/>
      <c r="K157" s="235">
        <f>B157</f>
        <v>1</v>
      </c>
      <c r="L157" s="748">
        <v>41560</v>
      </c>
      <c r="M157" s="235">
        <v>1</v>
      </c>
      <c r="N157" s="235"/>
      <c r="O157" s="235"/>
      <c r="P157" s="235"/>
      <c r="Q157" s="235"/>
      <c r="R157" s="235"/>
      <c r="S157" s="235"/>
      <c r="T157" s="235"/>
      <c r="U157" s="235"/>
      <c r="V157" s="235">
        <f>M157</f>
        <v>1</v>
      </c>
      <c r="W157" s="748">
        <v>41560</v>
      </c>
    </row>
    <row r="158" spans="1:23" x14ac:dyDescent="0.2">
      <c r="A158" s="590" t="s">
        <v>582</v>
      </c>
      <c r="B158" s="235">
        <v>1</v>
      </c>
      <c r="C158" s="235"/>
      <c r="D158" s="235"/>
      <c r="E158" s="235"/>
      <c r="F158" s="235"/>
      <c r="G158" s="235"/>
      <c r="H158" s="235"/>
      <c r="I158" s="235"/>
      <c r="J158" s="235"/>
      <c r="K158" s="235">
        <f>B158</f>
        <v>1</v>
      </c>
      <c r="L158" s="748">
        <v>42320</v>
      </c>
      <c r="M158" s="235">
        <v>1</v>
      </c>
      <c r="N158" s="235"/>
      <c r="O158" s="235"/>
      <c r="P158" s="235"/>
      <c r="Q158" s="235"/>
      <c r="R158" s="235"/>
      <c r="S158" s="235"/>
      <c r="T158" s="235"/>
      <c r="U158" s="235"/>
      <c r="V158" s="235">
        <f>M158</f>
        <v>1</v>
      </c>
      <c r="W158" s="748">
        <v>42320</v>
      </c>
    </row>
    <row r="159" spans="1:23" x14ac:dyDescent="0.2">
      <c r="A159" s="590" t="s">
        <v>583</v>
      </c>
      <c r="B159" s="235">
        <v>7</v>
      </c>
      <c r="C159" s="235"/>
      <c r="D159" s="235"/>
      <c r="E159" s="235"/>
      <c r="F159" s="235"/>
      <c r="G159" s="235"/>
      <c r="H159" s="235"/>
      <c r="I159" s="235"/>
      <c r="J159" s="235"/>
      <c r="K159" s="235">
        <f>B159</f>
        <v>7</v>
      </c>
      <c r="L159" s="748">
        <v>266840</v>
      </c>
      <c r="M159" s="235">
        <v>7</v>
      </c>
      <c r="N159" s="235"/>
      <c r="O159" s="235"/>
      <c r="P159" s="235"/>
      <c r="Q159" s="235"/>
      <c r="R159" s="235"/>
      <c r="S159" s="235"/>
      <c r="T159" s="235"/>
      <c r="U159" s="235"/>
      <c r="V159" s="235">
        <f>M159</f>
        <v>7</v>
      </c>
      <c r="W159" s="748">
        <v>266840</v>
      </c>
    </row>
    <row r="160" spans="1:23" x14ac:dyDescent="0.2">
      <c r="A160" s="590" t="s">
        <v>584</v>
      </c>
      <c r="B160" s="235">
        <v>4</v>
      </c>
      <c r="C160" s="235"/>
      <c r="D160" s="235"/>
      <c r="E160" s="235"/>
      <c r="F160" s="235"/>
      <c r="G160" s="235"/>
      <c r="H160" s="235"/>
      <c r="I160" s="235"/>
      <c r="J160" s="235"/>
      <c r="K160" s="235">
        <f>B160</f>
        <v>4</v>
      </c>
      <c r="L160" s="748">
        <v>150080</v>
      </c>
      <c r="M160" s="235">
        <v>4</v>
      </c>
      <c r="N160" s="235"/>
      <c r="O160" s="235"/>
      <c r="P160" s="235"/>
      <c r="Q160" s="235"/>
      <c r="R160" s="235"/>
      <c r="S160" s="235"/>
      <c r="T160" s="235"/>
      <c r="U160" s="235"/>
      <c r="V160" s="235">
        <f>M160</f>
        <v>4</v>
      </c>
      <c r="W160" s="748">
        <v>150080</v>
      </c>
    </row>
    <row r="161" spans="1:23" x14ac:dyDescent="0.2">
      <c r="A161" s="590" t="s">
        <v>14</v>
      </c>
      <c r="B161" s="235">
        <v>20</v>
      </c>
      <c r="C161" s="235"/>
      <c r="D161" s="235"/>
      <c r="E161" s="235"/>
      <c r="F161" s="235"/>
      <c r="G161" s="235"/>
      <c r="H161" s="235"/>
      <c r="I161" s="235"/>
      <c r="J161" s="235"/>
      <c r="K161" s="235">
        <f>B161</f>
        <v>20</v>
      </c>
      <c r="L161" s="748">
        <v>810400</v>
      </c>
      <c r="M161" s="235">
        <v>20</v>
      </c>
      <c r="N161" s="235"/>
      <c r="O161" s="235"/>
      <c r="P161" s="235"/>
      <c r="Q161" s="235"/>
      <c r="R161" s="235"/>
      <c r="S161" s="235"/>
      <c r="T161" s="235"/>
      <c r="U161" s="235"/>
      <c r="V161" s="235">
        <f>M161</f>
        <v>20</v>
      </c>
      <c r="W161" s="748">
        <v>810400</v>
      </c>
    </row>
    <row r="162" spans="1:23" x14ac:dyDescent="0.2">
      <c r="A162" s="590" t="s">
        <v>585</v>
      </c>
      <c r="B162" s="235"/>
      <c r="C162" s="235"/>
      <c r="D162" s="235"/>
      <c r="E162" s="235"/>
      <c r="F162" s="235"/>
      <c r="G162" s="235"/>
      <c r="H162" s="235"/>
      <c r="I162" s="235"/>
      <c r="J162" s="235"/>
      <c r="K162" s="235"/>
      <c r="L162" s="748">
        <v>0</v>
      </c>
      <c r="M162" s="235"/>
      <c r="N162" s="235"/>
      <c r="O162" s="235"/>
      <c r="P162" s="235"/>
      <c r="Q162" s="235"/>
      <c r="R162" s="235"/>
      <c r="S162" s="235"/>
      <c r="T162" s="235"/>
      <c r="U162" s="235"/>
      <c r="V162" s="235"/>
      <c r="W162" s="748">
        <v>0</v>
      </c>
    </row>
    <row r="163" spans="1:23" x14ac:dyDescent="0.2">
      <c r="A163" s="590"/>
      <c r="B163" s="235"/>
      <c r="C163" s="235"/>
      <c r="D163" s="235"/>
      <c r="E163" s="235"/>
      <c r="F163" s="235"/>
      <c r="G163" s="235"/>
      <c r="H163" s="235"/>
      <c r="I163" s="235"/>
      <c r="J163" s="235"/>
      <c r="K163" s="235"/>
      <c r="L163" s="748"/>
      <c r="M163" s="235"/>
      <c r="N163" s="235"/>
      <c r="O163" s="235"/>
      <c r="P163" s="235"/>
      <c r="Q163" s="235"/>
      <c r="R163" s="235"/>
      <c r="S163" s="235"/>
      <c r="T163" s="235"/>
      <c r="U163" s="235"/>
      <c r="V163" s="235"/>
      <c r="W163" s="748"/>
    </row>
    <row r="164" spans="1:23" x14ac:dyDescent="0.2">
      <c r="A164" s="729" t="s">
        <v>5</v>
      </c>
      <c r="B164" s="246">
        <f t="shared" ref="B164:W164" si="16">SUM(B165:B170)</f>
        <v>93</v>
      </c>
      <c r="C164" s="246">
        <f t="shared" si="16"/>
        <v>0</v>
      </c>
      <c r="D164" s="246">
        <f t="shared" si="16"/>
        <v>0</v>
      </c>
      <c r="E164" s="246">
        <f t="shared" si="16"/>
        <v>0</v>
      </c>
      <c r="F164" s="246">
        <f t="shared" si="16"/>
        <v>0</v>
      </c>
      <c r="G164" s="246">
        <f t="shared" si="16"/>
        <v>0</v>
      </c>
      <c r="H164" s="246">
        <f t="shared" si="16"/>
        <v>0</v>
      </c>
      <c r="I164" s="246">
        <f t="shared" si="16"/>
        <v>0</v>
      </c>
      <c r="J164" s="246">
        <f t="shared" si="16"/>
        <v>0</v>
      </c>
      <c r="K164" s="246">
        <f t="shared" si="16"/>
        <v>93</v>
      </c>
      <c r="L164" s="740">
        <f t="shared" si="16"/>
        <v>2630716.0800000005</v>
      </c>
      <c r="M164" s="246">
        <f t="shared" si="16"/>
        <v>93</v>
      </c>
      <c r="N164" s="246">
        <f t="shared" si="16"/>
        <v>0</v>
      </c>
      <c r="O164" s="246">
        <f t="shared" si="16"/>
        <v>0</v>
      </c>
      <c r="P164" s="246">
        <f t="shared" si="16"/>
        <v>0</v>
      </c>
      <c r="Q164" s="246">
        <f t="shared" si="16"/>
        <v>0</v>
      </c>
      <c r="R164" s="246">
        <f t="shared" si="16"/>
        <v>0</v>
      </c>
      <c r="S164" s="246">
        <f t="shared" si="16"/>
        <v>0</v>
      </c>
      <c r="T164" s="246">
        <f t="shared" si="16"/>
        <v>0</v>
      </c>
      <c r="U164" s="246">
        <f t="shared" si="16"/>
        <v>0</v>
      </c>
      <c r="V164" s="246">
        <f t="shared" si="16"/>
        <v>93</v>
      </c>
      <c r="W164" s="740">
        <f t="shared" si="16"/>
        <v>2630716.0800000005</v>
      </c>
    </row>
    <row r="165" spans="1:23" x14ac:dyDescent="0.2">
      <c r="A165" s="590" t="s">
        <v>15</v>
      </c>
      <c r="B165" s="235">
        <v>40</v>
      </c>
      <c r="C165" s="235"/>
      <c r="D165" s="235"/>
      <c r="E165" s="235"/>
      <c r="F165" s="235"/>
      <c r="G165" s="235"/>
      <c r="H165" s="235"/>
      <c r="I165" s="235"/>
      <c r="J165" s="235"/>
      <c r="K165" s="235">
        <f t="shared" ref="K165:K170" si="17">B165</f>
        <v>40</v>
      </c>
      <c r="L165" s="748">
        <v>1108847.6800000002</v>
      </c>
      <c r="M165" s="235">
        <v>40</v>
      </c>
      <c r="N165" s="235"/>
      <c r="O165" s="235"/>
      <c r="P165" s="235"/>
      <c r="Q165" s="235"/>
      <c r="R165" s="235"/>
      <c r="S165" s="235"/>
      <c r="T165" s="235"/>
      <c r="U165" s="235"/>
      <c r="V165" s="235">
        <f t="shared" ref="V165:V170" si="18">M165</f>
        <v>40</v>
      </c>
      <c r="W165" s="748">
        <v>1108847.6800000002</v>
      </c>
    </row>
    <row r="166" spans="1:23" x14ac:dyDescent="0.2">
      <c r="A166" s="590" t="s">
        <v>586</v>
      </c>
      <c r="B166" s="235">
        <v>7</v>
      </c>
      <c r="C166" s="235"/>
      <c r="D166" s="235"/>
      <c r="E166" s="235"/>
      <c r="F166" s="235"/>
      <c r="G166" s="235"/>
      <c r="H166" s="235"/>
      <c r="I166" s="235"/>
      <c r="J166" s="235"/>
      <c r="K166" s="235">
        <f t="shared" si="17"/>
        <v>7</v>
      </c>
      <c r="L166" s="748">
        <v>193639.60000000003</v>
      </c>
      <c r="M166" s="235">
        <v>7</v>
      </c>
      <c r="N166" s="235"/>
      <c r="O166" s="235"/>
      <c r="P166" s="235"/>
      <c r="Q166" s="235"/>
      <c r="R166" s="235"/>
      <c r="S166" s="235"/>
      <c r="T166" s="235"/>
      <c r="U166" s="235"/>
      <c r="V166" s="235">
        <f t="shared" si="18"/>
        <v>7</v>
      </c>
      <c r="W166" s="748">
        <v>193639.60000000003</v>
      </c>
    </row>
    <row r="167" spans="1:23" x14ac:dyDescent="0.2">
      <c r="A167" s="590" t="s">
        <v>587</v>
      </c>
      <c r="B167" s="235">
        <v>9</v>
      </c>
      <c r="C167" s="235"/>
      <c r="D167" s="235"/>
      <c r="E167" s="235"/>
      <c r="F167" s="235"/>
      <c r="G167" s="235"/>
      <c r="H167" s="235"/>
      <c r="I167" s="235"/>
      <c r="J167" s="235"/>
      <c r="K167" s="235">
        <f t="shared" si="17"/>
        <v>9</v>
      </c>
      <c r="L167" s="748">
        <v>248425.2</v>
      </c>
      <c r="M167" s="235">
        <v>9</v>
      </c>
      <c r="N167" s="235"/>
      <c r="O167" s="235"/>
      <c r="P167" s="235"/>
      <c r="Q167" s="235"/>
      <c r="R167" s="235"/>
      <c r="S167" s="235"/>
      <c r="T167" s="235"/>
      <c r="U167" s="235"/>
      <c r="V167" s="235">
        <f t="shared" si="18"/>
        <v>9</v>
      </c>
      <c r="W167" s="748">
        <v>248425.2</v>
      </c>
    </row>
    <row r="168" spans="1:23" x14ac:dyDescent="0.2">
      <c r="A168" s="590" t="s">
        <v>588</v>
      </c>
      <c r="B168" s="235">
        <v>1</v>
      </c>
      <c r="C168" s="235"/>
      <c r="D168" s="235"/>
      <c r="E168" s="235"/>
      <c r="F168" s="235"/>
      <c r="G168" s="235"/>
      <c r="H168" s="235"/>
      <c r="I168" s="235"/>
      <c r="J168" s="235"/>
      <c r="K168" s="235">
        <f t="shared" si="17"/>
        <v>1</v>
      </c>
      <c r="L168" s="748">
        <v>27542.800000000003</v>
      </c>
      <c r="M168" s="235">
        <v>1</v>
      </c>
      <c r="N168" s="235"/>
      <c r="O168" s="235"/>
      <c r="P168" s="235"/>
      <c r="Q168" s="235"/>
      <c r="R168" s="235"/>
      <c r="S168" s="235"/>
      <c r="T168" s="235"/>
      <c r="U168" s="235"/>
      <c r="V168" s="235">
        <f t="shared" si="18"/>
        <v>1</v>
      </c>
      <c r="W168" s="748">
        <v>27542.800000000003</v>
      </c>
    </row>
    <row r="169" spans="1:23" x14ac:dyDescent="0.2">
      <c r="A169" s="590" t="s">
        <v>643</v>
      </c>
      <c r="B169" s="235">
        <v>34</v>
      </c>
      <c r="C169" s="235"/>
      <c r="D169" s="235"/>
      <c r="E169" s="235"/>
      <c r="F169" s="235"/>
      <c r="G169" s="235"/>
      <c r="H169" s="235"/>
      <c r="I169" s="235"/>
      <c r="J169" s="235"/>
      <c r="K169" s="235">
        <f t="shared" si="17"/>
        <v>34</v>
      </c>
      <c r="L169" s="748">
        <v>997655.20000000007</v>
      </c>
      <c r="M169" s="235">
        <v>34</v>
      </c>
      <c r="N169" s="235"/>
      <c r="O169" s="235"/>
      <c r="P169" s="235"/>
      <c r="Q169" s="235"/>
      <c r="R169" s="235"/>
      <c r="S169" s="235"/>
      <c r="T169" s="235"/>
      <c r="U169" s="235"/>
      <c r="V169" s="235">
        <f t="shared" si="18"/>
        <v>34</v>
      </c>
      <c r="W169" s="748">
        <v>997655.20000000007</v>
      </c>
    </row>
    <row r="170" spans="1:23" x14ac:dyDescent="0.2">
      <c r="A170" s="590" t="s">
        <v>589</v>
      </c>
      <c r="B170" s="235">
        <v>2</v>
      </c>
      <c r="C170" s="235"/>
      <c r="D170" s="235"/>
      <c r="E170" s="235"/>
      <c r="F170" s="235"/>
      <c r="G170" s="235"/>
      <c r="H170" s="235"/>
      <c r="I170" s="235"/>
      <c r="J170" s="235"/>
      <c r="K170" s="235">
        <f t="shared" si="17"/>
        <v>2</v>
      </c>
      <c r="L170" s="748">
        <v>54605.600000000006</v>
      </c>
      <c r="M170" s="235">
        <v>2</v>
      </c>
      <c r="N170" s="235"/>
      <c r="O170" s="235"/>
      <c r="P170" s="235"/>
      <c r="Q170" s="235"/>
      <c r="R170" s="235"/>
      <c r="S170" s="235"/>
      <c r="T170" s="235"/>
      <c r="U170" s="235"/>
      <c r="V170" s="235">
        <f t="shared" si="18"/>
        <v>2</v>
      </c>
      <c r="W170" s="748">
        <v>54605.600000000006</v>
      </c>
    </row>
    <row r="171" spans="1:23" x14ac:dyDescent="0.2">
      <c r="A171" s="590"/>
      <c r="B171" s="235"/>
      <c r="C171" s="235"/>
      <c r="D171" s="235"/>
      <c r="E171" s="235"/>
      <c r="F171" s="235"/>
      <c r="G171" s="235"/>
      <c r="H171" s="235"/>
      <c r="I171" s="235"/>
      <c r="J171" s="235"/>
      <c r="K171" s="235"/>
      <c r="L171" s="748"/>
      <c r="M171" s="235"/>
      <c r="N171" s="235"/>
      <c r="O171" s="235"/>
      <c r="P171" s="235"/>
      <c r="Q171" s="235"/>
      <c r="R171" s="235"/>
      <c r="S171" s="235"/>
      <c r="T171" s="235"/>
      <c r="U171" s="235"/>
      <c r="V171" s="235"/>
      <c r="W171" s="748"/>
    </row>
    <row r="172" spans="1:23" x14ac:dyDescent="0.2">
      <c r="A172" s="729" t="s">
        <v>6</v>
      </c>
      <c r="B172" s="246">
        <f t="shared" ref="B172:W172" si="19">SUM(B173:B177)</f>
        <v>474</v>
      </c>
      <c r="C172" s="246">
        <f t="shared" si="19"/>
        <v>0</v>
      </c>
      <c r="D172" s="246">
        <f t="shared" si="19"/>
        <v>0</v>
      </c>
      <c r="E172" s="246">
        <f t="shared" si="19"/>
        <v>0</v>
      </c>
      <c r="F172" s="246">
        <f t="shared" si="19"/>
        <v>0</v>
      </c>
      <c r="G172" s="246">
        <f t="shared" si="19"/>
        <v>0</v>
      </c>
      <c r="H172" s="246">
        <f t="shared" si="19"/>
        <v>0</v>
      </c>
      <c r="I172" s="246">
        <f t="shared" si="19"/>
        <v>0</v>
      </c>
      <c r="J172" s="246">
        <f t="shared" si="19"/>
        <v>0</v>
      </c>
      <c r="K172" s="246">
        <f t="shared" si="19"/>
        <v>474</v>
      </c>
      <c r="L172" s="740">
        <f t="shared" si="19"/>
        <v>12727956</v>
      </c>
      <c r="M172" s="246">
        <f t="shared" si="19"/>
        <v>474</v>
      </c>
      <c r="N172" s="246">
        <f t="shared" si="19"/>
        <v>0</v>
      </c>
      <c r="O172" s="246">
        <f t="shared" si="19"/>
        <v>0</v>
      </c>
      <c r="P172" s="246">
        <f t="shared" si="19"/>
        <v>0</v>
      </c>
      <c r="Q172" s="246">
        <f t="shared" si="19"/>
        <v>0</v>
      </c>
      <c r="R172" s="246">
        <f t="shared" si="19"/>
        <v>0</v>
      </c>
      <c r="S172" s="246">
        <f t="shared" si="19"/>
        <v>0</v>
      </c>
      <c r="T172" s="246">
        <f t="shared" si="19"/>
        <v>0</v>
      </c>
      <c r="U172" s="246">
        <f t="shared" si="19"/>
        <v>0</v>
      </c>
      <c r="V172" s="246">
        <f t="shared" si="19"/>
        <v>474</v>
      </c>
      <c r="W172" s="740">
        <f t="shared" si="19"/>
        <v>12727956</v>
      </c>
    </row>
    <row r="173" spans="1:23" x14ac:dyDescent="0.2">
      <c r="A173" s="590" t="s">
        <v>16</v>
      </c>
      <c r="B173" s="235">
        <v>67</v>
      </c>
      <c r="C173" s="235"/>
      <c r="D173" s="235"/>
      <c r="E173" s="235"/>
      <c r="F173" s="235"/>
      <c r="G173" s="235"/>
      <c r="H173" s="235"/>
      <c r="I173" s="235"/>
      <c r="J173" s="235"/>
      <c r="K173" s="235">
        <f>B173</f>
        <v>67</v>
      </c>
      <c r="L173" s="748">
        <v>1813288</v>
      </c>
      <c r="M173" s="235">
        <v>67</v>
      </c>
      <c r="N173" s="235"/>
      <c r="O173" s="235"/>
      <c r="P173" s="235"/>
      <c r="Q173" s="235"/>
      <c r="R173" s="235"/>
      <c r="S173" s="235"/>
      <c r="T173" s="235"/>
      <c r="U173" s="235"/>
      <c r="V173" s="235">
        <f>M173</f>
        <v>67</v>
      </c>
      <c r="W173" s="748">
        <v>1813288</v>
      </c>
    </row>
    <row r="174" spans="1:23" x14ac:dyDescent="0.2">
      <c r="A174" s="590" t="s">
        <v>590</v>
      </c>
      <c r="B174" s="235">
        <v>82</v>
      </c>
      <c r="C174" s="235"/>
      <c r="D174" s="235"/>
      <c r="E174" s="235"/>
      <c r="F174" s="235"/>
      <c r="G174" s="235"/>
      <c r="H174" s="235"/>
      <c r="I174" s="235"/>
      <c r="J174" s="235"/>
      <c r="K174" s="235">
        <f>B174</f>
        <v>82</v>
      </c>
      <c r="L174" s="748">
        <v>2214328</v>
      </c>
      <c r="M174" s="235">
        <v>82</v>
      </c>
      <c r="N174" s="235"/>
      <c r="O174" s="235"/>
      <c r="P174" s="235"/>
      <c r="Q174" s="235"/>
      <c r="R174" s="235"/>
      <c r="S174" s="235"/>
      <c r="T174" s="235"/>
      <c r="U174" s="235"/>
      <c r="V174" s="235">
        <f>M174</f>
        <v>82</v>
      </c>
      <c r="W174" s="748">
        <v>2214328</v>
      </c>
    </row>
    <row r="175" spans="1:23" x14ac:dyDescent="0.2">
      <c r="A175" s="590" t="s">
        <v>591</v>
      </c>
      <c r="B175" s="235">
        <v>0</v>
      </c>
      <c r="C175" s="235"/>
      <c r="D175" s="235"/>
      <c r="E175" s="235"/>
      <c r="F175" s="235"/>
      <c r="G175" s="235"/>
      <c r="H175" s="235"/>
      <c r="I175" s="235"/>
      <c r="J175" s="235"/>
      <c r="K175" s="235">
        <f>B175</f>
        <v>0</v>
      </c>
      <c r="L175" s="748">
        <v>0</v>
      </c>
      <c r="M175" s="235">
        <v>0</v>
      </c>
      <c r="N175" s="235"/>
      <c r="O175" s="235"/>
      <c r="P175" s="235"/>
      <c r="Q175" s="235"/>
      <c r="R175" s="235"/>
      <c r="S175" s="235"/>
      <c r="T175" s="235"/>
      <c r="U175" s="235"/>
      <c r="V175" s="235">
        <f>M175</f>
        <v>0</v>
      </c>
      <c r="W175" s="748">
        <v>0</v>
      </c>
    </row>
    <row r="176" spans="1:23" x14ac:dyDescent="0.2">
      <c r="A176" s="590" t="s">
        <v>644</v>
      </c>
      <c r="B176" s="235">
        <v>17</v>
      </c>
      <c r="C176" s="235"/>
      <c r="D176" s="235"/>
      <c r="E176" s="235"/>
      <c r="F176" s="235"/>
      <c r="G176" s="235"/>
      <c r="H176" s="235"/>
      <c r="I176" s="235"/>
      <c r="J176" s="235"/>
      <c r="K176" s="235">
        <f>B176</f>
        <v>17</v>
      </c>
      <c r="L176" s="748">
        <v>457028</v>
      </c>
      <c r="M176" s="235">
        <v>17</v>
      </c>
      <c r="N176" s="235"/>
      <c r="O176" s="235"/>
      <c r="P176" s="235"/>
      <c r="Q176" s="235"/>
      <c r="R176" s="235"/>
      <c r="S176" s="235"/>
      <c r="T176" s="235"/>
      <c r="U176" s="235"/>
      <c r="V176" s="235">
        <f>M176</f>
        <v>17</v>
      </c>
      <c r="W176" s="748">
        <v>457028</v>
      </c>
    </row>
    <row r="177" spans="1:23" x14ac:dyDescent="0.2">
      <c r="A177" s="590" t="s">
        <v>645</v>
      </c>
      <c r="B177" s="235">
        <v>308</v>
      </c>
      <c r="C177" s="235"/>
      <c r="D177" s="235"/>
      <c r="E177" s="235"/>
      <c r="F177" s="235"/>
      <c r="G177" s="235"/>
      <c r="H177" s="235"/>
      <c r="I177" s="235"/>
      <c r="J177" s="235"/>
      <c r="K177" s="235">
        <f>B177</f>
        <v>308</v>
      </c>
      <c r="L177" s="748">
        <v>8243312</v>
      </c>
      <c r="M177" s="235">
        <v>308</v>
      </c>
      <c r="N177" s="235"/>
      <c r="O177" s="235"/>
      <c r="P177" s="235"/>
      <c r="Q177" s="235"/>
      <c r="R177" s="235"/>
      <c r="S177" s="235"/>
      <c r="T177" s="235"/>
      <c r="U177" s="235"/>
      <c r="V177" s="235">
        <f>M177</f>
        <v>308</v>
      </c>
      <c r="W177" s="748">
        <v>8243312</v>
      </c>
    </row>
    <row r="178" spans="1:23" x14ac:dyDescent="0.2">
      <c r="A178" s="590"/>
      <c r="B178" s="235"/>
      <c r="C178" s="235"/>
      <c r="D178" s="235"/>
      <c r="E178" s="235"/>
      <c r="F178" s="235"/>
      <c r="G178" s="235"/>
      <c r="H178" s="235"/>
      <c r="I178" s="235"/>
      <c r="J178" s="235"/>
      <c r="K178" s="235"/>
      <c r="L178" s="748">
        <v>0</v>
      </c>
      <c r="M178" s="235"/>
      <c r="N178" s="235"/>
      <c r="O178" s="235"/>
      <c r="P178" s="235"/>
      <c r="Q178" s="235"/>
      <c r="R178" s="235"/>
      <c r="S178" s="235"/>
      <c r="T178" s="235"/>
      <c r="U178" s="235"/>
      <c r="V178" s="235"/>
      <c r="W178" s="748">
        <v>0</v>
      </c>
    </row>
    <row r="179" spans="1:23" x14ac:dyDescent="0.2">
      <c r="A179" s="590"/>
      <c r="B179" s="235"/>
      <c r="C179" s="235"/>
      <c r="D179" s="235"/>
      <c r="E179" s="235"/>
      <c r="F179" s="235"/>
      <c r="G179" s="235"/>
      <c r="H179" s="235"/>
      <c r="I179" s="235"/>
      <c r="J179" s="235"/>
      <c r="K179" s="235"/>
      <c r="L179" s="748"/>
      <c r="M179" s="235"/>
      <c r="N179" s="235"/>
      <c r="O179" s="235"/>
      <c r="P179" s="235"/>
      <c r="Q179" s="235"/>
      <c r="R179" s="235"/>
      <c r="S179" s="235"/>
      <c r="T179" s="235"/>
      <c r="U179" s="235"/>
      <c r="V179" s="235"/>
      <c r="W179" s="748"/>
    </row>
    <row r="180" spans="1:23" x14ac:dyDescent="0.2">
      <c r="A180" s="729" t="s">
        <v>841</v>
      </c>
      <c r="B180" s="246">
        <f>SUM(B181:B213)</f>
        <v>0</v>
      </c>
      <c r="C180" s="246">
        <f>SUM(C181:C213)</f>
        <v>0</v>
      </c>
      <c r="D180" s="246">
        <f t="shared" ref="D180:I180" si="20">SUM(D181:D185)</f>
        <v>0</v>
      </c>
      <c r="E180" s="246">
        <f t="shared" si="20"/>
        <v>0</v>
      </c>
      <c r="F180" s="246">
        <f t="shared" si="20"/>
        <v>0</v>
      </c>
      <c r="G180" s="246">
        <f t="shared" si="20"/>
        <v>0</v>
      </c>
      <c r="H180" s="246">
        <f t="shared" si="20"/>
        <v>0</v>
      </c>
      <c r="I180" s="246">
        <f t="shared" si="20"/>
        <v>0</v>
      </c>
      <c r="J180" s="246">
        <f>SUM(J181:J213)</f>
        <v>4159</v>
      </c>
      <c r="K180" s="246">
        <f>SUM(K181:K213)</f>
        <v>4159</v>
      </c>
      <c r="L180" s="740">
        <f>SUM(L181:L213)</f>
        <v>154946145.91977999</v>
      </c>
      <c r="M180" s="246">
        <f>SUM(M181:M213)</f>
        <v>0</v>
      </c>
      <c r="N180" s="246">
        <f t="shared" ref="N180:T180" si="21">SUM(N181:N185)</f>
        <v>0</v>
      </c>
      <c r="O180" s="246">
        <f t="shared" si="21"/>
        <v>0</v>
      </c>
      <c r="P180" s="246">
        <f t="shared" si="21"/>
        <v>0</v>
      </c>
      <c r="Q180" s="246">
        <f t="shared" si="21"/>
        <v>0</v>
      </c>
      <c r="R180" s="246">
        <f t="shared" si="21"/>
        <v>0</v>
      </c>
      <c r="S180" s="246">
        <f t="shared" si="21"/>
        <v>0</v>
      </c>
      <c r="T180" s="246">
        <f t="shared" si="21"/>
        <v>0</v>
      </c>
      <c r="U180" s="246">
        <f>SUM(U181:U213)</f>
        <v>3990</v>
      </c>
      <c r="V180" s="246">
        <f>SUM(V181:V213)</f>
        <v>3990</v>
      </c>
      <c r="W180" s="740">
        <f>SUM(W181:W213)</f>
        <v>149263105.92495999</v>
      </c>
    </row>
    <row r="181" spans="1:23" x14ac:dyDescent="0.2">
      <c r="A181" s="590" t="s">
        <v>668</v>
      </c>
      <c r="B181" s="235"/>
      <c r="C181" s="235"/>
      <c r="D181" s="235"/>
      <c r="E181" s="235"/>
      <c r="F181" s="235"/>
      <c r="G181" s="235"/>
      <c r="H181" s="235"/>
      <c r="I181" s="235"/>
      <c r="J181" s="235">
        <v>18</v>
      </c>
      <c r="K181" s="235">
        <f t="shared" ref="K181:K213" si="22">+J181</f>
        <v>18</v>
      </c>
      <c r="L181" s="748">
        <v>1517040</v>
      </c>
      <c r="M181" s="235"/>
      <c r="N181" s="235"/>
      <c r="O181" s="235"/>
      <c r="P181" s="235"/>
      <c r="Q181" s="235"/>
      <c r="R181" s="235"/>
      <c r="S181" s="235"/>
      <c r="T181" s="235"/>
      <c r="U181" s="235">
        <v>18</v>
      </c>
      <c r="V181" s="235">
        <f t="shared" ref="V181:V213" si="23">+U181</f>
        <v>18</v>
      </c>
      <c r="W181" s="748">
        <v>1517040</v>
      </c>
    </row>
    <row r="182" spans="1:23" x14ac:dyDescent="0.2">
      <c r="A182" s="590" t="s">
        <v>669</v>
      </c>
      <c r="B182" s="235"/>
      <c r="C182" s="235"/>
      <c r="D182" s="235"/>
      <c r="E182" s="235"/>
      <c r="F182" s="235"/>
      <c r="G182" s="235"/>
      <c r="H182" s="235"/>
      <c r="I182" s="235"/>
      <c r="J182" s="235">
        <v>36</v>
      </c>
      <c r="K182" s="235">
        <f t="shared" si="22"/>
        <v>36</v>
      </c>
      <c r="L182" s="748">
        <v>2723040</v>
      </c>
      <c r="M182" s="235"/>
      <c r="N182" s="235"/>
      <c r="O182" s="235"/>
      <c r="P182" s="235"/>
      <c r="Q182" s="235"/>
      <c r="R182" s="235"/>
      <c r="S182" s="235"/>
      <c r="T182" s="235"/>
      <c r="U182" s="235">
        <v>36</v>
      </c>
      <c r="V182" s="235">
        <f t="shared" si="23"/>
        <v>36</v>
      </c>
      <c r="W182" s="748">
        <v>2723040</v>
      </c>
    </row>
    <row r="183" spans="1:23" x14ac:dyDescent="0.2">
      <c r="A183" s="590" t="s">
        <v>670</v>
      </c>
      <c r="B183" s="235"/>
      <c r="C183" s="235"/>
      <c r="D183" s="235"/>
      <c r="E183" s="235"/>
      <c r="F183" s="235"/>
      <c r="G183" s="235"/>
      <c r="H183" s="235"/>
      <c r="I183" s="235"/>
      <c r="J183" s="235">
        <v>0</v>
      </c>
      <c r="K183" s="235">
        <f t="shared" si="22"/>
        <v>0</v>
      </c>
      <c r="L183" s="748">
        <v>0</v>
      </c>
      <c r="M183" s="235"/>
      <c r="N183" s="235"/>
      <c r="O183" s="235"/>
      <c r="P183" s="235"/>
      <c r="Q183" s="235"/>
      <c r="R183" s="235"/>
      <c r="S183" s="235"/>
      <c r="T183" s="235"/>
      <c r="U183" s="235">
        <v>0</v>
      </c>
      <c r="V183" s="235">
        <f t="shared" si="23"/>
        <v>0</v>
      </c>
      <c r="W183" s="748">
        <v>0</v>
      </c>
    </row>
    <row r="184" spans="1:23" x14ac:dyDescent="0.2">
      <c r="A184" s="590" t="s">
        <v>671</v>
      </c>
      <c r="B184" s="235"/>
      <c r="C184" s="235"/>
      <c r="D184" s="235"/>
      <c r="E184" s="235"/>
      <c r="F184" s="235"/>
      <c r="G184" s="235"/>
      <c r="H184" s="235"/>
      <c r="I184" s="235"/>
      <c r="J184" s="235">
        <v>77</v>
      </c>
      <c r="K184" s="235">
        <f t="shared" si="22"/>
        <v>77</v>
      </c>
      <c r="L184" s="748">
        <v>5992447.8399999999</v>
      </c>
      <c r="M184" s="235"/>
      <c r="N184" s="235"/>
      <c r="O184" s="235"/>
      <c r="P184" s="235"/>
      <c r="Q184" s="235"/>
      <c r="R184" s="235"/>
      <c r="S184" s="235"/>
      <c r="T184" s="235"/>
      <c r="U184" s="235">
        <v>77</v>
      </c>
      <c r="V184" s="235">
        <f t="shared" si="23"/>
        <v>77</v>
      </c>
      <c r="W184" s="748">
        <v>5992447.8399999999</v>
      </c>
    </row>
    <row r="185" spans="1:23" x14ac:dyDescent="0.2">
      <c r="A185" s="590" t="s">
        <v>672</v>
      </c>
      <c r="B185" s="235"/>
      <c r="C185" s="235"/>
      <c r="D185" s="235"/>
      <c r="E185" s="235"/>
      <c r="F185" s="235"/>
      <c r="G185" s="235"/>
      <c r="H185" s="235"/>
      <c r="I185" s="235"/>
      <c r="J185" s="235">
        <v>166</v>
      </c>
      <c r="K185" s="235">
        <f t="shared" si="22"/>
        <v>166</v>
      </c>
      <c r="L185" s="748">
        <v>7934600.8000000007</v>
      </c>
      <c r="M185" s="235"/>
      <c r="N185" s="235"/>
      <c r="O185" s="235"/>
      <c r="P185" s="235"/>
      <c r="Q185" s="235"/>
      <c r="R185" s="235"/>
      <c r="S185" s="235"/>
      <c r="T185" s="235"/>
      <c r="U185" s="235">
        <v>166</v>
      </c>
      <c r="V185" s="235">
        <f t="shared" si="23"/>
        <v>166</v>
      </c>
      <c r="W185" s="748">
        <v>7934600.8000000007</v>
      </c>
    </row>
    <row r="186" spans="1:23" x14ac:dyDescent="0.2">
      <c r="A186" s="590" t="s">
        <v>673</v>
      </c>
      <c r="B186" s="235"/>
      <c r="C186" s="235"/>
      <c r="D186" s="235"/>
      <c r="E186" s="235"/>
      <c r="F186" s="235"/>
      <c r="G186" s="235"/>
      <c r="H186" s="235"/>
      <c r="I186" s="235"/>
      <c r="J186" s="235">
        <v>0</v>
      </c>
      <c r="K186" s="235">
        <f t="shared" si="22"/>
        <v>0</v>
      </c>
      <c r="L186" s="748">
        <v>0</v>
      </c>
      <c r="M186" s="235"/>
      <c r="N186" s="235"/>
      <c r="O186" s="235"/>
      <c r="P186" s="235"/>
      <c r="Q186" s="235"/>
      <c r="R186" s="235"/>
      <c r="S186" s="235"/>
      <c r="T186" s="235"/>
      <c r="U186" s="235">
        <v>0</v>
      </c>
      <c r="V186" s="235">
        <f t="shared" si="23"/>
        <v>0</v>
      </c>
      <c r="W186" s="748">
        <v>0</v>
      </c>
    </row>
    <row r="187" spans="1:23" x14ac:dyDescent="0.2">
      <c r="A187" s="590" t="s">
        <v>674</v>
      </c>
      <c r="B187" s="235"/>
      <c r="C187" s="235"/>
      <c r="D187" s="235"/>
      <c r="E187" s="235"/>
      <c r="F187" s="235"/>
      <c r="G187" s="235"/>
      <c r="H187" s="235"/>
      <c r="I187" s="235"/>
      <c r="J187" s="235">
        <v>143</v>
      </c>
      <c r="K187" s="235">
        <f t="shared" si="22"/>
        <v>143</v>
      </c>
      <c r="L187" s="748">
        <v>8374652</v>
      </c>
      <c r="M187" s="235"/>
      <c r="N187" s="235"/>
      <c r="O187" s="235"/>
      <c r="P187" s="235"/>
      <c r="Q187" s="235"/>
      <c r="R187" s="235"/>
      <c r="S187" s="235"/>
      <c r="T187" s="235"/>
      <c r="U187" s="235">
        <v>143</v>
      </c>
      <c r="V187" s="235">
        <f t="shared" si="23"/>
        <v>143</v>
      </c>
      <c r="W187" s="748">
        <v>8374652</v>
      </c>
    </row>
    <row r="188" spans="1:23" x14ac:dyDescent="0.2">
      <c r="A188" s="590" t="s">
        <v>675</v>
      </c>
      <c r="B188" s="235"/>
      <c r="C188" s="235"/>
      <c r="D188" s="235"/>
      <c r="E188" s="235"/>
      <c r="F188" s="235"/>
      <c r="G188" s="235"/>
      <c r="H188" s="235"/>
      <c r="I188" s="235"/>
      <c r="J188" s="235">
        <v>325</v>
      </c>
      <c r="K188" s="235">
        <f t="shared" si="22"/>
        <v>325</v>
      </c>
      <c r="L188" s="748">
        <v>13831441</v>
      </c>
      <c r="M188" s="235"/>
      <c r="N188" s="235"/>
      <c r="O188" s="235"/>
      <c r="P188" s="235"/>
      <c r="Q188" s="235"/>
      <c r="R188" s="235"/>
      <c r="S188" s="235"/>
      <c r="T188" s="235"/>
      <c r="U188" s="235">
        <v>325</v>
      </c>
      <c r="V188" s="235">
        <f t="shared" si="23"/>
        <v>325</v>
      </c>
      <c r="W188" s="748">
        <v>13831441</v>
      </c>
    </row>
    <row r="189" spans="1:23" x14ac:dyDescent="0.2">
      <c r="A189" s="590" t="s">
        <v>676</v>
      </c>
      <c r="B189" s="235"/>
      <c r="C189" s="235"/>
      <c r="D189" s="235"/>
      <c r="E189" s="235"/>
      <c r="F189" s="235"/>
      <c r="G189" s="235"/>
      <c r="H189" s="235"/>
      <c r="I189" s="235"/>
      <c r="J189" s="235">
        <v>0</v>
      </c>
      <c r="K189" s="235">
        <f t="shared" si="22"/>
        <v>0</v>
      </c>
      <c r="L189" s="748">
        <v>0</v>
      </c>
      <c r="M189" s="235"/>
      <c r="N189" s="235"/>
      <c r="O189" s="235"/>
      <c r="P189" s="235"/>
      <c r="Q189" s="235"/>
      <c r="R189" s="235"/>
      <c r="S189" s="235"/>
      <c r="T189" s="235"/>
      <c r="U189" s="235">
        <v>0</v>
      </c>
      <c r="V189" s="235">
        <f t="shared" si="23"/>
        <v>0</v>
      </c>
      <c r="W189" s="748">
        <v>0</v>
      </c>
    </row>
    <row r="190" spans="1:23" x14ac:dyDescent="0.2">
      <c r="A190" s="590" t="s">
        <v>677</v>
      </c>
      <c r="B190" s="235"/>
      <c r="C190" s="235"/>
      <c r="D190" s="235"/>
      <c r="E190" s="235"/>
      <c r="F190" s="235"/>
      <c r="G190" s="235"/>
      <c r="H190" s="235"/>
      <c r="I190" s="235"/>
      <c r="J190" s="235">
        <v>52</v>
      </c>
      <c r="K190" s="235">
        <f t="shared" si="22"/>
        <v>52</v>
      </c>
      <c r="L190" s="748">
        <v>2682156.90496</v>
      </c>
      <c r="M190" s="235"/>
      <c r="N190" s="235"/>
      <c r="O190" s="235"/>
      <c r="P190" s="235"/>
      <c r="Q190" s="235"/>
      <c r="R190" s="235"/>
      <c r="S190" s="235"/>
      <c r="T190" s="235"/>
      <c r="U190" s="235">
        <v>52</v>
      </c>
      <c r="V190" s="235">
        <f t="shared" si="23"/>
        <v>52</v>
      </c>
      <c r="W190" s="748">
        <v>2682156.90496</v>
      </c>
    </row>
    <row r="191" spans="1:23" x14ac:dyDescent="0.2">
      <c r="A191" s="590" t="s">
        <v>678</v>
      </c>
      <c r="B191" s="235"/>
      <c r="C191" s="235"/>
      <c r="D191" s="235"/>
      <c r="E191" s="235"/>
      <c r="F191" s="235"/>
      <c r="G191" s="235"/>
      <c r="H191" s="235"/>
      <c r="I191" s="235"/>
      <c r="J191" s="235">
        <v>559</v>
      </c>
      <c r="K191" s="235">
        <f t="shared" si="22"/>
        <v>559</v>
      </c>
      <c r="L191" s="748">
        <v>21675784</v>
      </c>
      <c r="M191" s="235"/>
      <c r="N191" s="235"/>
      <c r="O191" s="235"/>
      <c r="P191" s="235"/>
      <c r="Q191" s="235"/>
      <c r="R191" s="235"/>
      <c r="S191" s="235"/>
      <c r="T191" s="235"/>
      <c r="U191" s="235">
        <v>559</v>
      </c>
      <c r="V191" s="235">
        <f t="shared" si="23"/>
        <v>559</v>
      </c>
      <c r="W191" s="748">
        <v>21675784</v>
      </c>
    </row>
    <row r="192" spans="1:23" x14ac:dyDescent="0.2">
      <c r="A192" s="590" t="s">
        <v>679</v>
      </c>
      <c r="B192" s="235"/>
      <c r="C192" s="235"/>
      <c r="D192" s="235"/>
      <c r="E192" s="235"/>
      <c r="F192" s="235"/>
      <c r="G192" s="235"/>
      <c r="H192" s="235"/>
      <c r="I192" s="235"/>
      <c r="J192" s="235">
        <v>0</v>
      </c>
      <c r="K192" s="235">
        <f t="shared" si="22"/>
        <v>0</v>
      </c>
      <c r="L192" s="748">
        <v>0</v>
      </c>
      <c r="M192" s="235"/>
      <c r="N192" s="235"/>
      <c r="O192" s="235"/>
      <c r="P192" s="235"/>
      <c r="Q192" s="235"/>
      <c r="R192" s="235"/>
      <c r="S192" s="235"/>
      <c r="T192" s="235"/>
      <c r="U192" s="235">
        <v>0</v>
      </c>
      <c r="V192" s="235">
        <f t="shared" si="23"/>
        <v>0</v>
      </c>
      <c r="W192" s="748">
        <v>0</v>
      </c>
    </row>
    <row r="193" spans="1:23" x14ac:dyDescent="0.2">
      <c r="A193" s="590" t="s">
        <v>680</v>
      </c>
      <c r="B193" s="235"/>
      <c r="C193" s="235"/>
      <c r="D193" s="235"/>
      <c r="E193" s="235"/>
      <c r="F193" s="235"/>
      <c r="G193" s="235"/>
      <c r="H193" s="235"/>
      <c r="I193" s="235"/>
      <c r="J193" s="235">
        <v>40</v>
      </c>
      <c r="K193" s="235">
        <f t="shared" si="22"/>
        <v>40</v>
      </c>
      <c r="L193" s="748">
        <v>1951840</v>
      </c>
      <c r="M193" s="235"/>
      <c r="N193" s="235"/>
      <c r="O193" s="235"/>
      <c r="P193" s="235"/>
      <c r="Q193" s="235"/>
      <c r="R193" s="235"/>
      <c r="S193" s="235"/>
      <c r="T193" s="235"/>
      <c r="U193" s="235">
        <v>40</v>
      </c>
      <c r="V193" s="235">
        <f t="shared" si="23"/>
        <v>40</v>
      </c>
      <c r="W193" s="748">
        <v>1951840</v>
      </c>
    </row>
    <row r="194" spans="1:23" x14ac:dyDescent="0.2">
      <c r="A194" s="590" t="s">
        <v>681</v>
      </c>
      <c r="B194" s="235"/>
      <c r="C194" s="235"/>
      <c r="D194" s="235"/>
      <c r="E194" s="235"/>
      <c r="F194" s="235"/>
      <c r="G194" s="235"/>
      <c r="H194" s="235"/>
      <c r="I194" s="235"/>
      <c r="J194" s="235">
        <v>603</v>
      </c>
      <c r="K194" s="235">
        <f t="shared" si="22"/>
        <v>603</v>
      </c>
      <c r="L194" s="748">
        <v>23830919.954819996</v>
      </c>
      <c r="M194" s="235"/>
      <c r="N194" s="235"/>
      <c r="O194" s="235"/>
      <c r="P194" s="235"/>
      <c r="Q194" s="235"/>
      <c r="R194" s="235"/>
      <c r="S194" s="235"/>
      <c r="T194" s="235"/>
      <c r="U194" s="235">
        <v>603</v>
      </c>
      <c r="V194" s="235">
        <f t="shared" si="23"/>
        <v>603</v>
      </c>
      <c r="W194" s="748">
        <v>23830560</v>
      </c>
    </row>
    <row r="195" spans="1:23" x14ac:dyDescent="0.2">
      <c r="A195" s="590" t="s">
        <v>682</v>
      </c>
      <c r="B195" s="235"/>
      <c r="C195" s="235"/>
      <c r="D195" s="235"/>
      <c r="E195" s="235"/>
      <c r="F195" s="235"/>
      <c r="G195" s="235"/>
      <c r="H195" s="235"/>
      <c r="I195" s="235"/>
      <c r="J195" s="235">
        <v>0</v>
      </c>
      <c r="K195" s="235">
        <f t="shared" si="22"/>
        <v>0</v>
      </c>
      <c r="L195" s="748">
        <v>0</v>
      </c>
      <c r="M195" s="235"/>
      <c r="N195" s="235"/>
      <c r="O195" s="235"/>
      <c r="P195" s="235"/>
      <c r="Q195" s="235"/>
      <c r="R195" s="235"/>
      <c r="S195" s="235"/>
      <c r="T195" s="235"/>
      <c r="U195" s="235">
        <v>0</v>
      </c>
      <c r="V195" s="235">
        <f t="shared" si="23"/>
        <v>0</v>
      </c>
      <c r="W195" s="748">
        <v>0</v>
      </c>
    </row>
    <row r="196" spans="1:23" x14ac:dyDescent="0.2">
      <c r="A196" s="590" t="s">
        <v>683</v>
      </c>
      <c r="B196" s="235"/>
      <c r="C196" s="235"/>
      <c r="D196" s="235"/>
      <c r="E196" s="235"/>
      <c r="F196" s="235"/>
      <c r="G196" s="235"/>
      <c r="H196" s="235"/>
      <c r="I196" s="235"/>
      <c r="J196" s="235">
        <v>27</v>
      </c>
      <c r="K196" s="235">
        <f t="shared" si="22"/>
        <v>27</v>
      </c>
      <c r="L196" s="748">
        <v>1313279.3799999999</v>
      </c>
      <c r="M196" s="235"/>
      <c r="N196" s="235"/>
      <c r="O196" s="235"/>
      <c r="P196" s="235"/>
      <c r="Q196" s="235"/>
      <c r="R196" s="235"/>
      <c r="S196" s="235"/>
      <c r="T196" s="235"/>
      <c r="U196" s="235">
        <v>27</v>
      </c>
      <c r="V196" s="235">
        <f t="shared" si="23"/>
        <v>27</v>
      </c>
      <c r="W196" s="748">
        <v>1313279.3799999999</v>
      </c>
    </row>
    <row r="197" spans="1:23" x14ac:dyDescent="0.2">
      <c r="A197" s="590" t="s">
        <v>684</v>
      </c>
      <c r="B197" s="235"/>
      <c r="C197" s="235"/>
      <c r="D197" s="235"/>
      <c r="E197" s="235"/>
      <c r="F197" s="235"/>
      <c r="G197" s="235"/>
      <c r="H197" s="235"/>
      <c r="I197" s="235"/>
      <c r="J197" s="235">
        <v>1889</v>
      </c>
      <c r="K197" s="235">
        <f t="shared" si="22"/>
        <v>1889</v>
      </c>
      <c r="L197" s="748">
        <v>58423672.039999999</v>
      </c>
      <c r="M197" s="235"/>
      <c r="N197" s="235"/>
      <c r="O197" s="235"/>
      <c r="P197" s="235"/>
      <c r="Q197" s="235"/>
      <c r="R197" s="235"/>
      <c r="S197" s="235"/>
      <c r="T197" s="235"/>
      <c r="U197" s="235">
        <v>1720</v>
      </c>
      <c r="V197" s="235">
        <f t="shared" si="23"/>
        <v>1720</v>
      </c>
      <c r="W197" s="748">
        <v>53289416</v>
      </c>
    </row>
    <row r="198" spans="1:23" x14ac:dyDescent="0.2">
      <c r="A198" s="590" t="s">
        <v>685</v>
      </c>
      <c r="B198" s="235"/>
      <c r="C198" s="235"/>
      <c r="D198" s="235"/>
      <c r="E198" s="235"/>
      <c r="F198" s="235"/>
      <c r="G198" s="235"/>
      <c r="H198" s="235"/>
      <c r="I198" s="235"/>
      <c r="J198" s="235">
        <v>0</v>
      </c>
      <c r="K198" s="235">
        <f t="shared" si="22"/>
        <v>0</v>
      </c>
      <c r="L198" s="748">
        <v>0</v>
      </c>
      <c r="M198" s="235"/>
      <c r="N198" s="235"/>
      <c r="O198" s="235"/>
      <c r="P198" s="235"/>
      <c r="Q198" s="235"/>
      <c r="R198" s="235"/>
      <c r="S198" s="235"/>
      <c r="T198" s="235"/>
      <c r="U198" s="235">
        <v>0</v>
      </c>
      <c r="V198" s="235">
        <f t="shared" si="23"/>
        <v>0</v>
      </c>
      <c r="W198" s="748">
        <v>0</v>
      </c>
    </row>
    <row r="199" spans="1:23" x14ac:dyDescent="0.2">
      <c r="A199" s="590" t="s">
        <v>686</v>
      </c>
      <c r="B199" s="235"/>
      <c r="C199" s="235"/>
      <c r="D199" s="235"/>
      <c r="E199" s="235"/>
      <c r="F199" s="235"/>
      <c r="G199" s="235"/>
      <c r="H199" s="235"/>
      <c r="I199" s="235"/>
      <c r="J199" s="235">
        <v>0</v>
      </c>
      <c r="K199" s="235">
        <f t="shared" si="22"/>
        <v>0</v>
      </c>
      <c r="L199" s="748">
        <v>0</v>
      </c>
      <c r="M199" s="235"/>
      <c r="N199" s="235"/>
      <c r="O199" s="235"/>
      <c r="P199" s="235"/>
      <c r="Q199" s="235"/>
      <c r="R199" s="235"/>
      <c r="S199" s="235"/>
      <c r="T199" s="235"/>
      <c r="U199" s="235">
        <v>0</v>
      </c>
      <c r="V199" s="235">
        <f t="shared" si="23"/>
        <v>0</v>
      </c>
      <c r="W199" s="748">
        <v>0</v>
      </c>
    </row>
    <row r="200" spans="1:23" x14ac:dyDescent="0.2">
      <c r="A200" s="590" t="s">
        <v>687</v>
      </c>
      <c r="B200" s="235"/>
      <c r="C200" s="235"/>
      <c r="D200" s="235"/>
      <c r="E200" s="235"/>
      <c r="F200" s="235"/>
      <c r="G200" s="235"/>
      <c r="H200" s="235"/>
      <c r="I200" s="235"/>
      <c r="J200" s="235">
        <v>3</v>
      </c>
      <c r="K200" s="235">
        <f t="shared" si="22"/>
        <v>3</v>
      </c>
      <c r="L200" s="748">
        <v>74424</v>
      </c>
      <c r="M200" s="235"/>
      <c r="N200" s="235"/>
      <c r="O200" s="235"/>
      <c r="P200" s="235"/>
      <c r="Q200" s="235"/>
      <c r="R200" s="235"/>
      <c r="S200" s="235"/>
      <c r="T200" s="235"/>
      <c r="U200" s="235">
        <v>3</v>
      </c>
      <c r="V200" s="235">
        <f t="shared" si="23"/>
        <v>3</v>
      </c>
      <c r="W200" s="748">
        <v>70824</v>
      </c>
    </row>
    <row r="201" spans="1:23" x14ac:dyDescent="0.2">
      <c r="A201" s="590" t="s">
        <v>688</v>
      </c>
      <c r="B201" s="235"/>
      <c r="C201" s="235"/>
      <c r="D201" s="235"/>
      <c r="E201" s="235"/>
      <c r="F201" s="235"/>
      <c r="G201" s="235"/>
      <c r="H201" s="235"/>
      <c r="I201" s="235"/>
      <c r="J201" s="235">
        <v>1</v>
      </c>
      <c r="K201" s="235">
        <f t="shared" si="22"/>
        <v>1</v>
      </c>
      <c r="L201" s="748">
        <v>24808</v>
      </c>
      <c r="M201" s="235"/>
      <c r="N201" s="235"/>
      <c r="O201" s="235"/>
      <c r="P201" s="235"/>
      <c r="Q201" s="235"/>
      <c r="R201" s="235"/>
      <c r="S201" s="235"/>
      <c r="T201" s="235"/>
      <c r="U201" s="235">
        <v>1</v>
      </c>
      <c r="V201" s="235">
        <f t="shared" si="23"/>
        <v>1</v>
      </c>
      <c r="W201" s="748">
        <v>23608</v>
      </c>
    </row>
    <row r="202" spans="1:23" x14ac:dyDescent="0.2">
      <c r="A202" s="590" t="s">
        <v>689</v>
      </c>
      <c r="B202" s="235"/>
      <c r="C202" s="235"/>
      <c r="D202" s="235"/>
      <c r="E202" s="235"/>
      <c r="F202" s="235"/>
      <c r="G202" s="235"/>
      <c r="H202" s="235"/>
      <c r="I202" s="235"/>
      <c r="J202" s="235">
        <v>0</v>
      </c>
      <c r="K202" s="235">
        <f t="shared" si="22"/>
        <v>0</v>
      </c>
      <c r="L202" s="748">
        <v>0</v>
      </c>
      <c r="M202" s="235"/>
      <c r="N202" s="235"/>
      <c r="O202" s="235"/>
      <c r="P202" s="235"/>
      <c r="Q202" s="235"/>
      <c r="R202" s="235"/>
      <c r="S202" s="235"/>
      <c r="T202" s="235"/>
      <c r="U202" s="235">
        <v>0</v>
      </c>
      <c r="V202" s="235">
        <f t="shared" si="23"/>
        <v>0</v>
      </c>
      <c r="W202" s="748">
        <v>0</v>
      </c>
    </row>
    <row r="203" spans="1:23" x14ac:dyDescent="0.2">
      <c r="A203" s="590" t="s">
        <v>690</v>
      </c>
      <c r="B203" s="235"/>
      <c r="C203" s="235"/>
      <c r="D203" s="235"/>
      <c r="E203" s="235"/>
      <c r="F203" s="235"/>
      <c r="G203" s="235"/>
      <c r="H203" s="235"/>
      <c r="I203" s="235"/>
      <c r="J203" s="235">
        <v>1</v>
      </c>
      <c r="K203" s="235">
        <f t="shared" si="22"/>
        <v>1</v>
      </c>
      <c r="L203" s="748">
        <v>24808</v>
      </c>
      <c r="M203" s="235"/>
      <c r="N203" s="235"/>
      <c r="O203" s="235"/>
      <c r="P203" s="235"/>
      <c r="Q203" s="235"/>
      <c r="R203" s="235"/>
      <c r="S203" s="235"/>
      <c r="T203" s="235"/>
      <c r="U203" s="235">
        <v>1</v>
      </c>
      <c r="V203" s="235">
        <f t="shared" si="23"/>
        <v>1</v>
      </c>
      <c r="W203" s="748">
        <v>1984</v>
      </c>
    </row>
    <row r="204" spans="1:23" x14ac:dyDescent="0.2">
      <c r="A204" s="590" t="s">
        <v>691</v>
      </c>
      <c r="B204" s="235"/>
      <c r="C204" s="235"/>
      <c r="D204" s="235"/>
      <c r="E204" s="235"/>
      <c r="F204" s="235"/>
      <c r="G204" s="235"/>
      <c r="H204" s="235"/>
      <c r="I204" s="235"/>
      <c r="J204" s="235">
        <v>0</v>
      </c>
      <c r="K204" s="235">
        <f t="shared" si="22"/>
        <v>0</v>
      </c>
      <c r="L204" s="748">
        <v>0</v>
      </c>
      <c r="M204" s="235"/>
      <c r="N204" s="235"/>
      <c r="O204" s="235"/>
      <c r="P204" s="235"/>
      <c r="Q204" s="235"/>
      <c r="R204" s="235"/>
      <c r="S204" s="235"/>
      <c r="T204" s="235"/>
      <c r="U204" s="235">
        <v>0</v>
      </c>
      <c r="V204" s="235">
        <f t="shared" si="23"/>
        <v>0</v>
      </c>
      <c r="W204" s="748">
        <v>0</v>
      </c>
    </row>
    <row r="205" spans="1:23" x14ac:dyDescent="0.2">
      <c r="A205" s="590" t="s">
        <v>692</v>
      </c>
      <c r="B205" s="235"/>
      <c r="C205" s="235"/>
      <c r="D205" s="235"/>
      <c r="E205" s="235"/>
      <c r="F205" s="235"/>
      <c r="G205" s="235"/>
      <c r="H205" s="235"/>
      <c r="I205" s="235"/>
      <c r="J205" s="235">
        <v>0</v>
      </c>
      <c r="K205" s="235">
        <f t="shared" si="22"/>
        <v>0</v>
      </c>
      <c r="L205" s="748">
        <v>0</v>
      </c>
      <c r="M205" s="235"/>
      <c r="N205" s="235"/>
      <c r="O205" s="235"/>
      <c r="P205" s="235"/>
      <c r="Q205" s="235"/>
      <c r="R205" s="235"/>
      <c r="S205" s="235"/>
      <c r="T205" s="235"/>
      <c r="U205" s="235">
        <v>0</v>
      </c>
      <c r="V205" s="235">
        <f t="shared" si="23"/>
        <v>0</v>
      </c>
      <c r="W205" s="748">
        <v>0</v>
      </c>
    </row>
    <row r="206" spans="1:23" x14ac:dyDescent="0.2">
      <c r="A206" s="590" t="s">
        <v>693</v>
      </c>
      <c r="B206" s="235"/>
      <c r="C206" s="235"/>
      <c r="D206" s="235"/>
      <c r="E206" s="235"/>
      <c r="F206" s="235"/>
      <c r="G206" s="235"/>
      <c r="H206" s="235"/>
      <c r="I206" s="235"/>
      <c r="J206" s="235">
        <v>2</v>
      </c>
      <c r="K206" s="235">
        <f t="shared" si="22"/>
        <v>2</v>
      </c>
      <c r="L206" s="748">
        <v>49616</v>
      </c>
      <c r="M206" s="235"/>
      <c r="N206" s="235"/>
      <c r="O206" s="235"/>
      <c r="P206" s="235"/>
      <c r="Q206" s="235"/>
      <c r="R206" s="235"/>
      <c r="S206" s="235"/>
      <c r="T206" s="235"/>
      <c r="U206" s="235">
        <v>2</v>
      </c>
      <c r="V206" s="235">
        <f t="shared" si="23"/>
        <v>2</v>
      </c>
      <c r="W206" s="748">
        <v>47216</v>
      </c>
    </row>
    <row r="207" spans="1:23" x14ac:dyDescent="0.2">
      <c r="A207" s="590" t="s">
        <v>694</v>
      </c>
      <c r="B207" s="235"/>
      <c r="C207" s="235"/>
      <c r="D207" s="235"/>
      <c r="E207" s="235"/>
      <c r="F207" s="235"/>
      <c r="G207" s="235"/>
      <c r="H207" s="235"/>
      <c r="I207" s="235"/>
      <c r="J207" s="235">
        <v>0</v>
      </c>
      <c r="K207" s="235">
        <f t="shared" si="22"/>
        <v>0</v>
      </c>
      <c r="L207" s="748">
        <v>0</v>
      </c>
      <c r="M207" s="235"/>
      <c r="N207" s="235"/>
      <c r="O207" s="235"/>
      <c r="P207" s="235"/>
      <c r="Q207" s="235"/>
      <c r="R207" s="235"/>
      <c r="S207" s="235"/>
      <c r="T207" s="235"/>
      <c r="U207" s="235">
        <v>0</v>
      </c>
      <c r="V207" s="235">
        <f t="shared" si="23"/>
        <v>0</v>
      </c>
      <c r="W207" s="748">
        <v>0</v>
      </c>
    </row>
    <row r="208" spans="1:23" x14ac:dyDescent="0.2">
      <c r="A208" s="590" t="s">
        <v>695</v>
      </c>
      <c r="B208" s="235"/>
      <c r="C208" s="235"/>
      <c r="D208" s="235"/>
      <c r="E208" s="235"/>
      <c r="F208" s="235"/>
      <c r="G208" s="235"/>
      <c r="H208" s="235"/>
      <c r="I208" s="235"/>
      <c r="J208" s="235">
        <v>0</v>
      </c>
      <c r="K208" s="235">
        <f t="shared" si="22"/>
        <v>0</v>
      </c>
      <c r="L208" s="748">
        <v>0</v>
      </c>
      <c r="M208" s="235"/>
      <c r="N208" s="235"/>
      <c r="O208" s="235"/>
      <c r="P208" s="235"/>
      <c r="Q208" s="235"/>
      <c r="R208" s="235"/>
      <c r="S208" s="235"/>
      <c r="T208" s="235"/>
      <c r="U208" s="235">
        <v>0</v>
      </c>
      <c r="V208" s="235">
        <f t="shared" si="23"/>
        <v>0</v>
      </c>
      <c r="W208" s="748">
        <v>0</v>
      </c>
    </row>
    <row r="209" spans="1:23" x14ac:dyDescent="0.2">
      <c r="A209" s="590" t="s">
        <v>696</v>
      </c>
      <c r="B209" s="235"/>
      <c r="C209" s="235"/>
      <c r="D209" s="235"/>
      <c r="E209" s="235"/>
      <c r="F209" s="235"/>
      <c r="G209" s="235"/>
      <c r="H209" s="235"/>
      <c r="I209" s="235"/>
      <c r="J209" s="235">
        <v>2</v>
      </c>
      <c r="K209" s="235">
        <f t="shared" si="22"/>
        <v>2</v>
      </c>
      <c r="L209" s="748">
        <v>49616</v>
      </c>
      <c r="M209" s="235"/>
      <c r="N209" s="235"/>
      <c r="O209" s="235"/>
      <c r="P209" s="235"/>
      <c r="Q209" s="235"/>
      <c r="R209" s="235"/>
      <c r="S209" s="235"/>
      <c r="T209" s="235"/>
      <c r="U209" s="235">
        <v>2</v>
      </c>
      <c r="V209" s="235">
        <f t="shared" si="23"/>
        <v>2</v>
      </c>
      <c r="W209" s="748">
        <v>47216</v>
      </c>
    </row>
    <row r="210" spans="1:23" x14ac:dyDescent="0.2">
      <c r="A210" s="590" t="s">
        <v>697</v>
      </c>
      <c r="B210" s="235"/>
      <c r="C210" s="235"/>
      <c r="D210" s="235"/>
      <c r="E210" s="235"/>
      <c r="F210" s="235"/>
      <c r="G210" s="235"/>
      <c r="H210" s="235"/>
      <c r="I210" s="235"/>
      <c r="J210" s="235">
        <v>0</v>
      </c>
      <c r="K210" s="235">
        <f t="shared" si="22"/>
        <v>0</v>
      </c>
      <c r="L210" s="748">
        <v>0</v>
      </c>
      <c r="M210" s="235"/>
      <c r="N210" s="235"/>
      <c r="O210" s="235"/>
      <c r="P210" s="235"/>
      <c r="Q210" s="235"/>
      <c r="R210" s="235"/>
      <c r="S210" s="235"/>
      <c r="T210" s="235"/>
      <c r="U210" s="235">
        <v>0</v>
      </c>
      <c r="V210" s="235">
        <f t="shared" si="23"/>
        <v>0</v>
      </c>
      <c r="W210" s="748">
        <v>0</v>
      </c>
    </row>
    <row r="211" spans="1:23" x14ac:dyDescent="0.2">
      <c r="A211" s="590" t="s">
        <v>698</v>
      </c>
      <c r="B211" s="235"/>
      <c r="C211" s="235"/>
      <c r="D211" s="235"/>
      <c r="E211" s="235"/>
      <c r="F211" s="235"/>
      <c r="G211" s="235"/>
      <c r="H211" s="235"/>
      <c r="I211" s="235"/>
      <c r="J211" s="235">
        <v>0</v>
      </c>
      <c r="K211" s="235">
        <f t="shared" si="22"/>
        <v>0</v>
      </c>
      <c r="L211" s="748">
        <v>0</v>
      </c>
      <c r="M211" s="235"/>
      <c r="N211" s="235"/>
      <c r="O211" s="235"/>
      <c r="P211" s="235"/>
      <c r="Q211" s="235"/>
      <c r="R211" s="235"/>
      <c r="S211" s="235"/>
      <c r="T211" s="235"/>
      <c r="U211" s="235">
        <v>0</v>
      </c>
      <c r="V211" s="235">
        <f t="shared" si="23"/>
        <v>0</v>
      </c>
      <c r="W211" s="748">
        <v>0</v>
      </c>
    </row>
    <row r="212" spans="1:23" x14ac:dyDescent="0.2">
      <c r="A212" s="590" t="s">
        <v>659</v>
      </c>
      <c r="B212" s="235"/>
      <c r="C212" s="235"/>
      <c r="D212" s="235"/>
      <c r="E212" s="235"/>
      <c r="F212" s="235"/>
      <c r="G212" s="235"/>
      <c r="H212" s="235"/>
      <c r="I212" s="235"/>
      <c r="J212" s="235">
        <v>215</v>
      </c>
      <c r="K212" s="235">
        <f t="shared" si="22"/>
        <v>215</v>
      </c>
      <c r="L212" s="748">
        <v>4472000</v>
      </c>
      <c r="M212" s="235"/>
      <c r="N212" s="235"/>
      <c r="O212" s="235"/>
      <c r="P212" s="235"/>
      <c r="Q212" s="235"/>
      <c r="R212" s="235"/>
      <c r="S212" s="235"/>
      <c r="T212" s="235"/>
      <c r="U212" s="235">
        <v>215</v>
      </c>
      <c r="V212" s="235">
        <f t="shared" si="23"/>
        <v>215</v>
      </c>
      <c r="W212" s="748">
        <v>3956000</v>
      </c>
    </row>
    <row r="213" spans="1:23" x14ac:dyDescent="0.2">
      <c r="A213" s="590" t="s">
        <v>699</v>
      </c>
      <c r="B213" s="235"/>
      <c r="C213" s="235"/>
      <c r="D213" s="235"/>
      <c r="E213" s="235"/>
      <c r="F213" s="235"/>
      <c r="G213" s="235"/>
      <c r="H213" s="235"/>
      <c r="I213" s="235"/>
      <c r="J213" s="235">
        <v>0</v>
      </c>
      <c r="K213" s="235">
        <f t="shared" si="22"/>
        <v>0</v>
      </c>
      <c r="L213" s="748">
        <v>0</v>
      </c>
      <c r="M213" s="235"/>
      <c r="N213" s="235"/>
      <c r="O213" s="235"/>
      <c r="P213" s="235"/>
      <c r="Q213" s="235"/>
      <c r="R213" s="235"/>
      <c r="S213" s="235"/>
      <c r="T213" s="235"/>
      <c r="U213" s="235">
        <v>0</v>
      </c>
      <c r="V213" s="235">
        <f t="shared" si="23"/>
        <v>0</v>
      </c>
      <c r="W213" s="748">
        <v>0</v>
      </c>
    </row>
    <row r="214" spans="1:23" x14ac:dyDescent="0.2">
      <c r="A214" s="590"/>
      <c r="B214" s="235"/>
      <c r="C214" s="235"/>
      <c r="D214" s="235"/>
      <c r="E214" s="235"/>
      <c r="F214" s="235"/>
      <c r="G214" s="235"/>
      <c r="H214" s="235"/>
      <c r="I214" s="235"/>
      <c r="J214" s="235"/>
      <c r="K214" s="235"/>
      <c r="L214" s="748"/>
      <c r="M214" s="235"/>
      <c r="N214" s="235"/>
      <c r="O214" s="235"/>
      <c r="P214" s="235"/>
      <c r="Q214" s="235"/>
      <c r="R214" s="235"/>
      <c r="S214" s="235"/>
      <c r="T214" s="235"/>
      <c r="U214" s="235"/>
      <c r="V214" s="235"/>
      <c r="W214" s="748"/>
    </row>
    <row r="215" spans="1:23" x14ac:dyDescent="0.2">
      <c r="A215" s="729" t="s">
        <v>6</v>
      </c>
      <c r="B215" s="246">
        <f t="shared" ref="B215:W215" si="24">SUM(B216:B220)</f>
        <v>0</v>
      </c>
      <c r="C215" s="246">
        <f t="shared" si="24"/>
        <v>0</v>
      </c>
      <c r="D215" s="246">
        <f t="shared" si="24"/>
        <v>0</v>
      </c>
      <c r="E215" s="246">
        <f t="shared" si="24"/>
        <v>0</v>
      </c>
      <c r="F215" s="246">
        <f t="shared" si="24"/>
        <v>0</v>
      </c>
      <c r="G215" s="246">
        <f t="shared" si="24"/>
        <v>0</v>
      </c>
      <c r="H215" s="246">
        <f t="shared" si="24"/>
        <v>0</v>
      </c>
      <c r="I215" s="246">
        <f t="shared" si="24"/>
        <v>0</v>
      </c>
      <c r="J215" s="246">
        <f t="shared" si="24"/>
        <v>11</v>
      </c>
      <c r="K215" s="246">
        <f t="shared" si="24"/>
        <v>11</v>
      </c>
      <c r="L215" s="740">
        <f t="shared" si="24"/>
        <v>306944</v>
      </c>
      <c r="M215" s="246">
        <f t="shared" si="24"/>
        <v>0</v>
      </c>
      <c r="N215" s="246">
        <f t="shared" si="24"/>
        <v>0</v>
      </c>
      <c r="O215" s="246">
        <f t="shared" si="24"/>
        <v>0</v>
      </c>
      <c r="P215" s="246">
        <f t="shared" si="24"/>
        <v>0</v>
      </c>
      <c r="Q215" s="246">
        <f t="shared" si="24"/>
        <v>0</v>
      </c>
      <c r="R215" s="246">
        <f t="shared" si="24"/>
        <v>0</v>
      </c>
      <c r="S215" s="246">
        <f t="shared" si="24"/>
        <v>0</v>
      </c>
      <c r="T215" s="246">
        <f t="shared" si="24"/>
        <v>0</v>
      </c>
      <c r="U215" s="246">
        <f t="shared" si="24"/>
        <v>11</v>
      </c>
      <c r="V215" s="246">
        <f t="shared" si="24"/>
        <v>11</v>
      </c>
      <c r="W215" s="740">
        <f t="shared" si="24"/>
        <v>306944</v>
      </c>
    </row>
    <row r="216" spans="1:23" x14ac:dyDescent="0.2">
      <c r="A216" s="590" t="s">
        <v>746</v>
      </c>
      <c r="B216" s="235"/>
      <c r="C216" s="235"/>
      <c r="D216" s="235"/>
      <c r="E216" s="235"/>
      <c r="F216" s="235"/>
      <c r="G216" s="235"/>
      <c r="H216" s="235"/>
      <c r="I216" s="235"/>
      <c r="J216" s="235">
        <v>0</v>
      </c>
      <c r="K216" s="235">
        <f t="shared" ref="K216:K223" si="25">+J216</f>
        <v>0</v>
      </c>
      <c r="L216" s="748">
        <v>0</v>
      </c>
      <c r="M216" s="235"/>
      <c r="N216" s="235"/>
      <c r="O216" s="235"/>
      <c r="P216" s="235"/>
      <c r="Q216" s="235"/>
      <c r="R216" s="235"/>
      <c r="S216" s="235"/>
      <c r="T216" s="235"/>
      <c r="U216" s="235">
        <v>0</v>
      </c>
      <c r="V216" s="235">
        <f t="shared" ref="V216:V223" si="26">+U216</f>
        <v>0</v>
      </c>
      <c r="W216" s="748">
        <v>0</v>
      </c>
    </row>
    <row r="217" spans="1:23" x14ac:dyDescent="0.2">
      <c r="A217" s="590" t="s">
        <v>747</v>
      </c>
      <c r="B217" s="235"/>
      <c r="C217" s="235"/>
      <c r="D217" s="235"/>
      <c r="E217" s="235"/>
      <c r="F217" s="235"/>
      <c r="G217" s="235"/>
      <c r="H217" s="235"/>
      <c r="I217" s="235"/>
      <c r="J217" s="235">
        <v>0</v>
      </c>
      <c r="K217" s="235">
        <f t="shared" si="25"/>
        <v>0</v>
      </c>
      <c r="L217" s="748">
        <v>0</v>
      </c>
      <c r="M217" s="235"/>
      <c r="N217" s="235"/>
      <c r="O217" s="235"/>
      <c r="P217" s="235"/>
      <c r="Q217" s="235"/>
      <c r="R217" s="235"/>
      <c r="S217" s="235"/>
      <c r="T217" s="235"/>
      <c r="U217" s="235">
        <v>0</v>
      </c>
      <c r="V217" s="235">
        <f t="shared" si="26"/>
        <v>0</v>
      </c>
      <c r="W217" s="748">
        <v>0</v>
      </c>
    </row>
    <row r="218" spans="1:23" x14ac:dyDescent="0.2">
      <c r="A218" s="590" t="s">
        <v>748</v>
      </c>
      <c r="B218" s="235"/>
      <c r="C218" s="235"/>
      <c r="D218" s="235"/>
      <c r="E218" s="235"/>
      <c r="F218" s="235"/>
      <c r="G218" s="235"/>
      <c r="H218" s="235"/>
      <c r="I218" s="235"/>
      <c r="J218" s="235">
        <v>0</v>
      </c>
      <c r="K218" s="235">
        <f t="shared" si="25"/>
        <v>0</v>
      </c>
      <c r="L218" s="748">
        <v>0</v>
      </c>
      <c r="M218" s="235"/>
      <c r="N218" s="235"/>
      <c r="O218" s="235"/>
      <c r="P218" s="235"/>
      <c r="Q218" s="235"/>
      <c r="R218" s="235"/>
      <c r="S218" s="235"/>
      <c r="T218" s="235"/>
      <c r="U218" s="235">
        <v>0</v>
      </c>
      <c r="V218" s="235">
        <f t="shared" si="26"/>
        <v>0</v>
      </c>
      <c r="W218" s="748">
        <v>0</v>
      </c>
    </row>
    <row r="219" spans="1:23" x14ac:dyDescent="0.2">
      <c r="A219" s="590" t="s">
        <v>701</v>
      </c>
      <c r="B219" s="235"/>
      <c r="C219" s="235"/>
      <c r="D219" s="235"/>
      <c r="E219" s="235"/>
      <c r="F219" s="235"/>
      <c r="G219" s="235"/>
      <c r="H219" s="235"/>
      <c r="I219" s="235"/>
      <c r="J219" s="235">
        <v>0</v>
      </c>
      <c r="K219" s="235">
        <f t="shared" si="25"/>
        <v>0</v>
      </c>
      <c r="L219" s="748">
        <v>0</v>
      </c>
      <c r="M219" s="235"/>
      <c r="N219" s="235"/>
      <c r="O219" s="235"/>
      <c r="P219" s="235"/>
      <c r="Q219" s="235"/>
      <c r="R219" s="235"/>
      <c r="S219" s="235"/>
      <c r="T219" s="235"/>
      <c r="U219" s="235">
        <v>0</v>
      </c>
      <c r="V219" s="235">
        <f t="shared" si="26"/>
        <v>0</v>
      </c>
      <c r="W219" s="748">
        <v>0</v>
      </c>
    </row>
    <row r="220" spans="1:23" x14ac:dyDescent="0.2">
      <c r="A220" s="590" t="s">
        <v>702</v>
      </c>
      <c r="B220" s="235"/>
      <c r="C220" s="235"/>
      <c r="D220" s="235"/>
      <c r="E220" s="235"/>
      <c r="F220" s="235"/>
      <c r="G220" s="235"/>
      <c r="H220" s="235"/>
      <c r="I220" s="235"/>
      <c r="J220" s="235">
        <v>11</v>
      </c>
      <c r="K220" s="235">
        <f t="shared" si="25"/>
        <v>11</v>
      </c>
      <c r="L220" s="748">
        <v>306944</v>
      </c>
      <c r="M220" s="235"/>
      <c r="N220" s="235"/>
      <c r="O220" s="235"/>
      <c r="P220" s="235"/>
      <c r="Q220" s="235"/>
      <c r="R220" s="235"/>
      <c r="S220" s="235"/>
      <c r="T220" s="235"/>
      <c r="U220" s="235">
        <v>11</v>
      </c>
      <c r="V220" s="235">
        <f t="shared" si="26"/>
        <v>11</v>
      </c>
      <c r="W220" s="748">
        <v>306944</v>
      </c>
    </row>
    <row r="221" spans="1:23" x14ac:dyDescent="0.2">
      <c r="A221" s="590" t="s">
        <v>741</v>
      </c>
      <c r="B221" s="235"/>
      <c r="C221" s="235"/>
      <c r="D221" s="235"/>
      <c r="E221" s="235"/>
      <c r="F221" s="235"/>
      <c r="G221" s="235"/>
      <c r="H221" s="235"/>
      <c r="I221" s="235"/>
      <c r="J221" s="235">
        <v>0</v>
      </c>
      <c r="K221" s="235">
        <f t="shared" si="25"/>
        <v>0</v>
      </c>
      <c r="L221" s="748">
        <v>0</v>
      </c>
      <c r="M221" s="235"/>
      <c r="N221" s="235"/>
      <c r="O221" s="235"/>
      <c r="P221" s="235"/>
      <c r="Q221" s="235"/>
      <c r="R221" s="235"/>
      <c r="S221" s="235"/>
      <c r="T221" s="235"/>
      <c r="U221" s="235">
        <v>0</v>
      </c>
      <c r="V221" s="235">
        <f t="shared" si="26"/>
        <v>0</v>
      </c>
      <c r="W221" s="748">
        <v>0</v>
      </c>
    </row>
    <row r="222" spans="1:23" x14ac:dyDescent="0.2">
      <c r="A222" s="590" t="s">
        <v>742</v>
      </c>
      <c r="B222" s="235"/>
      <c r="C222" s="235"/>
      <c r="D222" s="235"/>
      <c r="E222" s="235"/>
      <c r="F222" s="235"/>
      <c r="G222" s="235"/>
      <c r="H222" s="235"/>
      <c r="I222" s="235"/>
      <c r="J222" s="235">
        <v>0</v>
      </c>
      <c r="K222" s="235">
        <f t="shared" si="25"/>
        <v>0</v>
      </c>
      <c r="L222" s="748">
        <v>0</v>
      </c>
      <c r="M222" s="235"/>
      <c r="N222" s="235"/>
      <c r="O222" s="235"/>
      <c r="P222" s="235"/>
      <c r="Q222" s="235"/>
      <c r="R222" s="235"/>
      <c r="S222" s="235"/>
      <c r="T222" s="235"/>
      <c r="U222" s="235">
        <v>0</v>
      </c>
      <c r="V222" s="235">
        <f t="shared" si="26"/>
        <v>0</v>
      </c>
      <c r="W222" s="748">
        <v>0</v>
      </c>
    </row>
    <row r="223" spans="1:23" x14ac:dyDescent="0.2">
      <c r="A223" s="590" t="s">
        <v>743</v>
      </c>
      <c r="B223" s="235"/>
      <c r="C223" s="235"/>
      <c r="D223" s="235"/>
      <c r="E223" s="235"/>
      <c r="F223" s="235"/>
      <c r="G223" s="235"/>
      <c r="H223" s="235"/>
      <c r="I223" s="235"/>
      <c r="J223" s="235">
        <v>0</v>
      </c>
      <c r="K223" s="235">
        <f t="shared" si="25"/>
        <v>0</v>
      </c>
      <c r="L223" s="748">
        <v>0</v>
      </c>
      <c r="M223" s="235"/>
      <c r="N223" s="235"/>
      <c r="O223" s="235"/>
      <c r="P223" s="235"/>
      <c r="Q223" s="235"/>
      <c r="R223" s="235"/>
      <c r="S223" s="235"/>
      <c r="T223" s="235"/>
      <c r="U223" s="235">
        <v>0</v>
      </c>
      <c r="V223" s="235">
        <f t="shared" si="26"/>
        <v>0</v>
      </c>
      <c r="W223" s="748">
        <v>0</v>
      </c>
    </row>
    <row r="224" spans="1:23" x14ac:dyDescent="0.2">
      <c r="A224" s="590"/>
      <c r="B224" s="235"/>
      <c r="C224" s="235"/>
      <c r="D224" s="235"/>
      <c r="E224" s="235"/>
      <c r="F224" s="235"/>
      <c r="G224" s="235"/>
      <c r="H224" s="235"/>
      <c r="I224" s="235"/>
      <c r="J224" s="235"/>
      <c r="K224" s="235"/>
      <c r="L224" s="748"/>
      <c r="M224" s="235"/>
      <c r="N224" s="235"/>
      <c r="O224" s="235"/>
      <c r="P224" s="235"/>
      <c r="Q224" s="235"/>
      <c r="R224" s="235"/>
      <c r="S224" s="235"/>
      <c r="T224" s="235"/>
      <c r="U224" s="235"/>
      <c r="V224" s="235"/>
      <c r="W224" s="748"/>
    </row>
    <row r="225" spans="1:23" x14ac:dyDescent="0.2">
      <c r="A225" s="729" t="s">
        <v>244</v>
      </c>
      <c r="B225" s="246">
        <f t="shared" ref="B225:W225" si="27">B226</f>
        <v>0</v>
      </c>
      <c r="C225" s="246">
        <f t="shared" si="27"/>
        <v>0</v>
      </c>
      <c r="D225" s="246">
        <f t="shared" si="27"/>
        <v>127</v>
      </c>
      <c r="E225" s="246">
        <f t="shared" si="27"/>
        <v>0</v>
      </c>
      <c r="F225" s="246">
        <f t="shared" si="27"/>
        <v>0</v>
      </c>
      <c r="G225" s="246">
        <f t="shared" si="27"/>
        <v>0</v>
      </c>
      <c r="H225" s="246">
        <f t="shared" si="27"/>
        <v>0</v>
      </c>
      <c r="I225" s="246">
        <f t="shared" si="27"/>
        <v>0</v>
      </c>
      <c r="J225" s="246">
        <f t="shared" si="27"/>
        <v>0</v>
      </c>
      <c r="K225" s="246">
        <f t="shared" si="27"/>
        <v>127</v>
      </c>
      <c r="L225" s="740">
        <f t="shared" si="27"/>
        <v>1222905.4999999995</v>
      </c>
      <c r="M225" s="246">
        <f t="shared" si="27"/>
        <v>0</v>
      </c>
      <c r="N225" s="246">
        <f t="shared" si="27"/>
        <v>0</v>
      </c>
      <c r="O225" s="246">
        <f t="shared" si="27"/>
        <v>15</v>
      </c>
      <c r="P225" s="246">
        <f t="shared" si="27"/>
        <v>0</v>
      </c>
      <c r="Q225" s="246">
        <f t="shared" si="27"/>
        <v>0</v>
      </c>
      <c r="R225" s="246">
        <f t="shared" si="27"/>
        <v>0</v>
      </c>
      <c r="S225" s="246">
        <f t="shared" si="27"/>
        <v>0</v>
      </c>
      <c r="T225" s="246">
        <f t="shared" si="27"/>
        <v>0</v>
      </c>
      <c r="U225" s="246">
        <f t="shared" si="27"/>
        <v>0</v>
      </c>
      <c r="V225" s="246">
        <f t="shared" si="27"/>
        <v>15</v>
      </c>
      <c r="W225" s="740">
        <f t="shared" si="27"/>
        <v>309449</v>
      </c>
    </row>
    <row r="226" spans="1:23" x14ac:dyDescent="0.2">
      <c r="A226" s="590" t="s">
        <v>842</v>
      </c>
      <c r="B226" s="235"/>
      <c r="C226" s="235"/>
      <c r="D226" s="235">
        <v>127</v>
      </c>
      <c r="E226" s="235"/>
      <c r="F226" s="235"/>
      <c r="G226" s="235"/>
      <c r="H226" s="235"/>
      <c r="I226" s="235"/>
      <c r="J226" s="235"/>
      <c r="K226" s="235">
        <f>SUM(B226:J226)</f>
        <v>127</v>
      </c>
      <c r="L226" s="748">
        <v>1222905.4999999995</v>
      </c>
      <c r="M226" s="235"/>
      <c r="N226" s="235"/>
      <c r="O226" s="235">
        <v>15</v>
      </c>
      <c r="P226" s="235"/>
      <c r="Q226" s="235"/>
      <c r="R226" s="235"/>
      <c r="S226" s="235"/>
      <c r="T226" s="235"/>
      <c r="U226" s="235"/>
      <c r="V226" s="235">
        <f>SUM(M226:U226)</f>
        <v>15</v>
      </c>
      <c r="W226" s="748">
        <v>309449</v>
      </c>
    </row>
    <row r="227" spans="1:23" ht="13.5" thickBot="1" x14ac:dyDescent="0.25">
      <c r="A227" s="590"/>
      <c r="B227" s="235"/>
      <c r="C227" s="235"/>
      <c r="D227" s="235"/>
      <c r="E227" s="235"/>
      <c r="F227" s="235"/>
      <c r="G227" s="235"/>
      <c r="H227" s="235"/>
      <c r="I227" s="235"/>
      <c r="J227" s="235"/>
      <c r="K227" s="235"/>
      <c r="L227" s="748"/>
      <c r="M227" s="235"/>
      <c r="N227" s="235"/>
      <c r="O227" s="235"/>
      <c r="P227" s="235"/>
      <c r="Q227" s="235"/>
      <c r="R227" s="235"/>
      <c r="S227" s="235"/>
      <c r="T227" s="235"/>
      <c r="U227" s="235"/>
      <c r="V227" s="235"/>
      <c r="W227" s="748"/>
    </row>
    <row r="228" spans="1:23" ht="13.5" thickBot="1" x14ac:dyDescent="0.25">
      <c r="A228" s="520" t="s">
        <v>21</v>
      </c>
      <c r="B228" s="773">
        <f>B146+B156+B164+B172+B180+B215+B225</f>
        <v>612</v>
      </c>
      <c r="C228" s="773"/>
      <c r="D228" s="773">
        <f>D225</f>
        <v>127</v>
      </c>
      <c r="E228" s="773"/>
      <c r="F228" s="773"/>
      <c r="G228" s="773"/>
      <c r="H228" s="773"/>
      <c r="I228" s="773"/>
      <c r="J228" s="773">
        <f>J146+J156+J164+J172+J180+J215+J225</f>
        <v>4170</v>
      </c>
      <c r="K228" s="773">
        <f>K146+K156+K164+K172+K180+K215+K225</f>
        <v>4909</v>
      </c>
      <c r="L228" s="774">
        <f>L146+L156+L164+L172+L180+L215+L225</f>
        <v>173736459.49978</v>
      </c>
      <c r="M228" s="775">
        <f>M146+M156+M164+M172+M180+M215+M225</f>
        <v>612</v>
      </c>
      <c r="N228" s="773"/>
      <c r="O228" s="773">
        <f>O225</f>
        <v>15</v>
      </c>
      <c r="P228" s="773"/>
      <c r="Q228" s="773"/>
      <c r="R228" s="773"/>
      <c r="S228" s="773"/>
      <c r="T228" s="773"/>
      <c r="U228" s="773">
        <f>U146+U156+U164+U172+U180+U215+U225</f>
        <v>4001</v>
      </c>
      <c r="V228" s="773">
        <f>V146+V156+V164+V172+V180+V215+V225</f>
        <v>4628</v>
      </c>
      <c r="W228" s="555">
        <f>W146+W156+W164+W172+W180+W215+W225</f>
        <v>167139963.00496</v>
      </c>
    </row>
    <row r="229" spans="1:23" x14ac:dyDescent="0.2">
      <c r="A229" s="235"/>
      <c r="B229" s="235"/>
      <c r="C229" s="235"/>
      <c r="D229" s="235"/>
      <c r="E229" s="235"/>
      <c r="F229" s="235"/>
      <c r="G229" s="235"/>
      <c r="H229" s="235"/>
      <c r="I229" s="235"/>
      <c r="J229" s="235"/>
      <c r="K229" s="235"/>
      <c r="L229" s="235"/>
      <c r="M229" s="235"/>
      <c r="N229" s="235"/>
      <c r="O229" s="235"/>
      <c r="P229" s="235"/>
      <c r="Q229" s="235"/>
      <c r="R229" s="235"/>
      <c r="S229" s="235"/>
      <c r="T229" s="235"/>
      <c r="U229" s="235"/>
      <c r="V229" s="235"/>
      <c r="W229" s="235"/>
    </row>
    <row r="230" spans="1:23" x14ac:dyDescent="0.2">
      <c r="A230" s="235"/>
      <c r="B230" s="235"/>
      <c r="C230" s="235"/>
      <c r="D230" s="235"/>
      <c r="E230" s="235"/>
      <c r="F230" s="235"/>
      <c r="G230" s="235"/>
      <c r="H230" s="235"/>
      <c r="I230" s="235"/>
      <c r="J230" s="235"/>
      <c r="K230" s="235"/>
      <c r="L230" s="235"/>
      <c r="M230" s="235"/>
      <c r="N230" s="235"/>
      <c r="O230" s="235"/>
      <c r="P230" s="235"/>
      <c r="Q230" s="235"/>
      <c r="R230" s="235"/>
      <c r="S230" s="235"/>
      <c r="T230" s="235"/>
      <c r="U230" s="235"/>
      <c r="V230" s="235"/>
      <c r="W230" s="235"/>
    </row>
    <row r="231" spans="1:23" ht="13.5" thickBot="1" x14ac:dyDescent="0.25">
      <c r="A231" s="235" t="s">
        <v>708</v>
      </c>
      <c r="B231" s="235"/>
      <c r="C231" s="235"/>
      <c r="D231" s="235"/>
      <c r="E231" s="235"/>
      <c r="F231" s="235"/>
      <c r="G231" s="235"/>
      <c r="H231" s="235"/>
      <c r="I231" s="235"/>
      <c r="J231" s="235"/>
      <c r="K231" s="235"/>
      <c r="L231" s="776"/>
      <c r="M231" s="235"/>
      <c r="N231" s="235"/>
      <c r="O231" s="235"/>
      <c r="P231" s="235"/>
      <c r="Q231" s="235"/>
      <c r="R231" s="235"/>
      <c r="S231" s="235"/>
      <c r="T231" s="235"/>
      <c r="U231" s="235"/>
      <c r="V231" s="235"/>
      <c r="W231" s="720"/>
    </row>
    <row r="232" spans="1:23" x14ac:dyDescent="0.2">
      <c r="A232" s="721" t="s">
        <v>10</v>
      </c>
      <c r="B232" s="1351" t="s">
        <v>419</v>
      </c>
      <c r="C232" s="1352"/>
      <c r="D232" s="1352"/>
      <c r="E232" s="1352"/>
      <c r="F232" s="1352"/>
      <c r="G232" s="1352"/>
      <c r="H232" s="1352"/>
      <c r="I232" s="1352"/>
      <c r="J232" s="1352"/>
      <c r="K232" s="1352"/>
      <c r="L232" s="1353"/>
      <c r="M232" s="1351" t="s">
        <v>420</v>
      </c>
      <c r="N232" s="1352"/>
      <c r="O232" s="1352"/>
      <c r="P232" s="1352"/>
      <c r="Q232" s="1352"/>
      <c r="R232" s="1352"/>
      <c r="S232" s="1352"/>
      <c r="T232" s="1352"/>
      <c r="U232" s="1352"/>
      <c r="V232" s="1352"/>
      <c r="W232" s="1353"/>
    </row>
    <row r="233" spans="1:23" ht="105.75" x14ac:dyDescent="0.2">
      <c r="A233" s="722" t="s">
        <v>9</v>
      </c>
      <c r="B233" s="723" t="s">
        <v>316</v>
      </c>
      <c r="C233" s="723" t="s">
        <v>113</v>
      </c>
      <c r="D233" s="724" t="s">
        <v>272</v>
      </c>
      <c r="E233" s="724" t="s">
        <v>266</v>
      </c>
      <c r="F233" s="724" t="s">
        <v>274</v>
      </c>
      <c r="G233" s="724" t="s">
        <v>275</v>
      </c>
      <c r="H233" s="724" t="s">
        <v>276</v>
      </c>
      <c r="I233" s="724" t="s">
        <v>283</v>
      </c>
      <c r="J233" s="725" t="s">
        <v>278</v>
      </c>
      <c r="K233" s="726" t="s">
        <v>280</v>
      </c>
      <c r="L233" s="777" t="s">
        <v>282</v>
      </c>
      <c r="M233" s="723" t="s">
        <v>316</v>
      </c>
      <c r="N233" s="723" t="s">
        <v>113</v>
      </c>
      <c r="O233" s="724" t="s">
        <v>272</v>
      </c>
      <c r="P233" s="724" t="s">
        <v>266</v>
      </c>
      <c r="Q233" s="724" t="s">
        <v>274</v>
      </c>
      <c r="R233" s="724" t="s">
        <v>275</v>
      </c>
      <c r="S233" s="724" t="s">
        <v>276</v>
      </c>
      <c r="T233" s="724" t="s">
        <v>283</v>
      </c>
      <c r="U233" s="725" t="s">
        <v>278</v>
      </c>
      <c r="V233" s="726" t="s">
        <v>280</v>
      </c>
      <c r="W233" s="727" t="s">
        <v>281</v>
      </c>
    </row>
    <row r="234" spans="1:23" x14ac:dyDescent="0.2">
      <c r="A234" s="590"/>
      <c r="B234" s="235"/>
      <c r="C234" s="235"/>
      <c r="D234" s="235"/>
      <c r="E234" s="235"/>
      <c r="F234" s="235"/>
      <c r="G234" s="235"/>
      <c r="H234" s="235"/>
      <c r="I234" s="235"/>
      <c r="J234" s="235"/>
      <c r="K234" s="235"/>
      <c r="L234" s="748"/>
      <c r="M234" s="235"/>
      <c r="N234" s="235"/>
      <c r="O234" s="235"/>
      <c r="P234" s="235"/>
      <c r="Q234" s="235"/>
      <c r="R234" s="235"/>
      <c r="S234" s="235"/>
      <c r="T234" s="235"/>
      <c r="U234" s="235"/>
      <c r="V234" s="235"/>
      <c r="W234" s="728"/>
    </row>
    <row r="235" spans="1:23" x14ac:dyDescent="0.2">
      <c r="A235" s="729" t="s">
        <v>7</v>
      </c>
      <c r="B235" s="246">
        <f>SUM(B236:B242)</f>
        <v>7</v>
      </c>
      <c r="C235" s="246"/>
      <c r="D235" s="246"/>
      <c r="E235" s="246"/>
      <c r="F235" s="246"/>
      <c r="G235" s="246"/>
      <c r="H235" s="246"/>
      <c r="I235" s="246"/>
      <c r="J235" s="246"/>
      <c r="K235" s="246">
        <f>SUM(K236:K242)</f>
        <v>7</v>
      </c>
      <c r="L235" s="740">
        <f>SUM(L236:L242)</f>
        <v>402145</v>
      </c>
      <c r="M235" s="246">
        <f>SUM(M236:M242)</f>
        <v>7</v>
      </c>
      <c r="N235" s="246"/>
      <c r="O235" s="246"/>
      <c r="P235" s="246"/>
      <c r="Q235" s="246"/>
      <c r="R235" s="246"/>
      <c r="S235" s="246"/>
      <c r="T235" s="246"/>
      <c r="U235" s="246"/>
      <c r="V235" s="246">
        <f>SUM(V236:V242)</f>
        <v>7</v>
      </c>
      <c r="W235" s="740">
        <f>SUM(W236:W242)</f>
        <v>402145</v>
      </c>
    </row>
    <row r="236" spans="1:23" x14ac:dyDescent="0.2">
      <c r="A236" s="590" t="s">
        <v>3</v>
      </c>
      <c r="B236" s="235"/>
      <c r="C236" s="235"/>
      <c r="D236" s="235"/>
      <c r="E236" s="235"/>
      <c r="F236" s="235"/>
      <c r="G236" s="235"/>
      <c r="H236" s="235"/>
      <c r="I236" s="235"/>
      <c r="J236" s="235"/>
      <c r="K236" s="235"/>
      <c r="L236" s="748"/>
      <c r="M236" s="235"/>
      <c r="N236" s="235"/>
      <c r="O236" s="235"/>
      <c r="P236" s="235"/>
      <c r="Q236" s="235"/>
      <c r="R236" s="235"/>
      <c r="S236" s="235"/>
      <c r="T236" s="235"/>
      <c r="U236" s="235"/>
      <c r="V236" s="235"/>
      <c r="W236" s="748"/>
    </row>
    <row r="237" spans="1:23" x14ac:dyDescent="0.2">
      <c r="A237" s="590" t="s">
        <v>730</v>
      </c>
      <c r="B237" s="235"/>
      <c r="C237" s="235"/>
      <c r="D237" s="235"/>
      <c r="E237" s="235"/>
      <c r="F237" s="235"/>
      <c r="G237" s="235"/>
      <c r="H237" s="235"/>
      <c r="I237" s="235"/>
      <c r="J237" s="235"/>
      <c r="K237" s="235"/>
      <c r="L237" s="748"/>
      <c r="M237" s="235"/>
      <c r="N237" s="235"/>
      <c r="O237" s="235"/>
      <c r="P237" s="235"/>
      <c r="Q237" s="235"/>
      <c r="R237" s="235"/>
      <c r="S237" s="235"/>
      <c r="T237" s="235"/>
      <c r="U237" s="235"/>
      <c r="V237" s="235"/>
      <c r="W237" s="748"/>
    </row>
    <row r="238" spans="1:23" x14ac:dyDescent="0.2">
      <c r="A238" s="590" t="s">
        <v>730</v>
      </c>
      <c r="B238" s="235"/>
      <c r="C238" s="235"/>
      <c r="D238" s="235"/>
      <c r="E238" s="235"/>
      <c r="F238" s="235"/>
      <c r="G238" s="235"/>
      <c r="H238" s="235"/>
      <c r="I238" s="235"/>
      <c r="J238" s="235"/>
      <c r="K238" s="235"/>
      <c r="L238" s="748"/>
      <c r="M238" s="235"/>
      <c r="N238" s="235"/>
      <c r="O238" s="235"/>
      <c r="P238" s="235"/>
      <c r="Q238" s="235"/>
      <c r="R238" s="235"/>
      <c r="S238" s="235"/>
      <c r="T238" s="235"/>
      <c r="U238" s="235"/>
      <c r="V238" s="235"/>
      <c r="W238" s="748"/>
    </row>
    <row r="239" spans="1:23" x14ac:dyDescent="0.2">
      <c r="A239" s="590" t="s">
        <v>580</v>
      </c>
      <c r="B239" s="235">
        <v>4</v>
      </c>
      <c r="C239" s="235"/>
      <c r="D239" s="235"/>
      <c r="E239" s="235"/>
      <c r="F239" s="235"/>
      <c r="G239" s="235"/>
      <c r="H239" s="235"/>
      <c r="I239" s="235"/>
      <c r="J239" s="235"/>
      <c r="K239" s="235">
        <f>SUM(B239:J239)</f>
        <v>4</v>
      </c>
      <c r="L239" s="748">
        <v>233027</v>
      </c>
      <c r="M239" s="235">
        <v>4</v>
      </c>
      <c r="N239" s="235"/>
      <c r="O239" s="235"/>
      <c r="P239" s="235"/>
      <c r="Q239" s="235"/>
      <c r="R239" s="235"/>
      <c r="S239" s="235"/>
      <c r="T239" s="235"/>
      <c r="U239" s="235"/>
      <c r="V239" s="235">
        <f>SUM(M239:U239)</f>
        <v>4</v>
      </c>
      <c r="W239" s="748">
        <v>233027</v>
      </c>
    </row>
    <row r="240" spans="1:23" x14ac:dyDescent="0.2">
      <c r="A240" s="590" t="s">
        <v>581</v>
      </c>
      <c r="B240" s="235">
        <v>3</v>
      </c>
      <c r="C240" s="235"/>
      <c r="D240" s="235"/>
      <c r="E240" s="235"/>
      <c r="F240" s="235"/>
      <c r="G240" s="235"/>
      <c r="H240" s="235"/>
      <c r="I240" s="235"/>
      <c r="J240" s="235"/>
      <c r="K240" s="235">
        <f>SUM(B240:J240)</f>
        <v>3</v>
      </c>
      <c r="L240" s="748">
        <v>169118</v>
      </c>
      <c r="M240" s="235">
        <v>3</v>
      </c>
      <c r="N240" s="235"/>
      <c r="O240" s="235"/>
      <c r="P240" s="235"/>
      <c r="Q240" s="235"/>
      <c r="R240" s="235"/>
      <c r="S240" s="235"/>
      <c r="T240" s="235"/>
      <c r="U240" s="235"/>
      <c r="V240" s="235">
        <f>SUM(M240:U240)</f>
        <v>3</v>
      </c>
      <c r="W240" s="748">
        <v>169118</v>
      </c>
    </row>
    <row r="241" spans="1:23" x14ac:dyDescent="0.2">
      <c r="A241" s="590" t="s">
        <v>12</v>
      </c>
      <c r="B241" s="235"/>
      <c r="C241" s="235"/>
      <c r="D241" s="235"/>
      <c r="E241" s="235"/>
      <c r="F241" s="235"/>
      <c r="G241" s="235"/>
      <c r="H241" s="235"/>
      <c r="I241" s="235"/>
      <c r="J241" s="235"/>
      <c r="K241" s="235"/>
      <c r="L241" s="748"/>
      <c r="M241" s="235"/>
      <c r="N241" s="235"/>
      <c r="O241" s="235"/>
      <c r="P241" s="235"/>
      <c r="Q241" s="235"/>
      <c r="R241" s="235"/>
      <c r="S241" s="235"/>
      <c r="T241" s="235"/>
      <c r="U241" s="235"/>
      <c r="V241" s="235"/>
      <c r="W241" s="748"/>
    </row>
    <row r="242" spans="1:23" x14ac:dyDescent="0.2">
      <c r="A242" s="669"/>
      <c r="B242" s="235"/>
      <c r="C242" s="235"/>
      <c r="D242" s="235"/>
      <c r="E242" s="235"/>
      <c r="F242" s="235"/>
      <c r="G242" s="235"/>
      <c r="H242" s="235"/>
      <c r="I242" s="235"/>
      <c r="J242" s="235"/>
      <c r="K242" s="235"/>
      <c r="L242" s="748"/>
      <c r="M242" s="235"/>
      <c r="N242" s="235"/>
      <c r="O242" s="235"/>
      <c r="P242" s="235"/>
      <c r="Q242" s="235"/>
      <c r="R242" s="235"/>
      <c r="S242" s="235"/>
      <c r="T242" s="235"/>
      <c r="U242" s="235"/>
      <c r="V242" s="235"/>
      <c r="W242" s="748"/>
    </row>
    <row r="243" spans="1:23" x14ac:dyDescent="0.2">
      <c r="A243" s="729" t="s">
        <v>4</v>
      </c>
      <c r="B243" s="246">
        <f>SUM(B244:B248)</f>
        <v>17</v>
      </c>
      <c r="C243" s="246"/>
      <c r="D243" s="246"/>
      <c r="E243" s="246"/>
      <c r="F243" s="246"/>
      <c r="G243" s="246"/>
      <c r="H243" s="246"/>
      <c r="I243" s="246"/>
      <c r="J243" s="246"/>
      <c r="K243" s="246">
        <f>SUM(K244:K248)</f>
        <v>17</v>
      </c>
      <c r="L243" s="740">
        <f>SUM(L244:L248)</f>
        <v>650393</v>
      </c>
      <c r="M243" s="246">
        <f>SUM(M244:M248)</f>
        <v>17</v>
      </c>
      <c r="N243" s="246"/>
      <c r="O243" s="246"/>
      <c r="P243" s="246"/>
      <c r="Q243" s="246"/>
      <c r="R243" s="246"/>
      <c r="S243" s="246"/>
      <c r="T243" s="246"/>
      <c r="U243" s="246"/>
      <c r="V243" s="246">
        <f>SUM(V244:V248)</f>
        <v>17</v>
      </c>
      <c r="W243" s="740">
        <f>SUM(W244:W248)</f>
        <v>650393</v>
      </c>
    </row>
    <row r="244" spans="1:23" x14ac:dyDescent="0.2">
      <c r="A244" s="590" t="s">
        <v>13</v>
      </c>
      <c r="B244" s="235">
        <v>1</v>
      </c>
      <c r="C244" s="235"/>
      <c r="D244" s="235"/>
      <c r="E244" s="235"/>
      <c r="F244" s="235"/>
      <c r="G244" s="235"/>
      <c r="H244" s="235"/>
      <c r="I244" s="235"/>
      <c r="J244" s="235"/>
      <c r="K244" s="235">
        <f>SUM(B244:J244)</f>
        <v>1</v>
      </c>
      <c r="L244" s="748">
        <v>29756</v>
      </c>
      <c r="M244" s="235">
        <v>1</v>
      </c>
      <c r="N244" s="235"/>
      <c r="O244" s="235"/>
      <c r="P244" s="235"/>
      <c r="Q244" s="235"/>
      <c r="R244" s="235"/>
      <c r="S244" s="235"/>
      <c r="T244" s="235"/>
      <c r="U244" s="235"/>
      <c r="V244" s="235">
        <f>SUM(M244:U244)</f>
        <v>1</v>
      </c>
      <c r="W244" s="748">
        <v>29756</v>
      </c>
    </row>
    <row r="245" spans="1:23" x14ac:dyDescent="0.2">
      <c r="A245" s="590" t="s">
        <v>583</v>
      </c>
      <c r="B245" s="235">
        <v>5</v>
      </c>
      <c r="C245" s="235"/>
      <c r="D245" s="235"/>
      <c r="E245" s="235"/>
      <c r="F245" s="235"/>
      <c r="G245" s="235"/>
      <c r="H245" s="235"/>
      <c r="I245" s="235"/>
      <c r="J245" s="235"/>
      <c r="K245" s="235">
        <f>SUM(B245:J245)</f>
        <v>5</v>
      </c>
      <c r="L245" s="748">
        <v>157318</v>
      </c>
      <c r="M245" s="235">
        <v>5</v>
      </c>
      <c r="N245" s="235"/>
      <c r="O245" s="235"/>
      <c r="P245" s="235"/>
      <c r="Q245" s="235"/>
      <c r="R245" s="235"/>
      <c r="S245" s="235"/>
      <c r="T245" s="235"/>
      <c r="U245" s="235"/>
      <c r="V245" s="235">
        <f>SUM(M245:U245)</f>
        <v>5</v>
      </c>
      <c r="W245" s="748">
        <v>157318</v>
      </c>
    </row>
    <row r="246" spans="1:23" x14ac:dyDescent="0.2">
      <c r="A246" s="590" t="s">
        <v>584</v>
      </c>
      <c r="B246" s="235">
        <v>1</v>
      </c>
      <c r="C246" s="235"/>
      <c r="D246" s="235"/>
      <c r="E246" s="235"/>
      <c r="F246" s="235"/>
      <c r="G246" s="235"/>
      <c r="H246" s="235"/>
      <c r="I246" s="235"/>
      <c r="J246" s="235"/>
      <c r="K246" s="235">
        <f>SUM(B246:J246)</f>
        <v>1</v>
      </c>
      <c r="L246" s="748">
        <v>28558</v>
      </c>
      <c r="M246" s="235">
        <v>1</v>
      </c>
      <c r="N246" s="235"/>
      <c r="O246" s="235"/>
      <c r="P246" s="235"/>
      <c r="Q246" s="235"/>
      <c r="R246" s="235"/>
      <c r="S246" s="235"/>
      <c r="T246" s="235"/>
      <c r="U246" s="235"/>
      <c r="V246" s="235">
        <f>SUM(M246:U246)</f>
        <v>1</v>
      </c>
      <c r="W246" s="748">
        <v>28558</v>
      </c>
    </row>
    <row r="247" spans="1:23" x14ac:dyDescent="0.2">
      <c r="A247" s="590" t="s">
        <v>14</v>
      </c>
      <c r="B247" s="235">
        <v>10</v>
      </c>
      <c r="C247" s="235"/>
      <c r="D247" s="235"/>
      <c r="E247" s="235"/>
      <c r="F247" s="235"/>
      <c r="G247" s="235"/>
      <c r="H247" s="235"/>
      <c r="I247" s="235"/>
      <c r="J247" s="235"/>
      <c r="K247" s="235">
        <f>SUM(B247:J247)</f>
        <v>10</v>
      </c>
      <c r="L247" s="748">
        <v>434761</v>
      </c>
      <c r="M247" s="235">
        <v>10</v>
      </c>
      <c r="N247" s="235"/>
      <c r="O247" s="235"/>
      <c r="P247" s="235"/>
      <c r="Q247" s="235"/>
      <c r="R247" s="235"/>
      <c r="S247" s="235"/>
      <c r="T247" s="235"/>
      <c r="U247" s="235"/>
      <c r="V247" s="235">
        <f>SUM(M247:U247)</f>
        <v>10</v>
      </c>
      <c r="W247" s="748">
        <v>434761</v>
      </c>
    </row>
    <row r="248" spans="1:23" x14ac:dyDescent="0.2">
      <c r="A248" s="590"/>
      <c r="B248" s="235"/>
      <c r="C248" s="235"/>
      <c r="D248" s="235"/>
      <c r="E248" s="235"/>
      <c r="F248" s="235"/>
      <c r="G248" s="235"/>
      <c r="H248" s="235"/>
      <c r="I248" s="235"/>
      <c r="J248" s="235"/>
      <c r="K248" s="235"/>
      <c r="L248" s="748"/>
      <c r="M248" s="235"/>
      <c r="N248" s="235"/>
      <c r="O248" s="235"/>
      <c r="P248" s="235"/>
      <c r="Q248" s="235"/>
      <c r="R248" s="235"/>
      <c r="S248" s="235"/>
      <c r="T248" s="235"/>
      <c r="U248" s="235"/>
      <c r="V248" s="235"/>
      <c r="W248" s="748"/>
    </row>
    <row r="249" spans="1:23" x14ac:dyDescent="0.2">
      <c r="A249" s="729" t="s">
        <v>5</v>
      </c>
      <c r="B249" s="246">
        <f>SUM(B250:B255)</f>
        <v>80</v>
      </c>
      <c r="C249" s="246"/>
      <c r="D249" s="246"/>
      <c r="E249" s="246"/>
      <c r="F249" s="246"/>
      <c r="G249" s="246"/>
      <c r="H249" s="246"/>
      <c r="I249" s="246"/>
      <c r="J249" s="246"/>
      <c r="K249" s="246">
        <f>SUM(K250:K255)</f>
        <v>80</v>
      </c>
      <c r="L249" s="740">
        <f>SUM(L250:L255)</f>
        <v>2339251</v>
      </c>
      <c r="M249" s="246">
        <f>SUM(M250:M255)</f>
        <v>80</v>
      </c>
      <c r="N249" s="246"/>
      <c r="O249" s="246"/>
      <c r="P249" s="246"/>
      <c r="Q249" s="246"/>
      <c r="R249" s="246"/>
      <c r="S249" s="246"/>
      <c r="T249" s="246"/>
      <c r="U249" s="246"/>
      <c r="V249" s="246">
        <f>SUM(V250:V255)</f>
        <v>80</v>
      </c>
      <c r="W249" s="740">
        <f>SUM(W250:W255)</f>
        <v>2339251</v>
      </c>
    </row>
    <row r="250" spans="1:23" x14ac:dyDescent="0.2">
      <c r="A250" s="590" t="s">
        <v>15</v>
      </c>
      <c r="B250" s="235">
        <v>37</v>
      </c>
      <c r="C250" s="235"/>
      <c r="D250" s="235"/>
      <c r="E250" s="235"/>
      <c r="F250" s="235"/>
      <c r="G250" s="235"/>
      <c r="H250" s="235"/>
      <c r="I250" s="235"/>
      <c r="J250" s="235"/>
      <c r="K250" s="235">
        <f>SUM(B250:J250)</f>
        <v>37</v>
      </c>
      <c r="L250" s="748">
        <v>1046660</v>
      </c>
      <c r="M250" s="235">
        <v>37</v>
      </c>
      <c r="N250" s="235"/>
      <c r="O250" s="235"/>
      <c r="P250" s="235"/>
      <c r="Q250" s="235"/>
      <c r="R250" s="235"/>
      <c r="S250" s="235"/>
      <c r="T250" s="235"/>
      <c r="U250" s="235"/>
      <c r="V250" s="235">
        <f>SUM(M250:U250)</f>
        <v>37</v>
      </c>
      <c r="W250" s="748">
        <v>1046660</v>
      </c>
    </row>
    <row r="251" spans="1:23" x14ac:dyDescent="0.2">
      <c r="A251" s="590" t="s">
        <v>586</v>
      </c>
      <c r="B251" s="235">
        <v>1</v>
      </c>
      <c r="C251" s="235"/>
      <c r="D251" s="235"/>
      <c r="E251" s="235"/>
      <c r="F251" s="235"/>
      <c r="G251" s="235"/>
      <c r="H251" s="235"/>
      <c r="I251" s="235"/>
      <c r="J251" s="235"/>
      <c r="K251" s="235">
        <f>SUM(B251:J251)</f>
        <v>1</v>
      </c>
      <c r="L251" s="748">
        <v>26972</v>
      </c>
      <c r="M251" s="235">
        <v>1</v>
      </c>
      <c r="N251" s="235"/>
      <c r="O251" s="235"/>
      <c r="P251" s="235"/>
      <c r="Q251" s="235"/>
      <c r="R251" s="235"/>
      <c r="S251" s="235"/>
      <c r="T251" s="235"/>
      <c r="U251" s="235"/>
      <c r="V251" s="235">
        <f>SUM(M251:U251)</f>
        <v>1</v>
      </c>
      <c r="W251" s="748">
        <v>26972</v>
      </c>
    </row>
    <row r="252" spans="1:23" x14ac:dyDescent="0.2">
      <c r="A252" s="590" t="s">
        <v>587</v>
      </c>
      <c r="B252" s="235">
        <v>9</v>
      </c>
      <c r="C252" s="235"/>
      <c r="D252" s="235"/>
      <c r="E252" s="235"/>
      <c r="F252" s="235"/>
      <c r="G252" s="235"/>
      <c r="H252" s="235"/>
      <c r="I252" s="235"/>
      <c r="J252" s="235"/>
      <c r="K252" s="235">
        <f>SUM(B252:J252)</f>
        <v>9</v>
      </c>
      <c r="L252" s="748">
        <v>277733</v>
      </c>
      <c r="M252" s="235">
        <v>9</v>
      </c>
      <c r="N252" s="235"/>
      <c r="O252" s="235"/>
      <c r="P252" s="235"/>
      <c r="Q252" s="235"/>
      <c r="R252" s="235"/>
      <c r="S252" s="235"/>
      <c r="T252" s="235"/>
      <c r="U252" s="235"/>
      <c r="V252" s="235">
        <f>SUM(M252:U252)</f>
        <v>9</v>
      </c>
      <c r="W252" s="748">
        <v>277733</v>
      </c>
    </row>
    <row r="253" spans="1:23" x14ac:dyDescent="0.2">
      <c r="A253" s="590" t="s">
        <v>588</v>
      </c>
      <c r="B253" s="235">
        <v>3</v>
      </c>
      <c r="C253" s="235"/>
      <c r="D253" s="235"/>
      <c r="E253" s="235"/>
      <c r="F253" s="235"/>
      <c r="G253" s="235"/>
      <c r="H253" s="235"/>
      <c r="I253" s="235"/>
      <c r="J253" s="235"/>
      <c r="K253" s="235">
        <f>SUM(B253:J253)</f>
        <v>3</v>
      </c>
      <c r="L253" s="748">
        <v>77867</v>
      </c>
      <c r="M253" s="235">
        <v>3</v>
      </c>
      <c r="N253" s="235"/>
      <c r="O253" s="235"/>
      <c r="P253" s="235"/>
      <c r="Q253" s="235"/>
      <c r="R253" s="235"/>
      <c r="S253" s="235"/>
      <c r="T253" s="235"/>
      <c r="U253" s="235"/>
      <c r="V253" s="235">
        <f>SUM(M253:U253)</f>
        <v>3</v>
      </c>
      <c r="W253" s="748">
        <v>77867</v>
      </c>
    </row>
    <row r="254" spans="1:23" x14ac:dyDescent="0.2">
      <c r="A254" s="590" t="s">
        <v>643</v>
      </c>
      <c r="B254" s="235">
        <v>30</v>
      </c>
      <c r="C254" s="235"/>
      <c r="D254" s="235"/>
      <c r="E254" s="235"/>
      <c r="F254" s="235"/>
      <c r="G254" s="235"/>
      <c r="H254" s="235"/>
      <c r="I254" s="235"/>
      <c r="J254" s="235"/>
      <c r="K254" s="235">
        <f>SUM(B254:J254)</f>
        <v>30</v>
      </c>
      <c r="L254" s="748">
        <v>910019</v>
      </c>
      <c r="M254" s="235">
        <v>30</v>
      </c>
      <c r="N254" s="235"/>
      <c r="O254" s="235"/>
      <c r="P254" s="235"/>
      <c r="Q254" s="235"/>
      <c r="R254" s="235"/>
      <c r="S254" s="235"/>
      <c r="T254" s="235"/>
      <c r="U254" s="235"/>
      <c r="V254" s="235">
        <f>SUM(M254:U254)</f>
        <v>30</v>
      </c>
      <c r="W254" s="748">
        <v>910019</v>
      </c>
    </row>
    <row r="255" spans="1:23" x14ac:dyDescent="0.2">
      <c r="A255" s="590"/>
      <c r="B255" s="235"/>
      <c r="C255" s="235"/>
      <c r="D255" s="235"/>
      <c r="E255" s="235"/>
      <c r="F255" s="235"/>
      <c r="G255" s="235"/>
      <c r="H255" s="235"/>
      <c r="I255" s="235"/>
      <c r="J255" s="235"/>
      <c r="K255" s="235"/>
      <c r="L255" s="748"/>
      <c r="M255" s="235"/>
      <c r="N255" s="235"/>
      <c r="O255" s="235"/>
      <c r="P255" s="235"/>
      <c r="Q255" s="235"/>
      <c r="R255" s="235"/>
      <c r="S255" s="235"/>
      <c r="T255" s="235"/>
      <c r="U255" s="235"/>
      <c r="V255" s="235"/>
      <c r="W255" s="748"/>
    </row>
    <row r="256" spans="1:23" x14ac:dyDescent="0.2">
      <c r="A256" s="729" t="s">
        <v>6</v>
      </c>
      <c r="B256" s="246">
        <f>SUM(B257:B261)</f>
        <v>443</v>
      </c>
      <c r="C256" s="246"/>
      <c r="D256" s="246"/>
      <c r="E256" s="246"/>
      <c r="F256" s="246"/>
      <c r="G256" s="246"/>
      <c r="H256" s="246"/>
      <c r="I256" s="246"/>
      <c r="J256" s="246"/>
      <c r="K256" s="246">
        <f>SUM(K257:K261)</f>
        <v>443</v>
      </c>
      <c r="L256" s="740">
        <f>SUM(L257:L261)</f>
        <v>11190984</v>
      </c>
      <c r="M256" s="246">
        <f>SUM(M257:M261)</f>
        <v>443</v>
      </c>
      <c r="N256" s="246"/>
      <c r="O256" s="246"/>
      <c r="P256" s="246"/>
      <c r="Q256" s="246"/>
      <c r="R256" s="246"/>
      <c r="S256" s="246"/>
      <c r="T256" s="246"/>
      <c r="U256" s="246"/>
      <c r="V256" s="246">
        <f>SUM(V257:V261)</f>
        <v>443</v>
      </c>
      <c r="W256" s="740">
        <f>SUM(W257:W261)</f>
        <v>11190984</v>
      </c>
    </row>
    <row r="257" spans="1:23" x14ac:dyDescent="0.2">
      <c r="A257" s="590" t="s">
        <v>16</v>
      </c>
      <c r="B257" s="235">
        <v>54</v>
      </c>
      <c r="C257" s="235"/>
      <c r="D257" s="235"/>
      <c r="E257" s="235"/>
      <c r="F257" s="235"/>
      <c r="G257" s="235"/>
      <c r="H257" s="235"/>
      <c r="I257" s="235"/>
      <c r="J257" s="235"/>
      <c r="K257" s="235">
        <f>SUM(B257:J257)</f>
        <v>54</v>
      </c>
      <c r="L257" s="748">
        <v>1374518</v>
      </c>
      <c r="M257" s="235">
        <v>54</v>
      </c>
      <c r="N257" s="235"/>
      <c r="O257" s="235"/>
      <c r="P257" s="235"/>
      <c r="Q257" s="235"/>
      <c r="R257" s="235"/>
      <c r="S257" s="235"/>
      <c r="T257" s="235"/>
      <c r="U257" s="235"/>
      <c r="V257" s="235">
        <f>SUM(M257:U257)</f>
        <v>54</v>
      </c>
      <c r="W257" s="748">
        <v>1374518</v>
      </c>
    </row>
    <row r="258" spans="1:23" x14ac:dyDescent="0.2">
      <c r="A258" s="590" t="s">
        <v>590</v>
      </c>
      <c r="B258" s="235">
        <v>59</v>
      </c>
      <c r="C258" s="235"/>
      <c r="D258" s="235"/>
      <c r="E258" s="235"/>
      <c r="F258" s="235"/>
      <c r="G258" s="235"/>
      <c r="H258" s="235"/>
      <c r="I258" s="235"/>
      <c r="J258" s="235"/>
      <c r="K258" s="235">
        <f>SUM(B258:J258)</f>
        <v>59</v>
      </c>
      <c r="L258" s="748">
        <v>1508877</v>
      </c>
      <c r="M258" s="235">
        <v>59</v>
      </c>
      <c r="N258" s="235"/>
      <c r="O258" s="235"/>
      <c r="P258" s="235"/>
      <c r="Q258" s="235"/>
      <c r="R258" s="235"/>
      <c r="S258" s="235"/>
      <c r="T258" s="235"/>
      <c r="U258" s="235"/>
      <c r="V258" s="235">
        <f>SUM(M258:U258)</f>
        <v>59</v>
      </c>
      <c r="W258" s="748">
        <v>1508877</v>
      </c>
    </row>
    <row r="259" spans="1:23" x14ac:dyDescent="0.2">
      <c r="A259" s="590" t="s">
        <v>644</v>
      </c>
      <c r="B259" s="235">
        <v>19</v>
      </c>
      <c r="C259" s="235"/>
      <c r="D259" s="235"/>
      <c r="E259" s="235"/>
      <c r="F259" s="235"/>
      <c r="G259" s="235"/>
      <c r="H259" s="235"/>
      <c r="I259" s="235"/>
      <c r="J259" s="235"/>
      <c r="K259" s="235">
        <f>SUM(B259:J259)</f>
        <v>19</v>
      </c>
      <c r="L259" s="748">
        <v>469188</v>
      </c>
      <c r="M259" s="235">
        <v>19</v>
      </c>
      <c r="N259" s="235"/>
      <c r="O259" s="235"/>
      <c r="P259" s="235"/>
      <c r="Q259" s="235"/>
      <c r="R259" s="235"/>
      <c r="S259" s="235"/>
      <c r="T259" s="235"/>
      <c r="U259" s="235"/>
      <c r="V259" s="235">
        <f>SUM(M259:U259)</f>
        <v>19</v>
      </c>
      <c r="W259" s="748">
        <v>469188</v>
      </c>
    </row>
    <row r="260" spans="1:23" x14ac:dyDescent="0.2">
      <c r="A260" s="590" t="s">
        <v>645</v>
      </c>
      <c r="B260" s="235">
        <v>311</v>
      </c>
      <c r="C260" s="235"/>
      <c r="D260" s="235"/>
      <c r="E260" s="235"/>
      <c r="F260" s="235"/>
      <c r="G260" s="235"/>
      <c r="H260" s="235"/>
      <c r="I260" s="235"/>
      <c r="J260" s="235"/>
      <c r="K260" s="235">
        <f>SUM(B260:J260)</f>
        <v>311</v>
      </c>
      <c r="L260" s="748">
        <v>7838401</v>
      </c>
      <c r="M260" s="235">
        <v>311</v>
      </c>
      <c r="N260" s="235"/>
      <c r="O260" s="235"/>
      <c r="P260" s="235"/>
      <c r="Q260" s="235"/>
      <c r="R260" s="235"/>
      <c r="S260" s="235"/>
      <c r="T260" s="235"/>
      <c r="U260" s="235"/>
      <c r="V260" s="235">
        <f>SUM(M260:U260)</f>
        <v>311</v>
      </c>
      <c r="W260" s="748">
        <v>7838401</v>
      </c>
    </row>
    <row r="261" spans="1:23" x14ac:dyDescent="0.2">
      <c r="A261" s="590"/>
      <c r="B261" s="235"/>
      <c r="C261" s="235"/>
      <c r="D261" s="235"/>
      <c r="E261" s="235"/>
      <c r="F261" s="235"/>
      <c r="G261" s="235"/>
      <c r="H261" s="235"/>
      <c r="I261" s="235"/>
      <c r="J261" s="235"/>
      <c r="K261" s="235"/>
      <c r="L261" s="748"/>
      <c r="M261" s="235"/>
      <c r="N261" s="235"/>
      <c r="O261" s="235"/>
      <c r="P261" s="235"/>
      <c r="Q261" s="235"/>
      <c r="R261" s="235"/>
      <c r="S261" s="235"/>
      <c r="T261" s="235"/>
      <c r="U261" s="235"/>
      <c r="V261" s="235"/>
      <c r="W261" s="748"/>
    </row>
    <row r="262" spans="1:23" x14ac:dyDescent="0.2">
      <c r="A262" s="729" t="s">
        <v>648</v>
      </c>
      <c r="B262" s="246">
        <f>SUM(B263:B287)</f>
        <v>0</v>
      </c>
      <c r="C262" s="246"/>
      <c r="D262" s="246"/>
      <c r="E262" s="246"/>
      <c r="F262" s="246"/>
      <c r="G262" s="246"/>
      <c r="H262" s="246"/>
      <c r="I262" s="246"/>
      <c r="J262" s="246">
        <f>SUM(J263:J287)</f>
        <v>4853</v>
      </c>
      <c r="K262" s="246">
        <f>SUM(K263:K287)</f>
        <v>4853</v>
      </c>
      <c r="L262" s="740">
        <f>SUM(L263:L287)</f>
        <v>170353488</v>
      </c>
      <c r="M262" s="246">
        <f>SUM(M263:M287)</f>
        <v>0</v>
      </c>
      <c r="N262" s="246"/>
      <c r="O262" s="246"/>
      <c r="P262" s="246"/>
      <c r="Q262" s="246"/>
      <c r="R262" s="246"/>
      <c r="S262" s="246"/>
      <c r="T262" s="246"/>
      <c r="U262" s="246">
        <f>SUM(U263:U287)</f>
        <v>4853</v>
      </c>
      <c r="V262" s="246">
        <f>SUM(V263:V287)</f>
        <v>4853</v>
      </c>
      <c r="W262" s="740">
        <f>SUM(W263:W287)</f>
        <v>170353488</v>
      </c>
    </row>
    <row r="263" spans="1:23" x14ac:dyDescent="0.2">
      <c r="A263" s="590" t="s">
        <v>709</v>
      </c>
      <c r="B263" s="235"/>
      <c r="C263" s="235"/>
      <c r="D263" s="235"/>
      <c r="E263" s="235"/>
      <c r="F263" s="235"/>
      <c r="G263" s="235"/>
      <c r="H263" s="235"/>
      <c r="I263" s="235"/>
      <c r="J263" s="235">
        <v>10</v>
      </c>
      <c r="K263" s="235">
        <f t="shared" ref="K263:K286" si="28">SUM(B263:J263)</f>
        <v>10</v>
      </c>
      <c r="L263" s="748">
        <v>853658</v>
      </c>
      <c r="M263" s="235"/>
      <c r="N263" s="235"/>
      <c r="O263" s="235"/>
      <c r="P263" s="235"/>
      <c r="Q263" s="235"/>
      <c r="R263" s="235"/>
      <c r="S263" s="235"/>
      <c r="T263" s="235"/>
      <c r="U263" s="235">
        <v>10</v>
      </c>
      <c r="V263" s="235">
        <f t="shared" ref="V263:V286" si="29">SUM(M263:U263)</f>
        <v>10</v>
      </c>
      <c r="W263" s="748">
        <v>853658</v>
      </c>
    </row>
    <row r="264" spans="1:23" x14ac:dyDescent="0.2">
      <c r="A264" s="590" t="s">
        <v>710</v>
      </c>
      <c r="B264" s="235"/>
      <c r="C264" s="235"/>
      <c r="D264" s="235"/>
      <c r="E264" s="235"/>
      <c r="F264" s="235"/>
      <c r="G264" s="235"/>
      <c r="H264" s="235"/>
      <c r="I264" s="235"/>
      <c r="J264" s="235">
        <v>8</v>
      </c>
      <c r="K264" s="235">
        <f t="shared" si="28"/>
        <v>8</v>
      </c>
      <c r="L264" s="748">
        <v>475747</v>
      </c>
      <c r="M264" s="235"/>
      <c r="N264" s="235"/>
      <c r="O264" s="235"/>
      <c r="P264" s="235"/>
      <c r="Q264" s="235"/>
      <c r="R264" s="235"/>
      <c r="S264" s="235"/>
      <c r="T264" s="235"/>
      <c r="U264" s="235">
        <v>8</v>
      </c>
      <c r="V264" s="235">
        <f t="shared" si="29"/>
        <v>8</v>
      </c>
      <c r="W264" s="748">
        <v>475747</v>
      </c>
    </row>
    <row r="265" spans="1:23" x14ac:dyDescent="0.2">
      <c r="A265" s="590" t="s">
        <v>668</v>
      </c>
      <c r="B265" s="235"/>
      <c r="C265" s="235"/>
      <c r="D265" s="235"/>
      <c r="E265" s="235"/>
      <c r="F265" s="235"/>
      <c r="G265" s="235"/>
      <c r="H265" s="235"/>
      <c r="I265" s="235"/>
      <c r="J265" s="235">
        <v>62</v>
      </c>
      <c r="K265" s="235">
        <f t="shared" si="28"/>
        <v>62</v>
      </c>
      <c r="L265" s="748">
        <v>4912127</v>
      </c>
      <c r="M265" s="235"/>
      <c r="N265" s="235"/>
      <c r="O265" s="235"/>
      <c r="P265" s="235"/>
      <c r="Q265" s="235"/>
      <c r="R265" s="235"/>
      <c r="S265" s="235"/>
      <c r="T265" s="235"/>
      <c r="U265" s="235">
        <v>62</v>
      </c>
      <c r="V265" s="235">
        <f t="shared" si="29"/>
        <v>62</v>
      </c>
      <c r="W265" s="748">
        <v>4912127</v>
      </c>
    </row>
    <row r="266" spans="1:23" x14ac:dyDescent="0.2">
      <c r="A266" s="590" t="s">
        <v>669</v>
      </c>
      <c r="B266" s="235"/>
      <c r="C266" s="235"/>
      <c r="D266" s="235"/>
      <c r="E266" s="235"/>
      <c r="F266" s="235"/>
      <c r="G266" s="235"/>
      <c r="H266" s="235"/>
      <c r="I266" s="235"/>
      <c r="J266" s="235">
        <v>112</v>
      </c>
      <c r="K266" s="235">
        <f t="shared" si="28"/>
        <v>112</v>
      </c>
      <c r="L266" s="748">
        <v>6139379</v>
      </c>
      <c r="M266" s="235"/>
      <c r="N266" s="235"/>
      <c r="O266" s="235"/>
      <c r="P266" s="235"/>
      <c r="Q266" s="235"/>
      <c r="R266" s="235"/>
      <c r="S266" s="235"/>
      <c r="T266" s="235"/>
      <c r="U266" s="235">
        <v>112</v>
      </c>
      <c r="V266" s="235">
        <f t="shared" si="29"/>
        <v>112</v>
      </c>
      <c r="W266" s="748">
        <v>6139379</v>
      </c>
    </row>
    <row r="267" spans="1:23" x14ac:dyDescent="0.2">
      <c r="A267" s="590" t="s">
        <v>671</v>
      </c>
      <c r="B267" s="235"/>
      <c r="C267" s="235"/>
      <c r="D267" s="235"/>
      <c r="E267" s="235"/>
      <c r="F267" s="235"/>
      <c r="G267" s="235"/>
      <c r="H267" s="235"/>
      <c r="I267" s="235"/>
      <c r="J267" s="235">
        <v>157</v>
      </c>
      <c r="K267" s="235">
        <f t="shared" si="28"/>
        <v>157</v>
      </c>
      <c r="L267" s="748">
        <v>10731528</v>
      </c>
      <c r="M267" s="235"/>
      <c r="N267" s="235"/>
      <c r="O267" s="235"/>
      <c r="P267" s="235"/>
      <c r="Q267" s="235"/>
      <c r="R267" s="235"/>
      <c r="S267" s="235"/>
      <c r="T267" s="235"/>
      <c r="U267" s="235">
        <v>157</v>
      </c>
      <c r="V267" s="235">
        <f t="shared" si="29"/>
        <v>157</v>
      </c>
      <c r="W267" s="748">
        <v>10731528</v>
      </c>
    </row>
    <row r="268" spans="1:23" x14ac:dyDescent="0.2">
      <c r="A268" s="590" t="s">
        <v>672</v>
      </c>
      <c r="B268" s="235"/>
      <c r="C268" s="235"/>
      <c r="D268" s="235"/>
      <c r="E268" s="235"/>
      <c r="F268" s="235"/>
      <c r="G268" s="235"/>
      <c r="H268" s="235"/>
      <c r="I268" s="235"/>
      <c r="J268" s="235">
        <v>252</v>
      </c>
      <c r="K268" s="235">
        <f t="shared" si="28"/>
        <v>252</v>
      </c>
      <c r="L268" s="748">
        <v>11791380</v>
      </c>
      <c r="M268" s="235"/>
      <c r="N268" s="235"/>
      <c r="O268" s="235"/>
      <c r="P268" s="235"/>
      <c r="Q268" s="235"/>
      <c r="R268" s="235"/>
      <c r="S268" s="235"/>
      <c r="T268" s="235"/>
      <c r="U268" s="235">
        <v>252</v>
      </c>
      <c r="V268" s="235">
        <f t="shared" si="29"/>
        <v>252</v>
      </c>
      <c r="W268" s="748">
        <v>11791380</v>
      </c>
    </row>
    <row r="269" spans="1:23" x14ac:dyDescent="0.2">
      <c r="A269" s="590" t="s">
        <v>674</v>
      </c>
      <c r="B269" s="235"/>
      <c r="C269" s="235"/>
      <c r="D269" s="235"/>
      <c r="E269" s="235"/>
      <c r="F269" s="235"/>
      <c r="G269" s="235"/>
      <c r="H269" s="235"/>
      <c r="I269" s="235"/>
      <c r="J269" s="235">
        <v>98</v>
      </c>
      <c r="K269" s="235">
        <f t="shared" si="28"/>
        <v>98</v>
      </c>
      <c r="L269" s="748">
        <v>5782318</v>
      </c>
      <c r="M269" s="235"/>
      <c r="N269" s="235"/>
      <c r="O269" s="235"/>
      <c r="P269" s="235"/>
      <c r="Q269" s="235"/>
      <c r="R269" s="235"/>
      <c r="S269" s="235"/>
      <c r="T269" s="235"/>
      <c r="U269" s="235">
        <v>98</v>
      </c>
      <c r="V269" s="235">
        <f t="shared" si="29"/>
        <v>98</v>
      </c>
      <c r="W269" s="748">
        <v>5782318</v>
      </c>
    </row>
    <row r="270" spans="1:23" x14ac:dyDescent="0.2">
      <c r="A270" s="590" t="s">
        <v>675</v>
      </c>
      <c r="B270" s="235"/>
      <c r="C270" s="235"/>
      <c r="D270" s="235"/>
      <c r="E270" s="235"/>
      <c r="F270" s="235"/>
      <c r="G270" s="235"/>
      <c r="H270" s="235"/>
      <c r="I270" s="235"/>
      <c r="J270" s="235">
        <v>410</v>
      </c>
      <c r="K270" s="235">
        <f t="shared" si="28"/>
        <v>410</v>
      </c>
      <c r="L270" s="748">
        <v>16766588</v>
      </c>
      <c r="M270" s="235"/>
      <c r="N270" s="235"/>
      <c r="O270" s="235"/>
      <c r="P270" s="235"/>
      <c r="Q270" s="235"/>
      <c r="R270" s="235"/>
      <c r="S270" s="235"/>
      <c r="T270" s="235"/>
      <c r="U270" s="235">
        <v>410</v>
      </c>
      <c r="V270" s="235">
        <f t="shared" si="29"/>
        <v>410</v>
      </c>
      <c r="W270" s="748">
        <v>16766588</v>
      </c>
    </row>
    <row r="271" spans="1:23" x14ac:dyDescent="0.2">
      <c r="A271" s="590" t="s">
        <v>677</v>
      </c>
      <c r="B271" s="235"/>
      <c r="C271" s="235"/>
      <c r="D271" s="235"/>
      <c r="E271" s="235"/>
      <c r="F271" s="235"/>
      <c r="G271" s="235"/>
      <c r="H271" s="235"/>
      <c r="I271" s="235"/>
      <c r="J271" s="235">
        <v>57</v>
      </c>
      <c r="K271" s="235">
        <f t="shared" si="28"/>
        <v>57</v>
      </c>
      <c r="L271" s="748">
        <v>3225787</v>
      </c>
      <c r="M271" s="235"/>
      <c r="N271" s="235"/>
      <c r="O271" s="235"/>
      <c r="P271" s="235"/>
      <c r="Q271" s="235"/>
      <c r="R271" s="235"/>
      <c r="S271" s="235"/>
      <c r="T271" s="235"/>
      <c r="U271" s="235">
        <v>57</v>
      </c>
      <c r="V271" s="235">
        <f t="shared" si="29"/>
        <v>57</v>
      </c>
      <c r="W271" s="748">
        <v>3225787</v>
      </c>
    </row>
    <row r="272" spans="1:23" x14ac:dyDescent="0.2">
      <c r="A272" s="590" t="s">
        <v>678</v>
      </c>
      <c r="B272" s="235"/>
      <c r="C272" s="235"/>
      <c r="D272" s="235"/>
      <c r="E272" s="235"/>
      <c r="F272" s="235"/>
      <c r="G272" s="235"/>
      <c r="H272" s="235"/>
      <c r="I272" s="235"/>
      <c r="J272" s="235">
        <v>595</v>
      </c>
      <c r="K272" s="235">
        <f t="shared" si="28"/>
        <v>595</v>
      </c>
      <c r="L272" s="748">
        <v>22556174</v>
      </c>
      <c r="M272" s="235"/>
      <c r="N272" s="235"/>
      <c r="O272" s="235"/>
      <c r="P272" s="235"/>
      <c r="Q272" s="235"/>
      <c r="R272" s="235"/>
      <c r="S272" s="235"/>
      <c r="T272" s="235"/>
      <c r="U272" s="235">
        <v>595</v>
      </c>
      <c r="V272" s="235">
        <f t="shared" si="29"/>
        <v>595</v>
      </c>
      <c r="W272" s="748">
        <v>22556174</v>
      </c>
    </row>
    <row r="273" spans="1:23" x14ac:dyDescent="0.2">
      <c r="A273" s="590" t="s">
        <v>680</v>
      </c>
      <c r="B273" s="235"/>
      <c r="C273" s="235"/>
      <c r="D273" s="235"/>
      <c r="E273" s="235"/>
      <c r="F273" s="235"/>
      <c r="G273" s="235"/>
      <c r="H273" s="235"/>
      <c r="I273" s="235"/>
      <c r="J273" s="235">
        <v>25</v>
      </c>
      <c r="K273" s="235">
        <f t="shared" si="28"/>
        <v>25</v>
      </c>
      <c r="L273" s="748">
        <v>1269270</v>
      </c>
      <c r="M273" s="235"/>
      <c r="N273" s="235"/>
      <c r="O273" s="235"/>
      <c r="P273" s="235"/>
      <c r="Q273" s="235"/>
      <c r="R273" s="235"/>
      <c r="S273" s="235"/>
      <c r="T273" s="235"/>
      <c r="U273" s="235">
        <v>25</v>
      </c>
      <c r="V273" s="235">
        <f t="shared" si="29"/>
        <v>25</v>
      </c>
      <c r="W273" s="748">
        <v>1269270</v>
      </c>
    </row>
    <row r="274" spans="1:23" x14ac:dyDescent="0.2">
      <c r="A274" s="590" t="s">
        <v>681</v>
      </c>
      <c r="B274" s="235"/>
      <c r="C274" s="235"/>
      <c r="D274" s="235"/>
      <c r="E274" s="235"/>
      <c r="F274" s="235"/>
      <c r="G274" s="235"/>
      <c r="H274" s="235"/>
      <c r="I274" s="235"/>
      <c r="J274" s="235">
        <v>597</v>
      </c>
      <c r="K274" s="235">
        <f t="shared" si="28"/>
        <v>597</v>
      </c>
      <c r="L274" s="748">
        <v>20879739</v>
      </c>
      <c r="M274" s="235"/>
      <c r="N274" s="235"/>
      <c r="O274" s="235"/>
      <c r="P274" s="235"/>
      <c r="Q274" s="235"/>
      <c r="R274" s="235"/>
      <c r="S274" s="235"/>
      <c r="T274" s="235"/>
      <c r="U274" s="235">
        <v>597</v>
      </c>
      <c r="V274" s="235">
        <f t="shared" si="29"/>
        <v>597</v>
      </c>
      <c r="W274" s="748">
        <v>20879739</v>
      </c>
    </row>
    <row r="275" spans="1:23" x14ac:dyDescent="0.2">
      <c r="A275" s="590" t="s">
        <v>683</v>
      </c>
      <c r="B275" s="235"/>
      <c r="C275" s="235"/>
      <c r="D275" s="235"/>
      <c r="E275" s="235"/>
      <c r="F275" s="235"/>
      <c r="G275" s="235"/>
      <c r="H275" s="235"/>
      <c r="I275" s="235"/>
      <c r="J275" s="235">
        <v>24</v>
      </c>
      <c r="K275" s="235">
        <f t="shared" si="28"/>
        <v>24</v>
      </c>
      <c r="L275" s="748">
        <v>1175579</v>
      </c>
      <c r="M275" s="235"/>
      <c r="N275" s="235"/>
      <c r="O275" s="235"/>
      <c r="P275" s="235"/>
      <c r="Q275" s="235"/>
      <c r="R275" s="235"/>
      <c r="S275" s="235"/>
      <c r="T275" s="235"/>
      <c r="U275" s="235">
        <v>24</v>
      </c>
      <c r="V275" s="235">
        <f t="shared" si="29"/>
        <v>24</v>
      </c>
      <c r="W275" s="748">
        <v>1175579</v>
      </c>
    </row>
    <row r="276" spans="1:23" x14ac:dyDescent="0.2">
      <c r="A276" s="590" t="s">
        <v>684</v>
      </c>
      <c r="B276" s="235"/>
      <c r="C276" s="235"/>
      <c r="D276" s="235"/>
      <c r="E276" s="235"/>
      <c r="F276" s="235"/>
      <c r="G276" s="235"/>
      <c r="H276" s="235"/>
      <c r="I276" s="235"/>
      <c r="J276" s="235">
        <v>558</v>
      </c>
      <c r="K276" s="235">
        <f t="shared" si="28"/>
        <v>558</v>
      </c>
      <c r="L276" s="748">
        <v>17786567</v>
      </c>
      <c r="M276" s="235"/>
      <c r="N276" s="235"/>
      <c r="O276" s="235"/>
      <c r="P276" s="235"/>
      <c r="Q276" s="235"/>
      <c r="R276" s="235"/>
      <c r="S276" s="235"/>
      <c r="T276" s="235"/>
      <c r="U276" s="235">
        <v>558</v>
      </c>
      <c r="V276" s="235">
        <f t="shared" si="29"/>
        <v>558</v>
      </c>
      <c r="W276" s="748">
        <v>17786567</v>
      </c>
    </row>
    <row r="277" spans="1:23" x14ac:dyDescent="0.2">
      <c r="A277" s="590" t="s">
        <v>687</v>
      </c>
      <c r="B277" s="235"/>
      <c r="C277" s="235"/>
      <c r="D277" s="235"/>
      <c r="E277" s="235"/>
      <c r="F277" s="235"/>
      <c r="G277" s="235"/>
      <c r="H277" s="235"/>
      <c r="I277" s="235"/>
      <c r="J277" s="235">
        <v>3</v>
      </c>
      <c r="K277" s="235">
        <f t="shared" si="28"/>
        <v>3</v>
      </c>
      <c r="L277" s="748">
        <v>44434</v>
      </c>
      <c r="M277" s="235"/>
      <c r="N277" s="235"/>
      <c r="O277" s="235"/>
      <c r="P277" s="235"/>
      <c r="Q277" s="235"/>
      <c r="R277" s="235"/>
      <c r="S277" s="235"/>
      <c r="T277" s="235"/>
      <c r="U277" s="235">
        <v>3</v>
      </c>
      <c r="V277" s="235">
        <f t="shared" si="29"/>
        <v>3</v>
      </c>
      <c r="W277" s="748">
        <v>44434</v>
      </c>
    </row>
    <row r="278" spans="1:23" x14ac:dyDescent="0.2">
      <c r="A278" s="590" t="s">
        <v>688</v>
      </c>
      <c r="B278" s="235"/>
      <c r="C278" s="235"/>
      <c r="D278" s="235"/>
      <c r="E278" s="235"/>
      <c r="F278" s="235"/>
      <c r="G278" s="235"/>
      <c r="H278" s="235"/>
      <c r="I278" s="235"/>
      <c r="J278" s="235">
        <v>2</v>
      </c>
      <c r="K278" s="235">
        <f t="shared" si="28"/>
        <v>2</v>
      </c>
      <c r="L278" s="748">
        <v>28723</v>
      </c>
      <c r="M278" s="235"/>
      <c r="N278" s="235"/>
      <c r="O278" s="235"/>
      <c r="P278" s="235"/>
      <c r="Q278" s="235"/>
      <c r="R278" s="235"/>
      <c r="S278" s="235"/>
      <c r="T278" s="235"/>
      <c r="U278" s="235">
        <v>2</v>
      </c>
      <c r="V278" s="235">
        <f t="shared" si="29"/>
        <v>2</v>
      </c>
      <c r="W278" s="748">
        <v>28723</v>
      </c>
    </row>
    <row r="279" spans="1:23" x14ac:dyDescent="0.2">
      <c r="A279" s="590" t="s">
        <v>693</v>
      </c>
      <c r="B279" s="235"/>
      <c r="C279" s="235"/>
      <c r="D279" s="235"/>
      <c r="E279" s="235"/>
      <c r="F279" s="235"/>
      <c r="G279" s="235"/>
      <c r="H279" s="235"/>
      <c r="I279" s="235"/>
      <c r="J279" s="235">
        <v>3</v>
      </c>
      <c r="K279" s="235">
        <f t="shared" si="28"/>
        <v>3</v>
      </c>
      <c r="L279" s="748">
        <v>43605</v>
      </c>
      <c r="M279" s="235"/>
      <c r="N279" s="235"/>
      <c r="O279" s="235"/>
      <c r="P279" s="235"/>
      <c r="Q279" s="235"/>
      <c r="R279" s="235"/>
      <c r="S279" s="235"/>
      <c r="T279" s="235"/>
      <c r="U279" s="235">
        <v>3</v>
      </c>
      <c r="V279" s="235">
        <f t="shared" si="29"/>
        <v>3</v>
      </c>
      <c r="W279" s="748">
        <v>43605</v>
      </c>
    </row>
    <row r="280" spans="1:23" x14ac:dyDescent="0.2">
      <c r="A280" s="590" t="s">
        <v>694</v>
      </c>
      <c r="B280" s="235"/>
      <c r="C280" s="235"/>
      <c r="D280" s="235"/>
      <c r="E280" s="235"/>
      <c r="F280" s="235"/>
      <c r="G280" s="235"/>
      <c r="H280" s="235"/>
      <c r="I280" s="235"/>
      <c r="J280" s="235">
        <v>1</v>
      </c>
      <c r="K280" s="235">
        <f t="shared" si="28"/>
        <v>1</v>
      </c>
      <c r="L280" s="748">
        <v>14027</v>
      </c>
      <c r="M280" s="235"/>
      <c r="N280" s="235"/>
      <c r="O280" s="235"/>
      <c r="P280" s="235"/>
      <c r="Q280" s="235"/>
      <c r="R280" s="235"/>
      <c r="S280" s="235"/>
      <c r="T280" s="235"/>
      <c r="U280" s="235">
        <v>1</v>
      </c>
      <c r="V280" s="235">
        <f t="shared" si="29"/>
        <v>1</v>
      </c>
      <c r="W280" s="748">
        <v>14027</v>
      </c>
    </row>
    <row r="281" spans="1:23" x14ac:dyDescent="0.2">
      <c r="A281" s="590" t="s">
        <v>696</v>
      </c>
      <c r="B281" s="235"/>
      <c r="C281" s="235"/>
      <c r="D281" s="235"/>
      <c r="E281" s="235"/>
      <c r="F281" s="235"/>
      <c r="G281" s="235"/>
      <c r="H281" s="235"/>
      <c r="I281" s="235"/>
      <c r="J281" s="235">
        <v>2</v>
      </c>
      <c r="K281" s="235">
        <f t="shared" si="28"/>
        <v>2</v>
      </c>
      <c r="L281" s="748">
        <v>28610</v>
      </c>
      <c r="M281" s="235"/>
      <c r="N281" s="235"/>
      <c r="O281" s="235"/>
      <c r="P281" s="235"/>
      <c r="Q281" s="235"/>
      <c r="R281" s="235"/>
      <c r="S281" s="235"/>
      <c r="T281" s="235"/>
      <c r="U281" s="235">
        <v>2</v>
      </c>
      <c r="V281" s="235">
        <f t="shared" si="29"/>
        <v>2</v>
      </c>
      <c r="W281" s="748">
        <v>28610</v>
      </c>
    </row>
    <row r="282" spans="1:23" x14ac:dyDescent="0.2">
      <c r="A282" s="590" t="s">
        <v>697</v>
      </c>
      <c r="B282" s="235"/>
      <c r="C282" s="235"/>
      <c r="D282" s="235"/>
      <c r="E282" s="235"/>
      <c r="F282" s="235"/>
      <c r="G282" s="235"/>
      <c r="H282" s="235"/>
      <c r="I282" s="235"/>
      <c r="J282" s="235">
        <v>1</v>
      </c>
      <c r="K282" s="235">
        <f t="shared" si="28"/>
        <v>1</v>
      </c>
      <c r="L282" s="748">
        <v>13848</v>
      </c>
      <c r="M282" s="235"/>
      <c r="N282" s="235"/>
      <c r="O282" s="235"/>
      <c r="P282" s="235"/>
      <c r="Q282" s="235"/>
      <c r="R282" s="235"/>
      <c r="S282" s="235"/>
      <c r="T282" s="235"/>
      <c r="U282" s="235">
        <v>1</v>
      </c>
      <c r="V282" s="235">
        <f t="shared" si="29"/>
        <v>1</v>
      </c>
      <c r="W282" s="748">
        <v>13848</v>
      </c>
    </row>
    <row r="283" spans="1:23" x14ac:dyDescent="0.2">
      <c r="A283" s="590" t="s">
        <v>659</v>
      </c>
      <c r="B283" s="235"/>
      <c r="C283" s="235"/>
      <c r="D283" s="235"/>
      <c r="E283" s="235"/>
      <c r="F283" s="235"/>
      <c r="G283" s="235"/>
      <c r="H283" s="235"/>
      <c r="I283" s="235"/>
      <c r="J283" s="235">
        <v>317</v>
      </c>
      <c r="K283" s="235">
        <f t="shared" si="28"/>
        <v>317</v>
      </c>
      <c r="L283" s="748">
        <v>6092955</v>
      </c>
      <c r="M283" s="235"/>
      <c r="N283" s="235"/>
      <c r="O283" s="235"/>
      <c r="P283" s="235"/>
      <c r="Q283" s="235"/>
      <c r="R283" s="235"/>
      <c r="S283" s="235"/>
      <c r="T283" s="235"/>
      <c r="U283" s="235">
        <v>317</v>
      </c>
      <c r="V283" s="235">
        <f t="shared" si="29"/>
        <v>317</v>
      </c>
      <c r="W283" s="748">
        <v>6092955</v>
      </c>
    </row>
    <row r="284" spans="1:23" x14ac:dyDescent="0.2">
      <c r="A284" s="590" t="s">
        <v>661</v>
      </c>
      <c r="B284" s="235"/>
      <c r="C284" s="235"/>
      <c r="D284" s="235"/>
      <c r="E284" s="235"/>
      <c r="F284" s="235"/>
      <c r="G284" s="235"/>
      <c r="H284" s="235"/>
      <c r="I284" s="235"/>
      <c r="J284" s="235">
        <v>8</v>
      </c>
      <c r="K284" s="235">
        <f t="shared" si="28"/>
        <v>8</v>
      </c>
      <c r="L284" s="748">
        <v>330012</v>
      </c>
      <c r="M284" s="235"/>
      <c r="N284" s="235"/>
      <c r="O284" s="235"/>
      <c r="P284" s="235"/>
      <c r="Q284" s="235"/>
      <c r="R284" s="235"/>
      <c r="S284" s="235"/>
      <c r="T284" s="235"/>
      <c r="U284" s="235">
        <v>8</v>
      </c>
      <c r="V284" s="235">
        <f t="shared" si="29"/>
        <v>8</v>
      </c>
      <c r="W284" s="748">
        <v>330012</v>
      </c>
    </row>
    <row r="285" spans="1:23" x14ac:dyDescent="0.2">
      <c r="A285" s="590" t="s">
        <v>660</v>
      </c>
      <c r="B285" s="235"/>
      <c r="C285" s="235"/>
      <c r="D285" s="235"/>
      <c r="E285" s="235"/>
      <c r="F285" s="235"/>
      <c r="G285" s="235"/>
      <c r="H285" s="235"/>
      <c r="I285" s="235"/>
      <c r="J285" s="235">
        <v>990</v>
      </c>
      <c r="K285" s="235">
        <f t="shared" si="28"/>
        <v>990</v>
      </c>
      <c r="L285" s="748">
        <v>30583637</v>
      </c>
      <c r="M285" s="235"/>
      <c r="N285" s="235"/>
      <c r="O285" s="235"/>
      <c r="P285" s="235"/>
      <c r="Q285" s="235"/>
      <c r="R285" s="235"/>
      <c r="S285" s="235"/>
      <c r="T285" s="235"/>
      <c r="U285" s="235">
        <v>990</v>
      </c>
      <c r="V285" s="235">
        <f t="shared" si="29"/>
        <v>990</v>
      </c>
      <c r="W285" s="748">
        <v>30583637</v>
      </c>
    </row>
    <row r="286" spans="1:23" x14ac:dyDescent="0.2">
      <c r="A286" s="590" t="s">
        <v>721</v>
      </c>
      <c r="B286" s="235"/>
      <c r="C286" s="235"/>
      <c r="D286" s="235"/>
      <c r="E286" s="235"/>
      <c r="F286" s="235"/>
      <c r="G286" s="235"/>
      <c r="H286" s="235"/>
      <c r="I286" s="235"/>
      <c r="J286" s="235">
        <v>561</v>
      </c>
      <c r="K286" s="235">
        <f t="shared" si="28"/>
        <v>561</v>
      </c>
      <c r="L286" s="748">
        <v>8827796</v>
      </c>
      <c r="M286" s="235"/>
      <c r="N286" s="235"/>
      <c r="O286" s="235"/>
      <c r="P286" s="235"/>
      <c r="Q286" s="235"/>
      <c r="R286" s="235"/>
      <c r="S286" s="235"/>
      <c r="T286" s="235"/>
      <c r="U286" s="235">
        <v>561</v>
      </c>
      <c r="V286" s="235">
        <f t="shared" si="29"/>
        <v>561</v>
      </c>
      <c r="W286" s="748">
        <v>8827796</v>
      </c>
    </row>
    <row r="287" spans="1:23" x14ac:dyDescent="0.2">
      <c r="A287" s="590"/>
      <c r="B287" s="235"/>
      <c r="C287" s="235"/>
      <c r="D287" s="235"/>
      <c r="E287" s="235"/>
      <c r="F287" s="235"/>
      <c r="G287" s="235"/>
      <c r="H287" s="235"/>
      <c r="I287" s="235"/>
      <c r="J287" s="235"/>
      <c r="K287" s="235"/>
      <c r="L287" s="748"/>
      <c r="M287" s="235"/>
      <c r="N287" s="235"/>
      <c r="O287" s="235"/>
      <c r="P287" s="235"/>
      <c r="Q287" s="235"/>
      <c r="R287" s="235"/>
      <c r="S287" s="235"/>
      <c r="T287" s="235"/>
      <c r="U287" s="235"/>
      <c r="V287" s="235"/>
      <c r="W287" s="748"/>
    </row>
    <row r="288" spans="1:23" x14ac:dyDescent="0.2">
      <c r="A288" s="729" t="s">
        <v>665</v>
      </c>
      <c r="B288" s="246">
        <f>SUM(B289:B292)</f>
        <v>0</v>
      </c>
      <c r="C288" s="246"/>
      <c r="D288" s="246"/>
      <c r="E288" s="246"/>
      <c r="F288" s="246"/>
      <c r="G288" s="246"/>
      <c r="H288" s="246"/>
      <c r="I288" s="246"/>
      <c r="J288" s="246">
        <f>SUM(J289:J292)</f>
        <v>4</v>
      </c>
      <c r="K288" s="246">
        <f>SUM(K289:K292)</f>
        <v>88</v>
      </c>
      <c r="L288" s="740">
        <f>SUM(L289:L292)</f>
        <v>2648703.2000000002</v>
      </c>
      <c r="M288" s="246">
        <f>SUM(M289:M292)</f>
        <v>0</v>
      </c>
      <c r="N288" s="246"/>
      <c r="O288" s="246"/>
      <c r="P288" s="246"/>
      <c r="Q288" s="246"/>
      <c r="R288" s="246"/>
      <c r="S288" s="246"/>
      <c r="T288" s="246"/>
      <c r="U288" s="246">
        <f>SUM(U289:U292)</f>
        <v>4</v>
      </c>
      <c r="V288" s="246">
        <f>SUM(V289:V292)</f>
        <v>89</v>
      </c>
      <c r="W288" s="740">
        <f>SUM(W289:W292)</f>
        <v>2679303.2000000002</v>
      </c>
    </row>
    <row r="289" spans="1:28" x14ac:dyDescent="0.2">
      <c r="A289" s="590" t="s">
        <v>702</v>
      </c>
      <c r="B289" s="235"/>
      <c r="C289" s="235"/>
      <c r="D289" s="235"/>
      <c r="E289" s="235"/>
      <c r="F289" s="235"/>
      <c r="G289" s="235"/>
      <c r="H289" s="235"/>
      <c r="I289" s="235"/>
      <c r="J289" s="235">
        <v>4</v>
      </c>
      <c r="K289" s="235">
        <f>SUM(B289:J289)</f>
        <v>4</v>
      </c>
      <c r="L289" s="748">
        <v>173103.2</v>
      </c>
      <c r="M289" s="235"/>
      <c r="N289" s="235"/>
      <c r="O289" s="235"/>
      <c r="P289" s="235"/>
      <c r="Q289" s="235"/>
      <c r="R289" s="235"/>
      <c r="S289" s="235"/>
      <c r="T289" s="235"/>
      <c r="U289" s="235">
        <v>4</v>
      </c>
      <c r="V289" s="235">
        <f>SUM(M289:U289)</f>
        <v>4</v>
      </c>
      <c r="W289" s="748">
        <v>173103.2</v>
      </c>
    </row>
    <row r="290" spans="1:28" x14ac:dyDescent="0.2">
      <c r="A290" s="729" t="s">
        <v>843</v>
      </c>
      <c r="B290" s="246"/>
      <c r="C290" s="246"/>
      <c r="D290" s="246"/>
      <c r="E290" s="246"/>
      <c r="F290" s="246"/>
      <c r="G290" s="246"/>
      <c r="H290" s="246"/>
      <c r="I290" s="246"/>
      <c r="J290" s="246"/>
      <c r="K290" s="246"/>
      <c r="L290" s="767"/>
      <c r="M290" s="246"/>
      <c r="N290" s="246"/>
      <c r="O290" s="246"/>
      <c r="P290" s="246"/>
      <c r="Q290" s="246"/>
      <c r="R290" s="246"/>
      <c r="S290" s="246"/>
      <c r="T290" s="246"/>
      <c r="U290" s="246"/>
      <c r="V290" s="246"/>
      <c r="W290" s="767"/>
    </row>
    <row r="291" spans="1:28" x14ac:dyDescent="0.2">
      <c r="A291" s="778" t="s">
        <v>4</v>
      </c>
      <c r="B291" s="275"/>
      <c r="C291" s="275"/>
      <c r="D291" s="275">
        <v>72</v>
      </c>
      <c r="E291" s="275"/>
      <c r="F291" s="275"/>
      <c r="G291" s="275"/>
      <c r="H291" s="275"/>
      <c r="I291" s="275"/>
      <c r="J291" s="275"/>
      <c r="K291" s="275">
        <v>72</v>
      </c>
      <c r="L291" s="779">
        <v>2281200</v>
      </c>
      <c r="M291" s="275"/>
      <c r="N291" s="275"/>
      <c r="O291" s="275">
        <v>73</v>
      </c>
      <c r="P291" s="275"/>
      <c r="Q291" s="275"/>
      <c r="R291" s="275"/>
      <c r="S291" s="275"/>
      <c r="T291" s="275"/>
      <c r="U291" s="275"/>
      <c r="V291" s="275">
        <v>73</v>
      </c>
      <c r="W291" s="779">
        <v>2311800</v>
      </c>
    </row>
    <row r="292" spans="1:28" x14ac:dyDescent="0.2">
      <c r="A292" s="778" t="s">
        <v>5</v>
      </c>
      <c r="B292" s="275"/>
      <c r="C292" s="275"/>
      <c r="D292" s="275">
        <v>12</v>
      </c>
      <c r="E292" s="275"/>
      <c r="F292" s="275"/>
      <c r="G292" s="275"/>
      <c r="H292" s="275"/>
      <c r="I292" s="275"/>
      <c r="J292" s="275"/>
      <c r="K292" s="275">
        <v>12</v>
      </c>
      <c r="L292" s="779">
        <v>194400</v>
      </c>
      <c r="M292" s="275"/>
      <c r="N292" s="275"/>
      <c r="O292" s="275">
        <v>12</v>
      </c>
      <c r="P292" s="275"/>
      <c r="Q292" s="275"/>
      <c r="R292" s="275"/>
      <c r="S292" s="275"/>
      <c r="T292" s="275"/>
      <c r="U292" s="275"/>
      <c r="V292" s="275">
        <v>12</v>
      </c>
      <c r="W292" s="779">
        <v>194400</v>
      </c>
    </row>
    <row r="293" spans="1:28" ht="13.5" thickBot="1" x14ac:dyDescent="0.25">
      <c r="A293" s="778" t="s">
        <v>6</v>
      </c>
      <c r="B293" s="275"/>
      <c r="C293" s="275"/>
      <c r="D293" s="275">
        <v>45</v>
      </c>
      <c r="E293" s="275"/>
      <c r="F293" s="275"/>
      <c r="G293" s="275"/>
      <c r="H293" s="275"/>
      <c r="I293" s="275"/>
      <c r="J293" s="275"/>
      <c r="K293" s="275">
        <v>45</v>
      </c>
      <c r="L293" s="779">
        <v>648000</v>
      </c>
      <c r="M293" s="275"/>
      <c r="N293" s="275"/>
      <c r="O293" s="275">
        <v>45</v>
      </c>
      <c r="P293" s="275"/>
      <c r="Q293" s="275"/>
      <c r="R293" s="275"/>
      <c r="S293" s="275"/>
      <c r="T293" s="275"/>
      <c r="U293" s="275"/>
      <c r="V293" s="275">
        <v>45</v>
      </c>
      <c r="W293" s="779">
        <v>648000</v>
      </c>
    </row>
    <row r="294" spans="1:28" ht="13.5" thickBot="1" x14ac:dyDescent="0.25">
      <c r="A294" s="520" t="s">
        <v>21</v>
      </c>
      <c r="B294" s="773">
        <f t="shared" ref="B294:W294" si="30">B235+B243+B249+B256+B262+B288</f>
        <v>547</v>
      </c>
      <c r="C294" s="773">
        <f t="shared" si="30"/>
        <v>0</v>
      </c>
      <c r="D294" s="773">
        <f t="shared" si="30"/>
        <v>0</v>
      </c>
      <c r="E294" s="773">
        <f t="shared" si="30"/>
        <v>0</v>
      </c>
      <c r="F294" s="773">
        <f t="shared" si="30"/>
        <v>0</v>
      </c>
      <c r="G294" s="773">
        <f t="shared" si="30"/>
        <v>0</v>
      </c>
      <c r="H294" s="773">
        <f t="shared" si="30"/>
        <v>0</v>
      </c>
      <c r="I294" s="773">
        <f t="shared" si="30"/>
        <v>0</v>
      </c>
      <c r="J294" s="773">
        <f t="shared" si="30"/>
        <v>4857</v>
      </c>
      <c r="K294" s="773">
        <f t="shared" si="30"/>
        <v>5488</v>
      </c>
      <c r="L294" s="774">
        <f t="shared" si="30"/>
        <v>187584964.19999999</v>
      </c>
      <c r="M294" s="773">
        <f t="shared" si="30"/>
        <v>547</v>
      </c>
      <c r="N294" s="773">
        <f t="shared" si="30"/>
        <v>0</v>
      </c>
      <c r="O294" s="773">
        <f t="shared" si="30"/>
        <v>0</v>
      </c>
      <c r="P294" s="773">
        <f t="shared" si="30"/>
        <v>0</v>
      </c>
      <c r="Q294" s="773">
        <f t="shared" si="30"/>
        <v>0</v>
      </c>
      <c r="R294" s="773">
        <f t="shared" si="30"/>
        <v>0</v>
      </c>
      <c r="S294" s="773">
        <f t="shared" si="30"/>
        <v>0</v>
      </c>
      <c r="T294" s="773">
        <f t="shared" si="30"/>
        <v>0</v>
      </c>
      <c r="U294" s="773">
        <f t="shared" si="30"/>
        <v>4857</v>
      </c>
      <c r="V294" s="773">
        <f t="shared" si="30"/>
        <v>5489</v>
      </c>
      <c r="W294" s="774">
        <f t="shared" si="30"/>
        <v>187615564.19999999</v>
      </c>
    </row>
    <row r="295" spans="1:28" x14ac:dyDescent="0.2">
      <c r="A295" s="235"/>
      <c r="B295" s="235"/>
      <c r="C295" s="235"/>
      <c r="D295" s="235"/>
      <c r="E295" s="235"/>
      <c r="F295" s="235"/>
      <c r="G295" s="235"/>
      <c r="H295" s="235"/>
      <c r="I295" s="235"/>
      <c r="J295" s="235"/>
      <c r="K295" s="235"/>
      <c r="L295" s="235"/>
      <c r="M295" s="235"/>
      <c r="N295" s="235"/>
      <c r="O295" s="235"/>
      <c r="P295" s="235"/>
      <c r="Q295" s="235"/>
      <c r="R295" s="235"/>
      <c r="S295" s="235"/>
      <c r="T295" s="235"/>
      <c r="U295" s="235"/>
      <c r="V295" s="235"/>
      <c r="W295" s="235"/>
    </row>
    <row r="296" spans="1:28" x14ac:dyDescent="0.2">
      <c r="A296" s="235"/>
      <c r="B296" s="235"/>
      <c r="C296" s="235"/>
      <c r="D296" s="235"/>
      <c r="E296" s="235"/>
      <c r="F296" s="235"/>
      <c r="G296" s="235"/>
      <c r="H296" s="235"/>
      <c r="I296" s="235"/>
      <c r="J296" s="235"/>
      <c r="K296" s="235"/>
      <c r="L296" s="235"/>
      <c r="M296" s="235"/>
      <c r="N296" s="235"/>
      <c r="O296" s="235"/>
      <c r="P296" s="235"/>
      <c r="Q296" s="235"/>
      <c r="R296" s="235"/>
      <c r="S296" s="235"/>
      <c r="T296" s="235"/>
      <c r="U296" s="235"/>
      <c r="V296" s="235"/>
      <c r="W296" s="235"/>
    </row>
    <row r="297" spans="1:28" s="782" customFormat="1" ht="15.75" x14ac:dyDescent="0.2">
      <c r="A297" s="780" t="s">
        <v>727</v>
      </c>
      <c r="B297" s="781"/>
      <c r="C297" s="781"/>
      <c r="D297" s="781"/>
      <c r="E297" s="781"/>
      <c r="F297" s="781"/>
      <c r="G297" s="781"/>
      <c r="H297" s="781"/>
      <c r="I297" s="781"/>
      <c r="J297" s="781"/>
      <c r="K297" s="781"/>
      <c r="L297" s="781"/>
      <c r="M297" s="781"/>
      <c r="N297" s="781"/>
      <c r="O297" s="781"/>
      <c r="P297" s="781"/>
      <c r="Q297" s="781"/>
      <c r="R297" s="781"/>
      <c r="S297" s="781"/>
      <c r="T297" s="781"/>
      <c r="U297" s="781"/>
      <c r="V297" s="781"/>
      <c r="W297" s="781"/>
    </row>
    <row r="298" spans="1:28" s="73" customFormat="1" ht="15.75" x14ac:dyDescent="0.25">
      <c r="A298" s="164" t="s">
        <v>315</v>
      </c>
    </row>
    <row r="299" spans="1:28" ht="13.5" thickBot="1" x14ac:dyDescent="0.25">
      <c r="L299" s="783"/>
      <c r="W299" s="783"/>
      <c r="X299" s="784"/>
    </row>
    <row r="300" spans="1:28" s="39" customFormat="1" ht="26.25" customHeight="1" x14ac:dyDescent="0.2">
      <c r="A300" s="785" t="s">
        <v>10</v>
      </c>
      <c r="B300" s="1345" t="s">
        <v>419</v>
      </c>
      <c r="C300" s="1346"/>
      <c r="D300" s="1346"/>
      <c r="E300" s="1346"/>
      <c r="F300" s="1346"/>
      <c r="G300" s="1346"/>
      <c r="H300" s="1346"/>
      <c r="I300" s="1346"/>
      <c r="J300" s="1346"/>
      <c r="K300" s="1346"/>
      <c r="L300" s="1347"/>
      <c r="M300" s="1345" t="s">
        <v>420</v>
      </c>
      <c r="N300" s="1346"/>
      <c r="O300" s="1346"/>
      <c r="P300" s="1346"/>
      <c r="Q300" s="1346"/>
      <c r="R300" s="1346"/>
      <c r="S300" s="1346"/>
      <c r="T300" s="1346"/>
      <c r="U300" s="1346"/>
      <c r="V300" s="1346"/>
      <c r="W300" s="1347"/>
      <c r="X300" s="786"/>
    </row>
    <row r="301" spans="1:28" s="794" customFormat="1" ht="99.95" customHeight="1" x14ac:dyDescent="0.2">
      <c r="A301" s="787" t="s">
        <v>9</v>
      </c>
      <c r="B301" s="788" t="s">
        <v>316</v>
      </c>
      <c r="C301" s="788" t="s">
        <v>113</v>
      </c>
      <c r="D301" s="789" t="s">
        <v>272</v>
      </c>
      <c r="E301" s="789" t="s">
        <v>266</v>
      </c>
      <c r="F301" s="789" t="s">
        <v>274</v>
      </c>
      <c r="G301" s="789" t="s">
        <v>275</v>
      </c>
      <c r="H301" s="789" t="s">
        <v>276</v>
      </c>
      <c r="I301" s="789" t="s">
        <v>283</v>
      </c>
      <c r="J301" s="790" t="s">
        <v>278</v>
      </c>
      <c r="K301" s="791" t="s">
        <v>280</v>
      </c>
      <c r="L301" s="792" t="s">
        <v>282</v>
      </c>
      <c r="M301" s="788" t="s">
        <v>316</v>
      </c>
      <c r="N301" s="788" t="s">
        <v>113</v>
      </c>
      <c r="O301" s="789" t="s">
        <v>272</v>
      </c>
      <c r="P301" s="789" t="s">
        <v>266</v>
      </c>
      <c r="Q301" s="789" t="s">
        <v>274</v>
      </c>
      <c r="R301" s="789" t="s">
        <v>275</v>
      </c>
      <c r="S301" s="789" t="s">
        <v>276</v>
      </c>
      <c r="T301" s="789" t="s">
        <v>283</v>
      </c>
      <c r="U301" s="790" t="s">
        <v>278</v>
      </c>
      <c r="V301" s="791" t="s">
        <v>280</v>
      </c>
      <c r="W301" s="792" t="s">
        <v>281</v>
      </c>
      <c r="X301" s="793"/>
    </row>
    <row r="302" spans="1:28" x14ac:dyDescent="0.2">
      <c r="A302" s="795"/>
      <c r="L302" s="796"/>
      <c r="W302" s="796"/>
      <c r="X302" s="784"/>
      <c r="AA302" s="85"/>
      <c r="AB302" s="85"/>
    </row>
    <row r="303" spans="1:28" x14ac:dyDescent="0.2">
      <c r="A303" s="797" t="s">
        <v>7</v>
      </c>
      <c r="B303" s="798">
        <f t="shared" ref="B303:W303" si="31">SUM(B305:B309)</f>
        <v>42467.980340000002</v>
      </c>
      <c r="C303" s="798">
        <f t="shared" si="31"/>
        <v>0</v>
      </c>
      <c r="D303" s="798">
        <f t="shared" si="31"/>
        <v>21000</v>
      </c>
      <c r="E303" s="798">
        <f t="shared" si="31"/>
        <v>0</v>
      </c>
      <c r="F303" s="798">
        <f t="shared" si="31"/>
        <v>0</v>
      </c>
      <c r="G303" s="798">
        <f t="shared" si="31"/>
        <v>0</v>
      </c>
      <c r="H303" s="798">
        <f t="shared" si="31"/>
        <v>0</v>
      </c>
      <c r="I303" s="798">
        <f t="shared" si="31"/>
        <v>0</v>
      </c>
      <c r="J303" s="798">
        <f t="shared" si="31"/>
        <v>0</v>
      </c>
      <c r="K303" s="798">
        <f t="shared" si="31"/>
        <v>63467.980339999995</v>
      </c>
      <c r="L303" s="798">
        <f t="shared" si="31"/>
        <v>637615.76407999999</v>
      </c>
      <c r="M303" s="798">
        <f t="shared" si="31"/>
        <v>42467.980340000002</v>
      </c>
      <c r="N303" s="798">
        <f t="shared" si="31"/>
        <v>0</v>
      </c>
      <c r="O303" s="798">
        <f t="shared" si="31"/>
        <v>10000</v>
      </c>
      <c r="P303" s="798">
        <f t="shared" si="31"/>
        <v>0</v>
      </c>
      <c r="Q303" s="798">
        <f t="shared" si="31"/>
        <v>0</v>
      </c>
      <c r="R303" s="798">
        <f t="shared" si="31"/>
        <v>0</v>
      </c>
      <c r="S303" s="798">
        <f t="shared" si="31"/>
        <v>0</v>
      </c>
      <c r="T303" s="798">
        <f t="shared" si="31"/>
        <v>0</v>
      </c>
      <c r="U303" s="798">
        <f t="shared" si="31"/>
        <v>0</v>
      </c>
      <c r="V303" s="798">
        <f t="shared" si="31"/>
        <v>52467.980339999995</v>
      </c>
      <c r="W303" s="798">
        <f t="shared" si="31"/>
        <v>639615.76407999999</v>
      </c>
      <c r="X303" s="799"/>
      <c r="AA303" s="85"/>
      <c r="AB303" s="85"/>
    </row>
    <row r="304" spans="1:28" x14ac:dyDescent="0.2">
      <c r="A304" s="795" t="s">
        <v>3</v>
      </c>
      <c r="B304" s="800"/>
      <c r="C304" s="800"/>
      <c r="D304" s="800"/>
      <c r="E304" s="800"/>
      <c r="F304" s="800"/>
      <c r="G304" s="800"/>
      <c r="H304" s="800"/>
      <c r="I304" s="800"/>
      <c r="J304" s="800"/>
      <c r="K304" s="800"/>
      <c r="L304" s="801"/>
      <c r="M304" s="800"/>
      <c r="N304" s="800"/>
      <c r="O304" s="800"/>
      <c r="P304" s="800"/>
      <c r="Q304" s="800"/>
      <c r="R304" s="800"/>
      <c r="S304" s="800"/>
      <c r="T304" s="800"/>
      <c r="U304" s="800"/>
      <c r="V304" s="800"/>
      <c r="W304" s="801"/>
      <c r="X304" s="784"/>
      <c r="AA304" s="85"/>
      <c r="AB304" s="85"/>
    </row>
    <row r="305" spans="1:28" x14ac:dyDescent="0.2">
      <c r="A305" s="795" t="s">
        <v>730</v>
      </c>
      <c r="B305" s="800"/>
      <c r="C305" s="800"/>
      <c r="D305" s="800"/>
      <c r="E305" s="800"/>
      <c r="F305" s="800"/>
      <c r="G305" s="800"/>
      <c r="H305" s="800"/>
      <c r="I305" s="800"/>
      <c r="J305" s="800"/>
      <c r="K305" s="800"/>
      <c r="L305" s="801"/>
      <c r="M305" s="800"/>
      <c r="N305" s="800"/>
      <c r="O305" s="800"/>
      <c r="P305" s="800"/>
      <c r="Q305" s="800"/>
      <c r="R305" s="800"/>
      <c r="S305" s="800"/>
      <c r="T305" s="800"/>
      <c r="U305" s="800"/>
      <c r="V305" s="800"/>
      <c r="W305" s="801"/>
      <c r="X305" s="784"/>
      <c r="AA305" s="85"/>
      <c r="AB305" s="85"/>
    </row>
    <row r="306" spans="1:28" x14ac:dyDescent="0.2">
      <c r="A306" s="795" t="s">
        <v>579</v>
      </c>
      <c r="B306" s="800">
        <v>6991.0684399999991</v>
      </c>
      <c r="C306" s="800"/>
      <c r="D306" s="802">
        <v>11000</v>
      </c>
      <c r="E306" s="800"/>
      <c r="F306" s="800"/>
      <c r="G306" s="800"/>
      <c r="H306" s="800"/>
      <c r="I306" s="800"/>
      <c r="J306" s="800"/>
      <c r="K306" s="800">
        <f>SUM(B306:J306)</f>
        <v>17991.068439999999</v>
      </c>
      <c r="L306" s="800">
        <f>83892.82128</f>
        <v>83892.821280000004</v>
      </c>
      <c r="M306" s="800">
        <v>6991.0684399999991</v>
      </c>
      <c r="N306" s="800"/>
      <c r="O306" s="800"/>
      <c r="P306" s="800"/>
      <c r="Q306" s="800"/>
      <c r="R306" s="800"/>
      <c r="S306" s="800"/>
      <c r="T306" s="800"/>
      <c r="U306" s="800"/>
      <c r="V306" s="800">
        <f>SUM(M306:U306)</f>
        <v>6991.0684399999991</v>
      </c>
      <c r="W306" s="800">
        <f>83892.82128+1000</f>
        <v>84892.821280000004</v>
      </c>
      <c r="X306" s="784"/>
      <c r="AA306" s="85"/>
      <c r="AB306" s="85"/>
    </row>
    <row r="307" spans="1:28" x14ac:dyDescent="0.2">
      <c r="A307" s="795" t="s">
        <v>580</v>
      </c>
      <c r="B307" s="803">
        <v>5267.6972850000002</v>
      </c>
      <c r="C307" s="800"/>
      <c r="D307" s="800">
        <v>10000</v>
      </c>
      <c r="E307" s="800"/>
      <c r="F307" s="800"/>
      <c r="G307" s="800"/>
      <c r="H307" s="800"/>
      <c r="I307" s="800"/>
      <c r="J307" s="800"/>
      <c r="K307" s="800">
        <f>SUM(B307:J307)</f>
        <v>15267.697285</v>
      </c>
      <c r="L307" s="801">
        <f>+K307*12+1000</f>
        <v>184212.36742</v>
      </c>
      <c r="M307" s="803">
        <v>5267.6972850000002</v>
      </c>
      <c r="N307" s="800"/>
      <c r="O307" s="800">
        <v>10000</v>
      </c>
      <c r="P307" s="800"/>
      <c r="Q307" s="800"/>
      <c r="R307" s="800"/>
      <c r="S307" s="800"/>
      <c r="T307" s="800"/>
      <c r="U307" s="800"/>
      <c r="V307" s="800">
        <f>SUM(M307:U307)</f>
        <v>15267.697285</v>
      </c>
      <c r="W307" s="801">
        <f>+V307*12+1000+1000</f>
        <v>185212.36742</v>
      </c>
      <c r="X307" s="784"/>
      <c r="AA307" s="85"/>
      <c r="AB307" s="85"/>
    </row>
    <row r="308" spans="1:28" x14ac:dyDescent="0.2">
      <c r="A308" s="795" t="s">
        <v>12</v>
      </c>
      <c r="B308" s="800">
        <v>30209.214615000001</v>
      </c>
      <c r="C308" s="800"/>
      <c r="D308" s="800"/>
      <c r="E308" s="800"/>
      <c r="F308" s="800"/>
      <c r="G308" s="800"/>
      <c r="H308" s="800"/>
      <c r="I308" s="800"/>
      <c r="J308" s="800"/>
      <c r="K308" s="800">
        <f>SUM(B308:J308)</f>
        <v>30209.214615000001</v>
      </c>
      <c r="L308" s="801">
        <f>+K308*12+7000</f>
        <v>369510.57537999999</v>
      </c>
      <c r="M308" s="800">
        <v>30209.214615000001</v>
      </c>
      <c r="N308" s="800"/>
      <c r="O308" s="800"/>
      <c r="P308" s="800"/>
      <c r="Q308" s="800"/>
      <c r="R308" s="800"/>
      <c r="S308" s="800"/>
      <c r="T308" s="800"/>
      <c r="U308" s="800"/>
      <c r="V308" s="800">
        <f>SUM(M308:U308)</f>
        <v>30209.214615000001</v>
      </c>
      <c r="W308" s="801">
        <f>+V308*12+7000</f>
        <v>369510.57537999999</v>
      </c>
      <c r="X308" s="784"/>
      <c r="AA308" s="85"/>
      <c r="AB308" s="85"/>
    </row>
    <row r="309" spans="1:28" x14ac:dyDescent="0.2">
      <c r="A309" s="804"/>
      <c r="L309" s="796"/>
      <c r="W309" s="796"/>
      <c r="X309" s="784"/>
      <c r="AA309" s="85"/>
      <c r="AB309" s="85"/>
    </row>
    <row r="310" spans="1:28" x14ac:dyDescent="0.2">
      <c r="A310" s="797" t="s">
        <v>4</v>
      </c>
      <c r="B310" s="798">
        <f>SUM(B311:B314)</f>
        <v>108878.11669999998</v>
      </c>
      <c r="C310" s="798">
        <f t="shared" ref="C310:W310" si="32">SUM(C311:C314)</f>
        <v>0</v>
      </c>
      <c r="D310" s="798">
        <f t="shared" si="32"/>
        <v>23539</v>
      </c>
      <c r="E310" s="798">
        <f t="shared" si="32"/>
        <v>0</v>
      </c>
      <c r="F310" s="798">
        <f t="shared" si="32"/>
        <v>0</v>
      </c>
      <c r="G310" s="798">
        <f t="shared" si="32"/>
        <v>0</v>
      </c>
      <c r="H310" s="798">
        <f t="shared" si="32"/>
        <v>0</v>
      </c>
      <c r="I310" s="798">
        <f t="shared" si="32"/>
        <v>0</v>
      </c>
      <c r="J310" s="798">
        <f t="shared" si="32"/>
        <v>0</v>
      </c>
      <c r="K310" s="798">
        <f t="shared" si="32"/>
        <v>132417.11669999998</v>
      </c>
      <c r="L310" s="798">
        <f t="shared" si="32"/>
        <v>1630105.4003999999</v>
      </c>
      <c r="M310" s="798">
        <f t="shared" si="32"/>
        <v>108878.11669999998</v>
      </c>
      <c r="N310" s="798">
        <f t="shared" si="32"/>
        <v>0</v>
      </c>
      <c r="O310" s="798">
        <f t="shared" si="32"/>
        <v>23539</v>
      </c>
      <c r="P310" s="798">
        <f t="shared" si="32"/>
        <v>0</v>
      </c>
      <c r="Q310" s="798">
        <f t="shared" si="32"/>
        <v>0</v>
      </c>
      <c r="R310" s="798">
        <f t="shared" si="32"/>
        <v>0</v>
      </c>
      <c r="S310" s="798">
        <f t="shared" si="32"/>
        <v>0</v>
      </c>
      <c r="T310" s="798">
        <f t="shared" si="32"/>
        <v>0</v>
      </c>
      <c r="U310" s="798">
        <f t="shared" si="32"/>
        <v>0</v>
      </c>
      <c r="V310" s="798">
        <f t="shared" si="32"/>
        <v>132417.11669999998</v>
      </c>
      <c r="W310" s="798">
        <f t="shared" si="32"/>
        <v>1630105.4003999999</v>
      </c>
      <c r="X310" s="799"/>
      <c r="AA310" s="85"/>
      <c r="AB310" s="85"/>
    </row>
    <row r="311" spans="1:28" x14ac:dyDescent="0.2">
      <c r="A311" s="795" t="s">
        <v>583</v>
      </c>
      <c r="B311" s="800">
        <v>3914.7644049999999</v>
      </c>
      <c r="C311" s="800"/>
      <c r="D311" s="800"/>
      <c r="E311" s="800"/>
      <c r="F311" s="800"/>
      <c r="G311" s="800"/>
      <c r="H311" s="800"/>
      <c r="I311" s="800"/>
      <c r="J311" s="800"/>
      <c r="K311" s="800">
        <f>SUM(B311:J311)</f>
        <v>3914.7644049999999</v>
      </c>
      <c r="L311" s="801">
        <f>+K311*12+100</f>
        <v>47077.172859999999</v>
      </c>
      <c r="M311" s="800">
        <v>3914.7644049999999</v>
      </c>
      <c r="N311" s="800"/>
      <c r="O311" s="800"/>
      <c r="P311" s="800"/>
      <c r="Q311" s="800"/>
      <c r="R311" s="800"/>
      <c r="S311" s="800"/>
      <c r="T311" s="800"/>
      <c r="U311" s="800"/>
      <c r="V311" s="800">
        <f>SUM(M311:U311)</f>
        <v>3914.7644049999999</v>
      </c>
      <c r="W311" s="801">
        <f>+V311*12+100</f>
        <v>47077.172859999999</v>
      </c>
      <c r="X311" s="784"/>
      <c r="AA311" s="85"/>
      <c r="AB311" s="85"/>
    </row>
    <row r="312" spans="1:28" x14ac:dyDescent="0.2">
      <c r="A312" s="795" t="s">
        <v>584</v>
      </c>
      <c r="B312" s="800">
        <v>46920.502519999995</v>
      </c>
      <c r="C312" s="800"/>
      <c r="D312" s="800"/>
      <c r="E312" s="800"/>
      <c r="F312" s="800"/>
      <c r="G312" s="800"/>
      <c r="H312" s="800"/>
      <c r="I312" s="800"/>
      <c r="J312" s="800"/>
      <c r="K312" s="800">
        <f>SUM(B312:J312)</f>
        <v>46920.502519999995</v>
      </c>
      <c r="L312" s="801">
        <f>+K312*12+14000</f>
        <v>577046.03023999999</v>
      </c>
      <c r="M312" s="800">
        <v>46920.502519999995</v>
      </c>
      <c r="N312" s="800"/>
      <c r="O312" s="800"/>
      <c r="P312" s="800"/>
      <c r="Q312" s="800"/>
      <c r="R312" s="800"/>
      <c r="S312" s="800"/>
      <c r="T312" s="800"/>
      <c r="U312" s="800"/>
      <c r="V312" s="800">
        <f>SUM(M312:U312)</f>
        <v>46920.502519999995</v>
      </c>
      <c r="W312" s="801">
        <f>+V312*12+14000</f>
        <v>577046.03023999999</v>
      </c>
      <c r="X312" s="784"/>
      <c r="AA312" s="85"/>
      <c r="AB312" s="85"/>
    </row>
    <row r="313" spans="1:28" x14ac:dyDescent="0.2">
      <c r="A313" s="795" t="s">
        <v>14</v>
      </c>
      <c r="B313" s="800">
        <v>58042.849774999995</v>
      </c>
      <c r="C313" s="800"/>
      <c r="D313" s="800">
        <v>23539</v>
      </c>
      <c r="E313" s="800"/>
      <c r="F313" s="800"/>
      <c r="G313" s="800"/>
      <c r="H313" s="800"/>
      <c r="I313" s="800"/>
      <c r="J313" s="800"/>
      <c r="K313" s="800">
        <f>SUM(B313:J313)</f>
        <v>81581.849774999995</v>
      </c>
      <c r="L313" s="801">
        <f>+K313*12+16000+11000</f>
        <v>1005982.1972999999</v>
      </c>
      <c r="M313" s="800">
        <v>58042.849774999995</v>
      </c>
      <c r="N313" s="800"/>
      <c r="O313" s="800">
        <v>23539</v>
      </c>
      <c r="P313" s="800"/>
      <c r="Q313" s="800"/>
      <c r="R313" s="800"/>
      <c r="S313" s="800"/>
      <c r="T313" s="800"/>
      <c r="U313" s="800"/>
      <c r="V313" s="800">
        <f>SUM(M313:U313)</f>
        <v>81581.849774999995</v>
      </c>
      <c r="W313" s="801">
        <f>+V313*12+16000+11000</f>
        <v>1005982.1972999999</v>
      </c>
      <c r="X313" s="784"/>
      <c r="AA313" s="85"/>
      <c r="AB313" s="85"/>
    </row>
    <row r="314" spans="1:28" x14ac:dyDescent="0.2">
      <c r="A314" s="795"/>
      <c r="B314" s="800"/>
      <c r="C314" s="800"/>
      <c r="D314" s="800"/>
      <c r="E314" s="800"/>
      <c r="F314" s="800"/>
      <c r="G314" s="800"/>
      <c r="H314" s="800"/>
      <c r="I314" s="800"/>
      <c r="J314" s="800"/>
      <c r="K314" s="800"/>
      <c r="L314" s="801"/>
      <c r="M314" s="800"/>
      <c r="N314" s="800"/>
      <c r="O314" s="800"/>
      <c r="P314" s="800"/>
      <c r="Q314" s="800"/>
      <c r="R314" s="800"/>
      <c r="S314" s="800"/>
      <c r="T314" s="800"/>
      <c r="U314" s="800"/>
      <c r="V314" s="800"/>
      <c r="W314" s="801"/>
      <c r="X314" s="784"/>
      <c r="AA314" s="85"/>
      <c r="AB314" s="85"/>
    </row>
    <row r="315" spans="1:28" x14ac:dyDescent="0.2">
      <c r="A315" s="797" t="s">
        <v>5</v>
      </c>
      <c r="B315" s="798">
        <f>SUM(B316:B321)</f>
        <v>238723.14908999999</v>
      </c>
      <c r="C315" s="798">
        <f t="shared" ref="C315:W315" si="33">SUM(C316:C321)</f>
        <v>0</v>
      </c>
      <c r="D315" s="798">
        <f t="shared" si="33"/>
        <v>75600</v>
      </c>
      <c r="E315" s="798">
        <f t="shared" si="33"/>
        <v>0</v>
      </c>
      <c r="F315" s="798">
        <f t="shared" si="33"/>
        <v>0</v>
      </c>
      <c r="G315" s="798">
        <f t="shared" si="33"/>
        <v>0</v>
      </c>
      <c r="H315" s="798">
        <f t="shared" si="33"/>
        <v>0</v>
      </c>
      <c r="I315" s="798">
        <f t="shared" si="33"/>
        <v>0</v>
      </c>
      <c r="J315" s="798">
        <f t="shared" si="33"/>
        <v>0</v>
      </c>
      <c r="K315" s="798">
        <f t="shared" si="33"/>
        <v>314323.14908999996</v>
      </c>
      <c r="L315" s="798">
        <f t="shared" si="33"/>
        <v>3904877.78908</v>
      </c>
      <c r="M315" s="798">
        <f t="shared" si="33"/>
        <v>238723.14908999999</v>
      </c>
      <c r="N315" s="798">
        <f t="shared" si="33"/>
        <v>0</v>
      </c>
      <c r="O315" s="798">
        <f t="shared" si="33"/>
        <v>75600</v>
      </c>
      <c r="P315" s="798">
        <f t="shared" si="33"/>
        <v>0</v>
      </c>
      <c r="Q315" s="798">
        <f t="shared" si="33"/>
        <v>0</v>
      </c>
      <c r="R315" s="798">
        <f t="shared" si="33"/>
        <v>0</v>
      </c>
      <c r="S315" s="798">
        <f t="shared" si="33"/>
        <v>0</v>
      </c>
      <c r="T315" s="798">
        <f t="shared" si="33"/>
        <v>0</v>
      </c>
      <c r="U315" s="798">
        <f t="shared" si="33"/>
        <v>0</v>
      </c>
      <c r="V315" s="798">
        <f t="shared" si="33"/>
        <v>314323.14908999996</v>
      </c>
      <c r="W315" s="798">
        <f t="shared" si="33"/>
        <v>3904877.78908</v>
      </c>
      <c r="X315" s="799"/>
      <c r="AA315" s="85"/>
      <c r="AB315" s="85"/>
    </row>
    <row r="316" spans="1:28" x14ac:dyDescent="0.2">
      <c r="A316" s="795" t="s">
        <v>15</v>
      </c>
      <c r="B316" s="800">
        <v>146517.26936999999</v>
      </c>
      <c r="C316" s="800"/>
      <c r="D316" s="800"/>
      <c r="E316" s="800"/>
      <c r="F316" s="800"/>
      <c r="G316" s="800"/>
      <c r="H316" s="800"/>
      <c r="I316" s="800"/>
      <c r="J316" s="800"/>
      <c r="K316" s="800">
        <f t="shared" ref="K316:K321" si="34">SUM(B316:J316)</f>
        <v>146517.26936999999</v>
      </c>
      <c r="L316" s="801">
        <f>+K316*12+43000</f>
        <v>1801207.2324399999</v>
      </c>
      <c r="M316" s="800">
        <v>146517.26936999999</v>
      </c>
      <c r="N316" s="800"/>
      <c r="O316" s="800"/>
      <c r="P316" s="800"/>
      <c r="Q316" s="800"/>
      <c r="R316" s="800"/>
      <c r="S316" s="800"/>
      <c r="T316" s="800"/>
      <c r="U316" s="800"/>
      <c r="V316" s="800">
        <f t="shared" ref="V316:V321" si="35">SUM(M316:U316)</f>
        <v>146517.26936999999</v>
      </c>
      <c r="W316" s="801">
        <f>+V316*12+43000</f>
        <v>1801207.2324399999</v>
      </c>
      <c r="X316" s="784"/>
      <c r="AA316" s="85"/>
      <c r="AB316" s="85"/>
    </row>
    <row r="317" spans="1:28" x14ac:dyDescent="0.2">
      <c r="A317" s="795" t="s">
        <v>586</v>
      </c>
      <c r="B317" s="800">
        <v>13816.94771</v>
      </c>
      <c r="C317" s="800"/>
      <c r="D317" s="800"/>
      <c r="E317" s="800"/>
      <c r="F317" s="800"/>
      <c r="G317" s="800"/>
      <c r="H317" s="800"/>
      <c r="I317" s="800"/>
      <c r="J317" s="800"/>
      <c r="K317" s="800">
        <f t="shared" si="34"/>
        <v>13816.94771</v>
      </c>
      <c r="L317" s="801">
        <f>+K317*12+4000</f>
        <v>169803.37252</v>
      </c>
      <c r="M317" s="800">
        <v>13816.94771</v>
      </c>
      <c r="N317" s="800"/>
      <c r="O317" s="800"/>
      <c r="P317" s="800"/>
      <c r="Q317" s="800"/>
      <c r="R317" s="800"/>
      <c r="S317" s="800"/>
      <c r="T317" s="800"/>
      <c r="U317" s="800"/>
      <c r="V317" s="800">
        <f t="shared" si="35"/>
        <v>13816.94771</v>
      </c>
      <c r="W317" s="801">
        <f>+V317*12+4000</f>
        <v>169803.37252</v>
      </c>
      <c r="X317" s="784"/>
      <c r="AA317" s="85"/>
      <c r="AB317" s="85"/>
    </row>
    <row r="318" spans="1:28" x14ac:dyDescent="0.2">
      <c r="A318" s="795" t="s">
        <v>587</v>
      </c>
      <c r="B318" s="800">
        <v>41079.811484999998</v>
      </c>
      <c r="C318" s="800"/>
      <c r="D318" s="800"/>
      <c r="E318" s="800"/>
      <c r="F318" s="800"/>
      <c r="G318" s="800"/>
      <c r="H318" s="800"/>
      <c r="I318" s="800"/>
      <c r="J318" s="800"/>
      <c r="K318" s="800">
        <f t="shared" si="34"/>
        <v>41079.811484999998</v>
      </c>
      <c r="L318" s="801">
        <f>+K318*12+12000</f>
        <v>504957.73781999998</v>
      </c>
      <c r="M318" s="800">
        <v>41079.811484999998</v>
      </c>
      <c r="N318" s="800"/>
      <c r="O318" s="800"/>
      <c r="P318" s="800"/>
      <c r="Q318" s="800"/>
      <c r="R318" s="800"/>
      <c r="S318" s="800"/>
      <c r="T318" s="800"/>
      <c r="U318" s="800"/>
      <c r="V318" s="800">
        <f t="shared" si="35"/>
        <v>41079.811484999998</v>
      </c>
      <c r="W318" s="801">
        <f>+V318*12+12000</f>
        <v>504957.73781999998</v>
      </c>
      <c r="X318" s="784"/>
      <c r="AA318" s="85"/>
      <c r="AB318" s="85"/>
    </row>
    <row r="319" spans="1:28" x14ac:dyDescent="0.2">
      <c r="A319" s="795" t="s">
        <v>588</v>
      </c>
      <c r="B319" s="800">
        <v>24214.589225</v>
      </c>
      <c r="C319" s="800"/>
      <c r="D319" s="800"/>
      <c r="E319" s="800"/>
      <c r="F319" s="800"/>
      <c r="G319" s="800"/>
      <c r="H319" s="800"/>
      <c r="I319" s="800"/>
      <c r="J319" s="800"/>
      <c r="K319" s="800">
        <f t="shared" si="34"/>
        <v>24214.589225</v>
      </c>
      <c r="L319" s="801">
        <f>+K319*12+8000</f>
        <v>298575.07069999998</v>
      </c>
      <c r="M319" s="800">
        <v>24214.589225</v>
      </c>
      <c r="N319" s="800"/>
      <c r="O319" s="800"/>
      <c r="P319" s="800"/>
      <c r="Q319" s="800"/>
      <c r="R319" s="800"/>
      <c r="S319" s="800"/>
      <c r="T319" s="800"/>
      <c r="U319" s="800"/>
      <c r="V319" s="800">
        <f t="shared" si="35"/>
        <v>24214.589225</v>
      </c>
      <c r="W319" s="801">
        <f>+V319*12+8000</f>
        <v>298575.07069999998</v>
      </c>
      <c r="X319" s="784"/>
      <c r="AA319" s="85"/>
      <c r="AB319" s="85"/>
    </row>
    <row r="320" spans="1:28" x14ac:dyDescent="0.2">
      <c r="A320" s="795" t="s">
        <v>643</v>
      </c>
      <c r="B320" s="805">
        <v>6998.7365</v>
      </c>
      <c r="C320" s="800"/>
      <c r="D320" s="800"/>
      <c r="E320" s="800"/>
      <c r="F320" s="800"/>
      <c r="G320" s="800"/>
      <c r="H320" s="800"/>
      <c r="I320" s="800"/>
      <c r="J320" s="800"/>
      <c r="K320" s="800">
        <f t="shared" si="34"/>
        <v>6998.7365</v>
      </c>
      <c r="L320" s="801">
        <f>+K320*12+2000</f>
        <v>85984.838000000003</v>
      </c>
      <c r="M320" s="805">
        <v>6998.7365</v>
      </c>
      <c r="N320" s="800"/>
      <c r="O320" s="800"/>
      <c r="P320" s="800"/>
      <c r="Q320" s="800"/>
      <c r="R320" s="800"/>
      <c r="S320" s="800"/>
      <c r="T320" s="800"/>
      <c r="U320" s="800"/>
      <c r="V320" s="800">
        <f t="shared" si="35"/>
        <v>6998.7365</v>
      </c>
      <c r="W320" s="801">
        <f>+V320*12+2000</f>
        <v>85984.838000000003</v>
      </c>
      <c r="X320" s="784"/>
      <c r="AA320" s="85"/>
      <c r="AB320" s="85"/>
    </row>
    <row r="321" spans="1:28" x14ac:dyDescent="0.2">
      <c r="A321" s="795" t="s">
        <v>589</v>
      </c>
      <c r="B321" s="800">
        <v>6095.7947999999997</v>
      </c>
      <c r="C321" s="800"/>
      <c r="D321" s="800">
        <v>75600</v>
      </c>
      <c r="E321" s="800"/>
      <c r="F321" s="800"/>
      <c r="G321" s="800"/>
      <c r="H321" s="800"/>
      <c r="I321" s="800"/>
      <c r="J321" s="800"/>
      <c r="K321" s="800">
        <f t="shared" si="34"/>
        <v>81695.794800000003</v>
      </c>
      <c r="L321" s="801">
        <f>+K321*12+2000+62000</f>
        <v>1044349.5376</v>
      </c>
      <c r="M321" s="800">
        <v>6095.7947999999997</v>
      </c>
      <c r="N321" s="800"/>
      <c r="O321" s="800">
        <v>75600</v>
      </c>
      <c r="P321" s="800"/>
      <c r="Q321" s="800"/>
      <c r="R321" s="800"/>
      <c r="S321" s="800"/>
      <c r="T321" s="800"/>
      <c r="U321" s="800"/>
      <c r="V321" s="800">
        <f t="shared" si="35"/>
        <v>81695.794800000003</v>
      </c>
      <c r="W321" s="801">
        <f>+V321*12+2000+62000</f>
        <v>1044349.5376</v>
      </c>
      <c r="X321" s="784"/>
      <c r="AA321" s="85"/>
      <c r="AB321" s="85"/>
    </row>
    <row r="322" spans="1:28" x14ac:dyDescent="0.2">
      <c r="A322" s="797" t="s">
        <v>6</v>
      </c>
      <c r="B322" s="798">
        <f>SUM(B323:B328)</f>
        <v>35815.256010000005</v>
      </c>
      <c r="C322" s="798">
        <f t="shared" ref="C322:W322" si="36">SUM(C323:C328)</f>
        <v>0</v>
      </c>
      <c r="D322" s="798">
        <f t="shared" si="36"/>
        <v>4400</v>
      </c>
      <c r="E322" s="798">
        <f t="shared" si="36"/>
        <v>0</v>
      </c>
      <c r="F322" s="798">
        <f t="shared" si="36"/>
        <v>0</v>
      </c>
      <c r="G322" s="798">
        <f t="shared" si="36"/>
        <v>0</v>
      </c>
      <c r="H322" s="798">
        <f t="shared" si="36"/>
        <v>0</v>
      </c>
      <c r="I322" s="798">
        <f t="shared" si="36"/>
        <v>0</v>
      </c>
      <c r="J322" s="798">
        <f t="shared" si="36"/>
        <v>0</v>
      </c>
      <c r="K322" s="798">
        <f t="shared" si="36"/>
        <v>40215.256010000005</v>
      </c>
      <c r="L322" s="798">
        <f t="shared" si="36"/>
        <v>502583.07212000003</v>
      </c>
      <c r="M322" s="798">
        <f t="shared" si="36"/>
        <v>35815.256010000005</v>
      </c>
      <c r="N322" s="798">
        <f t="shared" si="36"/>
        <v>0</v>
      </c>
      <c r="O322" s="798">
        <f t="shared" si="36"/>
        <v>4400</v>
      </c>
      <c r="P322" s="798">
        <f t="shared" si="36"/>
        <v>0</v>
      </c>
      <c r="Q322" s="798">
        <f t="shared" si="36"/>
        <v>0</v>
      </c>
      <c r="R322" s="798">
        <f t="shared" si="36"/>
        <v>0</v>
      </c>
      <c r="S322" s="798">
        <f t="shared" si="36"/>
        <v>0</v>
      </c>
      <c r="T322" s="798">
        <f t="shared" si="36"/>
        <v>0</v>
      </c>
      <c r="U322" s="798">
        <f t="shared" si="36"/>
        <v>0</v>
      </c>
      <c r="V322" s="798">
        <f t="shared" si="36"/>
        <v>40215.256010000005</v>
      </c>
      <c r="W322" s="798">
        <f t="shared" si="36"/>
        <v>502583.07212000003</v>
      </c>
      <c r="X322" s="799"/>
      <c r="AA322" s="85"/>
      <c r="AB322" s="85"/>
    </row>
    <row r="323" spans="1:28" x14ac:dyDescent="0.2">
      <c r="A323" s="795" t="s">
        <v>16</v>
      </c>
      <c r="B323" s="800"/>
      <c r="C323" s="800"/>
      <c r="D323" s="800"/>
      <c r="E323" s="800"/>
      <c r="F323" s="800"/>
      <c r="G323" s="800"/>
      <c r="H323" s="800"/>
      <c r="I323" s="800"/>
      <c r="J323" s="800"/>
      <c r="K323" s="800"/>
      <c r="L323" s="800"/>
      <c r="M323" s="800"/>
      <c r="N323" s="800"/>
      <c r="O323" s="800"/>
      <c r="P323" s="800"/>
      <c r="Q323" s="800"/>
      <c r="R323" s="800"/>
      <c r="S323" s="800"/>
      <c r="T323" s="800"/>
      <c r="U323" s="800"/>
      <c r="V323" s="800"/>
      <c r="W323" s="800"/>
      <c r="X323" s="784"/>
      <c r="AA323" s="85"/>
      <c r="AB323" s="85"/>
    </row>
    <row r="324" spans="1:28" x14ac:dyDescent="0.2">
      <c r="A324" s="795" t="s">
        <v>590</v>
      </c>
      <c r="B324" s="800">
        <v>9277.8423949999997</v>
      </c>
      <c r="C324" s="800"/>
      <c r="D324" s="800"/>
      <c r="E324" s="800"/>
      <c r="F324" s="800"/>
      <c r="G324" s="800"/>
      <c r="H324" s="800"/>
      <c r="I324" s="800"/>
      <c r="J324" s="800"/>
      <c r="K324" s="800">
        <f>SUM(B324:J324)</f>
        <v>9277.8423949999997</v>
      </c>
      <c r="L324" s="801">
        <f>+K324*12+3000</f>
        <v>114334.10874</v>
      </c>
      <c r="M324" s="800">
        <v>9277.8423949999997</v>
      </c>
      <c r="N324" s="800"/>
      <c r="O324" s="800"/>
      <c r="P324" s="800"/>
      <c r="Q324" s="800"/>
      <c r="R324" s="800"/>
      <c r="S324" s="800"/>
      <c r="T324" s="800"/>
      <c r="U324" s="800"/>
      <c r="V324" s="800">
        <f>SUM(M324:U324)</f>
        <v>9277.8423949999997</v>
      </c>
      <c r="W324" s="801">
        <f>+V324*12+3000</f>
        <v>114334.10874</v>
      </c>
      <c r="X324" s="784"/>
      <c r="AA324" s="85"/>
      <c r="AB324" s="85"/>
    </row>
    <row r="325" spans="1:28" x14ac:dyDescent="0.2">
      <c r="A325" s="795" t="s">
        <v>591</v>
      </c>
      <c r="B325" s="800">
        <v>6147.4589749999996</v>
      </c>
      <c r="C325" s="800"/>
      <c r="D325" s="800"/>
      <c r="E325" s="800"/>
      <c r="F325" s="800"/>
      <c r="G325" s="800"/>
      <c r="H325" s="800"/>
      <c r="I325" s="800"/>
      <c r="J325" s="800"/>
      <c r="K325" s="800">
        <f>SUM(B325:J325)</f>
        <v>6147.4589749999996</v>
      </c>
      <c r="L325" s="801">
        <f>+K325*12+2000</f>
        <v>75769.507699999987</v>
      </c>
      <c r="M325" s="800">
        <v>6147.4589749999996</v>
      </c>
      <c r="N325" s="800"/>
      <c r="O325" s="800"/>
      <c r="P325" s="800"/>
      <c r="Q325" s="800"/>
      <c r="R325" s="800"/>
      <c r="S325" s="800"/>
      <c r="T325" s="800"/>
      <c r="U325" s="800"/>
      <c r="V325" s="800">
        <f>SUM(M325:U325)</f>
        <v>6147.4589749999996</v>
      </c>
      <c r="W325" s="801">
        <f>+V325*12+2000</f>
        <v>75769.507699999987</v>
      </c>
      <c r="X325" s="784"/>
      <c r="AA325" s="85"/>
      <c r="AB325" s="85"/>
    </row>
    <row r="326" spans="1:28" x14ac:dyDescent="0.2">
      <c r="A326" s="795" t="s">
        <v>644</v>
      </c>
      <c r="B326" s="800">
        <v>20389.954640000004</v>
      </c>
      <c r="C326" s="800"/>
      <c r="D326" s="800"/>
      <c r="E326" s="800"/>
      <c r="F326" s="800"/>
      <c r="G326" s="800"/>
      <c r="H326" s="800"/>
      <c r="I326" s="800"/>
      <c r="J326" s="800"/>
      <c r="K326" s="800">
        <f>SUM(B326:J326)</f>
        <v>20389.954640000004</v>
      </c>
      <c r="L326" s="801">
        <f>+K326*12+7000+4000</f>
        <v>255679.45568000004</v>
      </c>
      <c r="M326" s="800">
        <v>20389.954640000004</v>
      </c>
      <c r="N326" s="800"/>
      <c r="O326" s="800"/>
      <c r="P326" s="800"/>
      <c r="Q326" s="800"/>
      <c r="R326" s="800"/>
      <c r="S326" s="800"/>
      <c r="T326" s="800"/>
      <c r="U326" s="800"/>
      <c r="V326" s="800">
        <f>SUM(M326:U326)</f>
        <v>20389.954640000004</v>
      </c>
      <c r="W326" s="801">
        <f>+V326*12+7000+4000</f>
        <v>255679.45568000004</v>
      </c>
      <c r="X326" s="784"/>
      <c r="AA326" s="85"/>
      <c r="AB326" s="85"/>
    </row>
    <row r="327" spans="1:28" x14ac:dyDescent="0.2">
      <c r="A327" s="795" t="s">
        <v>645</v>
      </c>
      <c r="B327" s="800">
        <v>0</v>
      </c>
      <c r="C327" s="800"/>
      <c r="D327" s="800"/>
      <c r="E327" s="800"/>
      <c r="F327" s="800"/>
      <c r="G327" s="800"/>
      <c r="H327" s="800"/>
      <c r="I327" s="800"/>
      <c r="J327" s="800"/>
      <c r="K327" s="800">
        <f>SUM(B327:J327)</f>
        <v>0</v>
      </c>
      <c r="L327" s="801">
        <v>0</v>
      </c>
      <c r="M327" s="800">
        <v>0</v>
      </c>
      <c r="N327" s="800"/>
      <c r="O327" s="800"/>
      <c r="P327" s="800"/>
      <c r="Q327" s="800"/>
      <c r="R327" s="800"/>
      <c r="S327" s="800"/>
      <c r="T327" s="800"/>
      <c r="U327" s="800"/>
      <c r="V327" s="800">
        <f>SUM(M327:U327)</f>
        <v>0</v>
      </c>
      <c r="W327" s="801">
        <v>0</v>
      </c>
      <c r="X327" s="784"/>
      <c r="AA327" s="85"/>
      <c r="AB327" s="85"/>
    </row>
    <row r="328" spans="1:28" ht="13.5" thickBot="1" x14ac:dyDescent="0.25">
      <c r="A328" s="795" t="s">
        <v>646</v>
      </c>
      <c r="B328" s="800">
        <v>0</v>
      </c>
      <c r="C328" s="800"/>
      <c r="D328" s="800">
        <v>4400</v>
      </c>
      <c r="E328" s="800"/>
      <c r="F328" s="800"/>
      <c r="G328" s="800"/>
      <c r="H328" s="800"/>
      <c r="I328" s="800"/>
      <c r="J328" s="800"/>
      <c r="K328" s="800">
        <f>SUM(B328:J328)</f>
        <v>4400</v>
      </c>
      <c r="L328" s="801">
        <f>+K328*12+4000</f>
        <v>56800</v>
      </c>
      <c r="M328" s="800">
        <v>0</v>
      </c>
      <c r="N328" s="800"/>
      <c r="O328" s="800">
        <v>4400</v>
      </c>
      <c r="P328" s="800"/>
      <c r="Q328" s="800"/>
      <c r="R328" s="800"/>
      <c r="S328" s="800"/>
      <c r="T328" s="800"/>
      <c r="U328" s="800"/>
      <c r="V328" s="800">
        <f>SUM(M328:U328)</f>
        <v>4400</v>
      </c>
      <c r="W328" s="801">
        <f>+V328*12+4000</f>
        <v>56800</v>
      </c>
      <c r="X328" s="784"/>
      <c r="AA328" s="85"/>
      <c r="AB328" s="85"/>
    </row>
    <row r="329" spans="1:28" ht="13.5" thickBot="1" x14ac:dyDescent="0.25">
      <c r="A329" s="806" t="s">
        <v>731</v>
      </c>
      <c r="B329" s="807">
        <f>+B322+B315+B310+B303</f>
        <v>425884.50214</v>
      </c>
      <c r="C329" s="807">
        <f t="shared" ref="C329:W329" si="37">+C322+C315+C310+C303</f>
        <v>0</v>
      </c>
      <c r="D329" s="807">
        <f t="shared" si="37"/>
        <v>124539</v>
      </c>
      <c r="E329" s="807">
        <f t="shared" si="37"/>
        <v>0</v>
      </c>
      <c r="F329" s="807">
        <f t="shared" si="37"/>
        <v>0</v>
      </c>
      <c r="G329" s="807">
        <f t="shared" si="37"/>
        <v>0</v>
      </c>
      <c r="H329" s="807">
        <f t="shared" si="37"/>
        <v>0</v>
      </c>
      <c r="I329" s="807">
        <f t="shared" si="37"/>
        <v>0</v>
      </c>
      <c r="J329" s="807">
        <f t="shared" si="37"/>
        <v>0</v>
      </c>
      <c r="K329" s="807">
        <f t="shared" si="37"/>
        <v>550423.50214</v>
      </c>
      <c r="L329" s="807">
        <f t="shared" si="37"/>
        <v>6675182.02568</v>
      </c>
      <c r="M329" s="807">
        <f t="shared" si="37"/>
        <v>425884.50214</v>
      </c>
      <c r="N329" s="807">
        <f t="shared" si="37"/>
        <v>0</v>
      </c>
      <c r="O329" s="807">
        <f t="shared" si="37"/>
        <v>113539</v>
      </c>
      <c r="P329" s="807">
        <f t="shared" si="37"/>
        <v>0</v>
      </c>
      <c r="Q329" s="807">
        <f t="shared" si="37"/>
        <v>0</v>
      </c>
      <c r="R329" s="807">
        <f t="shared" si="37"/>
        <v>0</v>
      </c>
      <c r="S329" s="807">
        <f t="shared" si="37"/>
        <v>0</v>
      </c>
      <c r="T329" s="807">
        <f t="shared" si="37"/>
        <v>0</v>
      </c>
      <c r="U329" s="807">
        <f t="shared" si="37"/>
        <v>0</v>
      </c>
      <c r="V329" s="807">
        <f t="shared" si="37"/>
        <v>539423.50214</v>
      </c>
      <c r="W329" s="807">
        <f t="shared" si="37"/>
        <v>6677182.02568</v>
      </c>
      <c r="X329" s="784"/>
      <c r="AA329" s="85"/>
      <c r="AB329" s="85"/>
    </row>
    <row r="330" spans="1:28" ht="13.5" thickBot="1" x14ac:dyDescent="0.25">
      <c r="A330" s="797" t="s">
        <v>732</v>
      </c>
      <c r="B330" s="808">
        <f>SUM(B331:B335)</f>
        <v>0</v>
      </c>
      <c r="C330" s="808">
        <f t="shared" ref="C330:L330" si="38">SUM(C331:C335)</f>
        <v>0</v>
      </c>
      <c r="D330" s="808">
        <f t="shared" si="38"/>
        <v>164895</v>
      </c>
      <c r="E330" s="808">
        <f t="shared" si="38"/>
        <v>0</v>
      </c>
      <c r="F330" s="808">
        <f t="shared" si="38"/>
        <v>0</v>
      </c>
      <c r="G330" s="808">
        <f t="shared" si="38"/>
        <v>0</v>
      </c>
      <c r="H330" s="808">
        <f t="shared" si="38"/>
        <v>0</v>
      </c>
      <c r="I330" s="808">
        <f t="shared" si="38"/>
        <v>0</v>
      </c>
      <c r="J330" s="808">
        <f t="shared" si="38"/>
        <v>2432272.8369780327</v>
      </c>
      <c r="K330" s="808">
        <f t="shared" si="38"/>
        <v>2597167.8369780327</v>
      </c>
      <c r="L330" s="808">
        <f t="shared" si="38"/>
        <v>31485814.043736391</v>
      </c>
      <c r="M330" s="808">
        <f>SUM(M331:M335)</f>
        <v>0</v>
      </c>
      <c r="N330" s="808">
        <f t="shared" ref="N330:W330" si="39">SUM(N331:N335)</f>
        <v>0</v>
      </c>
      <c r="O330" s="808">
        <f t="shared" si="39"/>
        <v>164895</v>
      </c>
      <c r="P330" s="808">
        <f t="shared" si="39"/>
        <v>0</v>
      </c>
      <c r="Q330" s="808">
        <f t="shared" si="39"/>
        <v>0</v>
      </c>
      <c r="R330" s="808">
        <f t="shared" si="39"/>
        <v>0</v>
      </c>
      <c r="S330" s="808">
        <f t="shared" si="39"/>
        <v>0</v>
      </c>
      <c r="T330" s="808">
        <f t="shared" si="39"/>
        <v>0</v>
      </c>
      <c r="U330" s="808">
        <f t="shared" si="39"/>
        <v>2454634.8369780323</v>
      </c>
      <c r="V330" s="808">
        <f t="shared" si="39"/>
        <v>2619529.8369780323</v>
      </c>
      <c r="W330" s="808">
        <f t="shared" si="39"/>
        <v>31757158.043736383</v>
      </c>
      <c r="X330" s="784"/>
      <c r="AA330" s="85"/>
      <c r="AB330" s="85"/>
    </row>
    <row r="331" spans="1:28" x14ac:dyDescent="0.2">
      <c r="A331" s="795" t="s">
        <v>733</v>
      </c>
      <c r="B331" s="800"/>
      <c r="C331" s="800"/>
      <c r="D331" s="800"/>
      <c r="E331" s="800"/>
      <c r="F331" s="800"/>
      <c r="G331" s="800"/>
      <c r="H331" s="800"/>
      <c r="I331" s="800"/>
      <c r="J331" s="800">
        <v>1033928.2237293945</v>
      </c>
      <c r="K331" s="800">
        <f>SUM(B331:J331)</f>
        <v>1033928.2237293945</v>
      </c>
      <c r="L331" s="801">
        <f>+K331*12+109000</f>
        <v>12516138.684752734</v>
      </c>
      <c r="M331" s="800"/>
      <c r="N331" s="800"/>
      <c r="O331" s="800"/>
      <c r="P331" s="800"/>
      <c r="Q331" s="800"/>
      <c r="R331" s="800"/>
      <c r="S331" s="800"/>
      <c r="T331" s="800"/>
      <c r="U331" s="800">
        <v>1033928.2237293945</v>
      </c>
      <c r="V331" s="800">
        <f>SUM(M331:U331)</f>
        <v>1033928.2237293945</v>
      </c>
      <c r="W331" s="801">
        <f>+V331*12+109000</f>
        <v>12516138.684752734</v>
      </c>
      <c r="X331" s="784"/>
      <c r="AA331" s="85"/>
      <c r="AB331" s="85"/>
    </row>
    <row r="332" spans="1:28" x14ac:dyDescent="0.2">
      <c r="A332" s="795" t="s">
        <v>734</v>
      </c>
      <c r="B332" s="800"/>
      <c r="C332" s="800"/>
      <c r="D332" s="800"/>
      <c r="E332" s="800"/>
      <c r="F332" s="800"/>
      <c r="G332" s="800"/>
      <c r="H332" s="800"/>
      <c r="I332" s="800"/>
      <c r="J332" s="800">
        <v>8873.9565530499331</v>
      </c>
      <c r="K332" s="800">
        <f>SUM(B332:J332)</f>
        <v>8873.9565530499331</v>
      </c>
      <c r="L332" s="801">
        <f>+K332*12+1000</f>
        <v>107487.4786365992</v>
      </c>
      <c r="M332" s="800"/>
      <c r="N332" s="800"/>
      <c r="O332" s="800"/>
      <c r="P332" s="800"/>
      <c r="Q332" s="800"/>
      <c r="R332" s="800"/>
      <c r="S332" s="800"/>
      <c r="T332" s="800"/>
      <c r="U332" s="800">
        <v>8873.9565530499331</v>
      </c>
      <c r="V332" s="800">
        <f>SUM(M332:U332)</f>
        <v>8873.9565530499331</v>
      </c>
      <c r="W332" s="801">
        <f>+V332*12+1000</f>
        <v>107487.4786365992</v>
      </c>
      <c r="X332" s="784"/>
      <c r="AA332" s="85"/>
      <c r="AB332" s="85"/>
    </row>
    <row r="333" spans="1:28" x14ac:dyDescent="0.2">
      <c r="A333" s="795" t="s">
        <v>735</v>
      </c>
      <c r="B333" s="800"/>
      <c r="C333" s="800"/>
      <c r="D333" s="800"/>
      <c r="E333" s="800"/>
      <c r="F333" s="800"/>
      <c r="G333" s="800"/>
      <c r="H333" s="800"/>
      <c r="I333" s="800"/>
      <c r="J333" s="800">
        <v>193151.70572014843</v>
      </c>
      <c r="K333" s="800">
        <f>SUM(B333:J333)</f>
        <v>193151.70572014843</v>
      </c>
      <c r="L333" s="801">
        <f>+K333*12+23000</f>
        <v>2340820.4686417812</v>
      </c>
      <c r="M333" s="800"/>
      <c r="N333" s="800"/>
      <c r="O333" s="800"/>
      <c r="P333" s="800"/>
      <c r="Q333" s="800"/>
      <c r="R333" s="800"/>
      <c r="S333" s="800"/>
      <c r="T333" s="800"/>
      <c r="U333" s="800">
        <v>193151.70572014843</v>
      </c>
      <c r="V333" s="800">
        <f>SUM(M333:U333)</f>
        <v>193151.70572014843</v>
      </c>
      <c r="W333" s="801">
        <f>+V333*12+23000</f>
        <v>2340820.4686417812</v>
      </c>
      <c r="X333" s="784"/>
      <c r="AA333" s="85"/>
      <c r="AB333" s="85"/>
    </row>
    <row r="334" spans="1:28" x14ac:dyDescent="0.2">
      <c r="A334" s="795" t="s">
        <v>736</v>
      </c>
      <c r="B334" s="800"/>
      <c r="C334" s="800"/>
      <c r="D334" s="800"/>
      <c r="E334" s="800"/>
      <c r="F334" s="800"/>
      <c r="G334" s="800"/>
      <c r="H334" s="800"/>
      <c r="I334" s="800"/>
      <c r="J334" s="800">
        <v>127005.58260879897</v>
      </c>
      <c r="K334" s="800">
        <f>SUM(B334:J334)</f>
        <v>127005.58260879897</v>
      </c>
      <c r="L334" s="801">
        <f>+K334*12+7000+16000</f>
        <v>1547066.9913055876</v>
      </c>
      <c r="M334" s="800"/>
      <c r="N334" s="800"/>
      <c r="O334" s="800"/>
      <c r="P334" s="800"/>
      <c r="Q334" s="800"/>
      <c r="R334" s="800"/>
      <c r="S334" s="800"/>
      <c r="T334" s="800"/>
      <c r="U334" s="800">
        <v>127005.58260879897</v>
      </c>
      <c r="V334" s="800">
        <f>SUM(M334:U334)</f>
        <v>127005.58260879897</v>
      </c>
      <c r="W334" s="801">
        <f>+V334*12+7000+16000</f>
        <v>1547066.9913055876</v>
      </c>
      <c r="X334" s="784"/>
      <c r="AA334" s="85"/>
      <c r="AB334" s="85"/>
    </row>
    <row r="335" spans="1:28" ht="13.5" thickBot="1" x14ac:dyDescent="0.25">
      <c r="A335" s="795" t="s">
        <v>737</v>
      </c>
      <c r="B335" s="800"/>
      <c r="C335" s="800"/>
      <c r="D335" s="800">
        <v>164895</v>
      </c>
      <c r="E335" s="800"/>
      <c r="F335" s="800"/>
      <c r="G335" s="800"/>
      <c r="H335" s="800"/>
      <c r="I335" s="800"/>
      <c r="J335" s="800">
        <v>1069313.3683666408</v>
      </c>
      <c r="K335" s="800">
        <f>SUM(B335:J335)</f>
        <v>1234208.3683666408</v>
      </c>
      <c r="L335" s="801">
        <f>+K335*12+153000+36*300</f>
        <v>14974300.420399688</v>
      </c>
      <c r="M335" s="800"/>
      <c r="N335" s="800"/>
      <c r="O335" s="800">
        <v>164895</v>
      </c>
      <c r="P335" s="800"/>
      <c r="Q335" s="800"/>
      <c r="R335" s="800"/>
      <c r="S335" s="800"/>
      <c r="T335" s="800"/>
      <c r="U335" s="800">
        <f>1069313.36836664+22362</f>
        <v>1091675.3683666401</v>
      </c>
      <c r="V335" s="800">
        <f>SUM(M335:U335)</f>
        <v>1256570.3683666401</v>
      </c>
      <c r="W335" s="801">
        <f>+V335*12+153000+36*300+3000</f>
        <v>15245644.420399681</v>
      </c>
      <c r="X335" s="784"/>
      <c r="AA335" s="85"/>
      <c r="AB335" s="85"/>
    </row>
    <row r="336" spans="1:28" ht="13.5" thickBot="1" x14ac:dyDescent="0.25">
      <c r="A336" s="797" t="s">
        <v>738</v>
      </c>
      <c r="B336" s="808">
        <f>SUM(B337:B341)</f>
        <v>0</v>
      </c>
      <c r="C336" s="808">
        <f t="shared" ref="C336:L336" si="40">SUM(C337:C341)</f>
        <v>0</v>
      </c>
      <c r="D336" s="808">
        <f t="shared" si="40"/>
        <v>92128</v>
      </c>
      <c r="E336" s="808">
        <f t="shared" si="40"/>
        <v>0</v>
      </c>
      <c r="F336" s="808">
        <f t="shared" si="40"/>
        <v>0</v>
      </c>
      <c r="G336" s="808">
        <f t="shared" si="40"/>
        <v>0</v>
      </c>
      <c r="H336" s="808">
        <f t="shared" si="40"/>
        <v>0</v>
      </c>
      <c r="I336" s="808">
        <f t="shared" si="40"/>
        <v>0</v>
      </c>
      <c r="J336" s="808">
        <f t="shared" si="40"/>
        <v>1850291.5268047738</v>
      </c>
      <c r="K336" s="808">
        <f t="shared" si="40"/>
        <v>1942419.5268047738</v>
      </c>
      <c r="L336" s="808">
        <f t="shared" si="40"/>
        <v>23557934.321657285</v>
      </c>
      <c r="M336" s="808">
        <f>SUM(M337:M341)</f>
        <v>0</v>
      </c>
      <c r="N336" s="808">
        <f t="shared" ref="N336:W336" si="41">SUM(N337:N341)</f>
        <v>0</v>
      </c>
      <c r="O336" s="808">
        <f t="shared" si="41"/>
        <v>92128</v>
      </c>
      <c r="P336" s="808">
        <f t="shared" si="41"/>
        <v>0</v>
      </c>
      <c r="Q336" s="808">
        <f t="shared" si="41"/>
        <v>0</v>
      </c>
      <c r="R336" s="808">
        <f t="shared" si="41"/>
        <v>0</v>
      </c>
      <c r="S336" s="808">
        <f t="shared" si="41"/>
        <v>0</v>
      </c>
      <c r="T336" s="808">
        <f t="shared" si="41"/>
        <v>0</v>
      </c>
      <c r="U336" s="808">
        <f t="shared" si="41"/>
        <v>1850291.5268047738</v>
      </c>
      <c r="V336" s="808">
        <f t="shared" si="41"/>
        <v>1942419.5268047738</v>
      </c>
      <c r="W336" s="808">
        <f t="shared" si="41"/>
        <v>23557934.321657285</v>
      </c>
      <c r="X336" s="784"/>
      <c r="AA336" s="85"/>
      <c r="AB336" s="85"/>
    </row>
    <row r="337" spans="1:28" x14ac:dyDescent="0.2">
      <c r="A337" s="795">
        <v>14</v>
      </c>
      <c r="B337" s="800"/>
      <c r="C337" s="800"/>
      <c r="D337" s="800"/>
      <c r="E337" s="800"/>
      <c r="F337" s="800"/>
      <c r="G337" s="800"/>
      <c r="H337" s="800"/>
      <c r="I337" s="800"/>
      <c r="J337" s="800">
        <v>1266303.9018465832</v>
      </c>
      <c r="K337" s="800">
        <f>SUM(B337:J337)</f>
        <v>1266303.9018465832</v>
      </c>
      <c r="L337" s="801">
        <f>+K337*12+112000</f>
        <v>15307646.822159</v>
      </c>
      <c r="M337" s="800"/>
      <c r="N337" s="800"/>
      <c r="O337" s="800"/>
      <c r="P337" s="800"/>
      <c r="Q337" s="800"/>
      <c r="R337" s="800"/>
      <c r="S337" s="800"/>
      <c r="T337" s="800"/>
      <c r="U337" s="800">
        <v>1266303.9018465832</v>
      </c>
      <c r="V337" s="800">
        <f>SUM(M337:U337)</f>
        <v>1266303.9018465832</v>
      </c>
      <c r="W337" s="801">
        <f>+V337*12+112000</f>
        <v>15307646.822159</v>
      </c>
      <c r="X337" s="784"/>
      <c r="AA337" s="85"/>
      <c r="AB337" s="85"/>
    </row>
    <row r="338" spans="1:28" x14ac:dyDescent="0.2">
      <c r="A338" s="795">
        <v>13</v>
      </c>
      <c r="B338" s="800"/>
      <c r="C338" s="800"/>
      <c r="D338" s="800"/>
      <c r="E338" s="800"/>
      <c r="F338" s="800"/>
      <c r="G338" s="800"/>
      <c r="H338" s="800"/>
      <c r="I338" s="800"/>
      <c r="J338" s="800">
        <v>22547.543532199728</v>
      </c>
      <c r="K338" s="800">
        <f>SUM(B338:J338)</f>
        <v>22547.543532199728</v>
      </c>
      <c r="L338" s="801">
        <f>+K338*12+4000</f>
        <v>274570.52238639677</v>
      </c>
      <c r="M338" s="800"/>
      <c r="N338" s="800"/>
      <c r="O338" s="800"/>
      <c r="P338" s="800"/>
      <c r="Q338" s="800"/>
      <c r="R338" s="800"/>
      <c r="S338" s="800"/>
      <c r="T338" s="800"/>
      <c r="U338" s="800">
        <v>22547.543532199728</v>
      </c>
      <c r="V338" s="800">
        <f>SUM(M338:U338)</f>
        <v>22547.543532199728</v>
      </c>
      <c r="W338" s="801">
        <f>+V338*12+4000</f>
        <v>274570.52238639677</v>
      </c>
      <c r="X338" s="784"/>
      <c r="AA338" s="85"/>
      <c r="AB338" s="85"/>
    </row>
    <row r="339" spans="1:28" x14ac:dyDescent="0.2">
      <c r="A339" s="795">
        <v>12</v>
      </c>
      <c r="B339" s="800"/>
      <c r="C339" s="800"/>
      <c r="D339" s="800"/>
      <c r="E339" s="800"/>
      <c r="F339" s="800"/>
      <c r="G339" s="800"/>
      <c r="H339" s="800"/>
      <c r="I339" s="800"/>
      <c r="J339" s="800">
        <v>10653.571106099866</v>
      </c>
      <c r="K339" s="800">
        <f>SUM(B339:J339)</f>
        <v>10653.571106099866</v>
      </c>
      <c r="L339" s="801">
        <f>+K339*12+2000</f>
        <v>129842.85327319839</v>
      </c>
      <c r="M339" s="800"/>
      <c r="N339" s="800"/>
      <c r="O339" s="800"/>
      <c r="P339" s="800"/>
      <c r="Q339" s="800"/>
      <c r="R339" s="800"/>
      <c r="S339" s="800"/>
      <c r="T339" s="800"/>
      <c r="U339" s="800">
        <v>10653.571106099866</v>
      </c>
      <c r="V339" s="800">
        <f>SUM(M339:U339)</f>
        <v>10653.571106099866</v>
      </c>
      <c r="W339" s="801">
        <f>+V339*12+2000</f>
        <v>129842.85327319839</v>
      </c>
      <c r="X339" s="784"/>
      <c r="AA339" s="85"/>
      <c r="AB339" s="85"/>
    </row>
    <row r="340" spans="1:28" x14ac:dyDescent="0.2">
      <c r="A340" s="795">
        <v>11</v>
      </c>
      <c r="B340" s="800"/>
      <c r="C340" s="800"/>
      <c r="D340" s="800"/>
      <c r="E340" s="800"/>
      <c r="F340" s="800"/>
      <c r="G340" s="800"/>
      <c r="H340" s="800"/>
      <c r="I340" s="800"/>
      <c r="J340" s="800">
        <v>30221.725658299594</v>
      </c>
      <c r="K340" s="800">
        <f>SUM(B340:J340)</f>
        <v>30221.725658299594</v>
      </c>
      <c r="L340" s="801">
        <f>+K340*12+6000</f>
        <v>368660.70789959515</v>
      </c>
      <c r="M340" s="800"/>
      <c r="N340" s="800"/>
      <c r="O340" s="800"/>
      <c r="P340" s="800"/>
      <c r="Q340" s="800"/>
      <c r="R340" s="800"/>
      <c r="S340" s="800"/>
      <c r="T340" s="800"/>
      <c r="U340" s="800">
        <v>30221.725658299594</v>
      </c>
      <c r="V340" s="800">
        <f>SUM(M340:U340)</f>
        <v>30221.725658299594</v>
      </c>
      <c r="W340" s="801">
        <f>+V340*12+6000</f>
        <v>368660.70789959515</v>
      </c>
      <c r="X340" s="784"/>
      <c r="AA340" s="85"/>
      <c r="AB340" s="85"/>
    </row>
    <row r="341" spans="1:28" ht="13.5" thickBot="1" x14ac:dyDescent="0.25">
      <c r="A341" s="795">
        <v>10</v>
      </c>
      <c r="B341" s="800"/>
      <c r="C341" s="800"/>
      <c r="D341" s="800">
        <v>92128</v>
      </c>
      <c r="E341" s="800"/>
      <c r="F341" s="800"/>
      <c r="G341" s="800"/>
      <c r="H341" s="800"/>
      <c r="I341" s="800"/>
      <c r="J341" s="800">
        <v>520564.78466159146</v>
      </c>
      <c r="K341" s="800">
        <f>SUM(B341:J341)</f>
        <v>612692.78466159152</v>
      </c>
      <c r="L341" s="801">
        <f>+K341*12+112000+43*300</f>
        <v>7477213.4159390982</v>
      </c>
      <c r="M341" s="800"/>
      <c r="N341" s="800"/>
      <c r="O341" s="800">
        <v>92128</v>
      </c>
      <c r="P341" s="800"/>
      <c r="Q341" s="800"/>
      <c r="R341" s="800"/>
      <c r="S341" s="800"/>
      <c r="T341" s="800"/>
      <c r="U341" s="800">
        <v>520564.78466159146</v>
      </c>
      <c r="V341" s="800">
        <f>SUM(M341:U341)</f>
        <v>612692.78466159152</v>
      </c>
      <c r="W341" s="801">
        <f>+V341*12+112000+43*300</f>
        <v>7477213.4159390982</v>
      </c>
      <c r="X341" s="784"/>
      <c r="AA341" s="85"/>
      <c r="AB341" s="85"/>
    </row>
    <row r="342" spans="1:28" ht="13.5" thickBot="1" x14ac:dyDescent="0.25">
      <c r="A342" s="797" t="s">
        <v>739</v>
      </c>
      <c r="B342" s="808">
        <f>SUM(B343:B347)</f>
        <v>0</v>
      </c>
      <c r="C342" s="808">
        <f t="shared" ref="C342:L342" si="42">SUM(C343:C347)</f>
        <v>0</v>
      </c>
      <c r="D342" s="808">
        <f t="shared" si="42"/>
        <v>0</v>
      </c>
      <c r="E342" s="808">
        <f t="shared" si="42"/>
        <v>0</v>
      </c>
      <c r="F342" s="808">
        <f t="shared" si="42"/>
        <v>0</v>
      </c>
      <c r="G342" s="808">
        <f t="shared" si="42"/>
        <v>0</v>
      </c>
      <c r="H342" s="808">
        <f t="shared" si="42"/>
        <v>0</v>
      </c>
      <c r="I342" s="808">
        <f t="shared" si="42"/>
        <v>0</v>
      </c>
      <c r="J342" s="808">
        <f t="shared" si="42"/>
        <v>156875.37845539811</v>
      </c>
      <c r="K342" s="808">
        <f t="shared" si="42"/>
        <v>156875.37845539811</v>
      </c>
      <c r="L342" s="808">
        <f t="shared" si="42"/>
        <v>1893504.5414647774</v>
      </c>
      <c r="M342" s="808">
        <f>SUM(M343:M347)</f>
        <v>0</v>
      </c>
      <c r="N342" s="808">
        <f t="shared" ref="N342:W342" si="43">SUM(N343:N347)</f>
        <v>0</v>
      </c>
      <c r="O342" s="808">
        <f t="shared" si="43"/>
        <v>0</v>
      </c>
      <c r="P342" s="808">
        <f t="shared" si="43"/>
        <v>0</v>
      </c>
      <c r="Q342" s="808">
        <f t="shared" si="43"/>
        <v>0</v>
      </c>
      <c r="R342" s="808">
        <f t="shared" si="43"/>
        <v>0</v>
      </c>
      <c r="S342" s="808">
        <f t="shared" si="43"/>
        <v>0</v>
      </c>
      <c r="T342" s="808">
        <f t="shared" si="43"/>
        <v>0</v>
      </c>
      <c r="U342" s="808">
        <f t="shared" si="43"/>
        <v>156875.37845539811</v>
      </c>
      <c r="V342" s="808">
        <f t="shared" si="43"/>
        <v>156875.37845539811</v>
      </c>
      <c r="W342" s="808">
        <f t="shared" si="43"/>
        <v>1893504.5414647774</v>
      </c>
      <c r="X342" s="784"/>
      <c r="AA342" s="85"/>
      <c r="AB342" s="85"/>
    </row>
    <row r="343" spans="1:28" x14ac:dyDescent="0.2">
      <c r="A343" s="795">
        <v>5</v>
      </c>
      <c r="B343" s="800"/>
      <c r="C343" s="800"/>
      <c r="D343" s="800"/>
      <c r="E343" s="800"/>
      <c r="F343" s="800"/>
      <c r="G343" s="800"/>
      <c r="H343" s="800"/>
      <c r="I343" s="800"/>
      <c r="J343" s="800">
        <v>133353.77237014845</v>
      </c>
      <c r="K343" s="800">
        <f>SUM(B343:J343)</f>
        <v>133353.77237014845</v>
      </c>
      <c r="L343" s="801">
        <f>+K343*12+6000</f>
        <v>1606245.2684417814</v>
      </c>
      <c r="M343" s="800"/>
      <c r="N343" s="800"/>
      <c r="O343" s="800"/>
      <c r="P343" s="800"/>
      <c r="Q343" s="800"/>
      <c r="R343" s="800"/>
      <c r="S343" s="800"/>
      <c r="T343" s="800"/>
      <c r="U343" s="800">
        <v>133353.77237014845</v>
      </c>
      <c r="V343" s="800">
        <f>SUM(M343:U343)</f>
        <v>133353.77237014845</v>
      </c>
      <c r="W343" s="801">
        <f>+V343*12+6000</f>
        <v>1606245.2684417814</v>
      </c>
      <c r="X343" s="784"/>
      <c r="AA343" s="85"/>
      <c r="AB343" s="85"/>
    </row>
    <row r="344" spans="1:28" x14ac:dyDescent="0.2">
      <c r="A344" s="795">
        <v>4</v>
      </c>
      <c r="B344" s="800"/>
      <c r="C344" s="800"/>
      <c r="D344" s="800"/>
      <c r="E344" s="800"/>
      <c r="F344" s="800"/>
      <c r="G344" s="800"/>
      <c r="H344" s="800"/>
      <c r="I344" s="800"/>
      <c r="J344" s="800"/>
      <c r="K344" s="800">
        <f>SUM(B344:J344)</f>
        <v>0</v>
      </c>
      <c r="L344" s="801"/>
      <c r="M344" s="800"/>
      <c r="N344" s="800"/>
      <c r="O344" s="800"/>
      <c r="P344" s="800"/>
      <c r="Q344" s="800"/>
      <c r="R344" s="800"/>
      <c r="S344" s="800"/>
      <c r="T344" s="800"/>
      <c r="U344" s="800"/>
      <c r="V344" s="800">
        <f>SUM(M344:U344)</f>
        <v>0</v>
      </c>
      <c r="W344" s="801"/>
      <c r="X344" s="784"/>
      <c r="AA344" s="85"/>
      <c r="AB344" s="85"/>
    </row>
    <row r="345" spans="1:28" x14ac:dyDescent="0.2">
      <c r="A345" s="795">
        <v>3</v>
      </c>
      <c r="B345" s="800"/>
      <c r="C345" s="800"/>
      <c r="D345" s="800"/>
      <c r="E345" s="800"/>
      <c r="F345" s="800"/>
      <c r="G345" s="800"/>
      <c r="H345" s="800"/>
      <c r="I345" s="800"/>
      <c r="J345" s="800">
        <v>5326.7855530499328</v>
      </c>
      <c r="K345" s="800">
        <f>SUM(B345:J345)</f>
        <v>5326.7855530499328</v>
      </c>
      <c r="L345" s="801">
        <f>+K345*12+1000</f>
        <v>64921.426636599193</v>
      </c>
      <c r="M345" s="800"/>
      <c r="N345" s="800"/>
      <c r="O345" s="800"/>
      <c r="P345" s="800"/>
      <c r="Q345" s="800"/>
      <c r="R345" s="800"/>
      <c r="S345" s="800"/>
      <c r="T345" s="800"/>
      <c r="U345" s="800">
        <v>5326.7855530499328</v>
      </c>
      <c r="V345" s="800">
        <f>SUM(M345:U345)</f>
        <v>5326.7855530499328</v>
      </c>
      <c r="W345" s="801">
        <f>+V345*12+1000</f>
        <v>64921.426636599193</v>
      </c>
      <c r="X345" s="784"/>
      <c r="AA345" s="85"/>
      <c r="AB345" s="85"/>
    </row>
    <row r="346" spans="1:28" x14ac:dyDescent="0.2">
      <c r="A346" s="795">
        <v>2</v>
      </c>
      <c r="B346" s="800"/>
      <c r="C346" s="800"/>
      <c r="D346" s="800"/>
      <c r="E346" s="800"/>
      <c r="F346" s="800"/>
      <c r="G346" s="800"/>
      <c r="H346" s="800"/>
      <c r="I346" s="800"/>
      <c r="J346" s="800">
        <v>5038.6209430499321</v>
      </c>
      <c r="K346" s="800">
        <f>SUM(B346:J346)</f>
        <v>5038.6209430499321</v>
      </c>
      <c r="L346" s="801">
        <f>+K346*12+1000</f>
        <v>61463.451316599181</v>
      </c>
      <c r="M346" s="800"/>
      <c r="N346" s="800"/>
      <c r="O346" s="800"/>
      <c r="P346" s="800"/>
      <c r="Q346" s="800"/>
      <c r="R346" s="800"/>
      <c r="S346" s="800"/>
      <c r="T346" s="800"/>
      <c r="U346" s="800">
        <v>5038.6209430499321</v>
      </c>
      <c r="V346" s="800">
        <f>SUM(M346:U346)</f>
        <v>5038.6209430499321</v>
      </c>
      <c r="W346" s="801">
        <f>+V346*12+1000</f>
        <v>61463.451316599181</v>
      </c>
      <c r="X346" s="784"/>
      <c r="AA346" s="85"/>
      <c r="AB346" s="85"/>
    </row>
    <row r="347" spans="1:28" ht="13.5" thickBot="1" x14ac:dyDescent="0.25">
      <c r="A347" s="795">
        <v>1</v>
      </c>
      <c r="B347" s="800"/>
      <c r="C347" s="800"/>
      <c r="D347" s="800"/>
      <c r="E347" s="800"/>
      <c r="F347" s="800"/>
      <c r="G347" s="800"/>
      <c r="H347" s="800"/>
      <c r="I347" s="800"/>
      <c r="J347" s="800">
        <v>13156.199589149797</v>
      </c>
      <c r="K347" s="800">
        <f>SUM(B347:J347)</f>
        <v>13156.199589149797</v>
      </c>
      <c r="L347" s="801">
        <f>+K347*12+3000</f>
        <v>160874.39506979758</v>
      </c>
      <c r="M347" s="800"/>
      <c r="N347" s="800"/>
      <c r="O347" s="800"/>
      <c r="P347" s="800"/>
      <c r="Q347" s="800"/>
      <c r="R347" s="800"/>
      <c r="S347" s="800"/>
      <c r="T347" s="800"/>
      <c r="U347" s="800">
        <v>13156.199589149797</v>
      </c>
      <c r="V347" s="800">
        <f>SUM(M347:U347)</f>
        <v>13156.199589149797</v>
      </c>
      <c r="W347" s="801">
        <f>+V347*12+3000</f>
        <v>160874.39506979758</v>
      </c>
      <c r="X347" s="784"/>
      <c r="AA347" s="85"/>
      <c r="AB347" s="85"/>
    </row>
    <row r="348" spans="1:28" ht="13.5" thickBot="1" x14ac:dyDescent="0.25">
      <c r="A348" s="797" t="s">
        <v>740</v>
      </c>
      <c r="B348" s="808">
        <f>SUM(B349:B353)</f>
        <v>0</v>
      </c>
      <c r="C348" s="808">
        <f t="shared" ref="C348:L348" si="44">SUM(C349:C353)</f>
        <v>0</v>
      </c>
      <c r="D348" s="808">
        <f t="shared" si="44"/>
        <v>0</v>
      </c>
      <c r="E348" s="808">
        <f t="shared" si="44"/>
        <v>0</v>
      </c>
      <c r="F348" s="808">
        <f t="shared" si="44"/>
        <v>0</v>
      </c>
      <c r="G348" s="808">
        <f t="shared" si="44"/>
        <v>0</v>
      </c>
      <c r="H348" s="808">
        <f t="shared" si="44"/>
        <v>0</v>
      </c>
      <c r="I348" s="808">
        <f t="shared" si="44"/>
        <v>0</v>
      </c>
      <c r="J348" s="808">
        <f t="shared" si="44"/>
        <v>27070.051505249663</v>
      </c>
      <c r="K348" s="808">
        <f t="shared" si="44"/>
        <v>27070.051505249663</v>
      </c>
      <c r="L348" s="808">
        <f t="shared" si="44"/>
        <v>329840.61806299596</v>
      </c>
      <c r="M348" s="808">
        <f>SUM(M349:M353)</f>
        <v>0</v>
      </c>
      <c r="N348" s="808">
        <f t="shared" ref="N348:W348" si="45">SUM(N349:N353)</f>
        <v>0</v>
      </c>
      <c r="O348" s="808">
        <f t="shared" si="45"/>
        <v>0</v>
      </c>
      <c r="P348" s="808">
        <f t="shared" si="45"/>
        <v>0</v>
      </c>
      <c r="Q348" s="808">
        <f t="shared" si="45"/>
        <v>0</v>
      </c>
      <c r="R348" s="808">
        <f t="shared" si="45"/>
        <v>0</v>
      </c>
      <c r="S348" s="808">
        <f t="shared" si="45"/>
        <v>0</v>
      </c>
      <c r="T348" s="808">
        <f t="shared" si="45"/>
        <v>0</v>
      </c>
      <c r="U348" s="808">
        <f t="shared" si="45"/>
        <v>27070.051505249663</v>
      </c>
      <c r="V348" s="808">
        <f t="shared" si="45"/>
        <v>27070.051505249663</v>
      </c>
      <c r="W348" s="808">
        <f t="shared" si="45"/>
        <v>329840.61806299596</v>
      </c>
      <c r="X348" s="784"/>
      <c r="AA348" s="85"/>
      <c r="AB348" s="85"/>
    </row>
    <row r="349" spans="1:28" x14ac:dyDescent="0.2">
      <c r="A349" s="795" t="s">
        <v>701</v>
      </c>
      <c r="B349" s="800"/>
      <c r="C349" s="800"/>
      <c r="D349" s="800"/>
      <c r="E349" s="800"/>
      <c r="F349" s="800"/>
      <c r="G349" s="800"/>
      <c r="H349" s="800"/>
      <c r="I349" s="800"/>
      <c r="J349" s="800">
        <v>12355.980206099865</v>
      </c>
      <c r="K349" s="800">
        <f>SUM(B349:J349)</f>
        <v>12355.980206099865</v>
      </c>
      <c r="L349" s="800">
        <f>+K349*12+2000</f>
        <v>150271.76247319838</v>
      </c>
      <c r="M349" s="800"/>
      <c r="N349" s="800"/>
      <c r="O349" s="800"/>
      <c r="P349" s="800"/>
      <c r="Q349" s="800"/>
      <c r="R349" s="800"/>
      <c r="S349" s="800"/>
      <c r="T349" s="800"/>
      <c r="U349" s="800">
        <v>12355.980206099865</v>
      </c>
      <c r="V349" s="800">
        <f>SUM(M349:U349)</f>
        <v>12355.980206099865</v>
      </c>
      <c r="W349" s="800">
        <f>+V349*12+2000</f>
        <v>150271.76247319838</v>
      </c>
      <c r="X349" s="784"/>
      <c r="AA349" s="85"/>
      <c r="AB349" s="85"/>
    </row>
    <row r="350" spans="1:28" x14ac:dyDescent="0.2">
      <c r="A350" s="795" t="s">
        <v>702</v>
      </c>
      <c r="B350" s="800"/>
      <c r="C350" s="800"/>
      <c r="D350" s="800"/>
      <c r="E350" s="800"/>
      <c r="F350" s="800"/>
      <c r="G350" s="800"/>
      <c r="H350" s="800"/>
      <c r="I350" s="800"/>
      <c r="J350" s="800">
        <v>5151.8858830499321</v>
      </c>
      <c r="K350" s="800">
        <f>SUM(B350:J350)</f>
        <v>5151.8858830499321</v>
      </c>
      <c r="L350" s="800">
        <f>+K350*12+1000</f>
        <v>62822.630596599185</v>
      </c>
      <c r="M350" s="800"/>
      <c r="N350" s="800"/>
      <c r="O350" s="800"/>
      <c r="P350" s="800"/>
      <c r="Q350" s="800"/>
      <c r="R350" s="800"/>
      <c r="S350" s="800"/>
      <c r="T350" s="800"/>
      <c r="U350" s="800">
        <v>5151.8858830499321</v>
      </c>
      <c r="V350" s="800">
        <f>SUM(M350:U350)</f>
        <v>5151.8858830499321</v>
      </c>
      <c r="W350" s="800">
        <f>+V350*12+1000</f>
        <v>62822.630596599185</v>
      </c>
      <c r="X350" s="784"/>
      <c r="AA350" s="85"/>
      <c r="AB350" s="85"/>
    </row>
    <row r="351" spans="1:28" x14ac:dyDescent="0.2">
      <c r="A351" s="795" t="s">
        <v>741</v>
      </c>
      <c r="B351" s="800"/>
      <c r="C351" s="800"/>
      <c r="D351" s="800"/>
      <c r="E351" s="800"/>
      <c r="F351" s="800"/>
      <c r="G351" s="800"/>
      <c r="H351" s="800"/>
      <c r="I351" s="800"/>
      <c r="J351" s="800">
        <v>5326.7855530499328</v>
      </c>
      <c r="K351" s="800">
        <f>SUM(B351:J351)</f>
        <v>5326.7855530499328</v>
      </c>
      <c r="L351" s="800">
        <f>+K351*12+1000</f>
        <v>64921.426636599193</v>
      </c>
      <c r="M351" s="800"/>
      <c r="N351" s="800"/>
      <c r="O351" s="800"/>
      <c r="P351" s="800"/>
      <c r="Q351" s="800"/>
      <c r="R351" s="800"/>
      <c r="S351" s="800"/>
      <c r="T351" s="800"/>
      <c r="U351" s="800">
        <v>5326.7855530499328</v>
      </c>
      <c r="V351" s="800">
        <f>SUM(M351:U351)</f>
        <v>5326.7855530499328</v>
      </c>
      <c r="W351" s="800">
        <f>+V351*12+1000</f>
        <v>64921.426636599193</v>
      </c>
      <c r="X351" s="784"/>
      <c r="AA351" s="85"/>
      <c r="AB351" s="85"/>
    </row>
    <row r="352" spans="1:28" x14ac:dyDescent="0.2">
      <c r="A352" s="795" t="s">
        <v>742</v>
      </c>
      <c r="B352" s="800"/>
      <c r="C352" s="800"/>
      <c r="D352" s="800"/>
      <c r="E352" s="800"/>
      <c r="F352" s="800"/>
      <c r="G352" s="800"/>
      <c r="H352" s="800"/>
      <c r="I352" s="800"/>
      <c r="J352" s="800"/>
      <c r="K352" s="800"/>
      <c r="L352" s="800"/>
      <c r="M352" s="800"/>
      <c r="N352" s="800"/>
      <c r="O352" s="800"/>
      <c r="P352" s="800"/>
      <c r="Q352" s="800"/>
      <c r="R352" s="800"/>
      <c r="S352" s="800"/>
      <c r="T352" s="800"/>
      <c r="U352" s="800"/>
      <c r="V352" s="800"/>
      <c r="W352" s="800"/>
      <c r="X352" s="784"/>
      <c r="AA352" s="85"/>
      <c r="AB352" s="85"/>
    </row>
    <row r="353" spans="1:28" ht="13.5" thickBot="1" x14ac:dyDescent="0.25">
      <c r="A353" s="795" t="s">
        <v>743</v>
      </c>
      <c r="B353" s="803"/>
      <c r="C353" s="800"/>
      <c r="D353" s="800"/>
      <c r="E353" s="800"/>
      <c r="F353" s="800"/>
      <c r="G353" s="800"/>
      <c r="H353" s="800"/>
      <c r="I353" s="800"/>
      <c r="J353" s="803">
        <v>4235.3998630499327</v>
      </c>
      <c r="K353" s="800">
        <f>SUM(B353:J353)</f>
        <v>4235.3998630499327</v>
      </c>
      <c r="L353" s="800">
        <f>+K353*12+1000</f>
        <v>51824.798356599189</v>
      </c>
      <c r="M353" s="803"/>
      <c r="N353" s="800"/>
      <c r="O353" s="800"/>
      <c r="P353" s="800"/>
      <c r="Q353" s="800"/>
      <c r="R353" s="800"/>
      <c r="S353" s="800"/>
      <c r="T353" s="800"/>
      <c r="U353" s="803">
        <v>4235.3998630499327</v>
      </c>
      <c r="V353" s="800">
        <f>SUM(M353:U353)</f>
        <v>4235.3998630499327</v>
      </c>
      <c r="W353" s="800">
        <f>+V353*12+1000</f>
        <v>51824.798356599189</v>
      </c>
      <c r="X353" s="784"/>
      <c r="AA353" s="85"/>
      <c r="AB353" s="85"/>
    </row>
    <row r="354" spans="1:28" ht="13.5" thickBot="1" x14ac:dyDescent="0.25">
      <c r="A354" s="797" t="s">
        <v>744</v>
      </c>
      <c r="B354" s="808">
        <f>SUM(B355:B359)</f>
        <v>0</v>
      </c>
      <c r="C354" s="808">
        <f t="shared" ref="C354:L354" si="46">SUM(C355:C359)</f>
        <v>0</v>
      </c>
      <c r="D354" s="808">
        <f t="shared" si="46"/>
        <v>0</v>
      </c>
      <c r="E354" s="808">
        <f t="shared" si="46"/>
        <v>0</v>
      </c>
      <c r="F354" s="808">
        <f t="shared" si="46"/>
        <v>0</v>
      </c>
      <c r="G354" s="808">
        <f t="shared" si="46"/>
        <v>0</v>
      </c>
      <c r="H354" s="808">
        <f t="shared" si="46"/>
        <v>0</v>
      </c>
      <c r="I354" s="808">
        <f t="shared" si="46"/>
        <v>0</v>
      </c>
      <c r="J354" s="808">
        <f t="shared" si="46"/>
        <v>33359.627958299592</v>
      </c>
      <c r="K354" s="808">
        <f t="shared" si="46"/>
        <v>33359.627958299592</v>
      </c>
      <c r="L354" s="808">
        <f t="shared" si="46"/>
        <v>406315.53549959511</v>
      </c>
      <c r="M354" s="808">
        <f>SUM(M355:M359)</f>
        <v>0</v>
      </c>
      <c r="N354" s="808">
        <f t="shared" ref="N354:W354" si="47">SUM(N355:N359)</f>
        <v>0</v>
      </c>
      <c r="O354" s="808">
        <f t="shared" si="47"/>
        <v>0</v>
      </c>
      <c r="P354" s="808">
        <f t="shared" si="47"/>
        <v>0</v>
      </c>
      <c r="Q354" s="808">
        <f t="shared" si="47"/>
        <v>0</v>
      </c>
      <c r="R354" s="808">
        <f t="shared" si="47"/>
        <v>0</v>
      </c>
      <c r="S354" s="808">
        <f t="shared" si="47"/>
        <v>0</v>
      </c>
      <c r="T354" s="808">
        <f t="shared" si="47"/>
        <v>0</v>
      </c>
      <c r="U354" s="808">
        <f t="shared" si="47"/>
        <v>33359.627958299592</v>
      </c>
      <c r="V354" s="808">
        <f t="shared" si="47"/>
        <v>33359.627958299592</v>
      </c>
      <c r="W354" s="808">
        <f t="shared" si="47"/>
        <v>406315.53549959511</v>
      </c>
      <c r="X354" s="784"/>
      <c r="AA354" s="85"/>
      <c r="AB354" s="85"/>
    </row>
    <row r="355" spans="1:28" x14ac:dyDescent="0.2">
      <c r="A355" s="795" t="s">
        <v>701</v>
      </c>
      <c r="B355" s="800"/>
      <c r="C355" s="800"/>
      <c r="D355" s="800"/>
      <c r="E355" s="800"/>
      <c r="F355" s="800"/>
      <c r="G355" s="800"/>
      <c r="H355" s="800"/>
      <c r="I355" s="800"/>
      <c r="J355" s="800"/>
      <c r="K355" s="800">
        <f>SUM(B355:J355)</f>
        <v>0</v>
      </c>
      <c r="L355" s="800"/>
      <c r="M355" s="800"/>
      <c r="N355" s="800"/>
      <c r="O355" s="800"/>
      <c r="P355" s="800"/>
      <c r="Q355" s="800"/>
      <c r="R355" s="800"/>
      <c r="S355" s="800"/>
      <c r="T355" s="800"/>
      <c r="U355" s="800"/>
      <c r="V355" s="800">
        <f>SUM(M355:U355)</f>
        <v>0</v>
      </c>
      <c r="W355" s="800"/>
      <c r="X355" s="784"/>
      <c r="AA355" s="85"/>
      <c r="AB355" s="85"/>
    </row>
    <row r="356" spans="1:28" x14ac:dyDescent="0.2">
      <c r="A356" s="795" t="s">
        <v>702</v>
      </c>
      <c r="B356" s="800"/>
      <c r="C356" s="800"/>
      <c r="D356" s="800"/>
      <c r="E356" s="800"/>
      <c r="F356" s="800"/>
      <c r="G356" s="800"/>
      <c r="H356" s="800"/>
      <c r="I356" s="800"/>
      <c r="J356" s="800"/>
      <c r="K356" s="800">
        <f>SUM(B356:J356)</f>
        <v>0</v>
      </c>
      <c r="L356" s="800"/>
      <c r="M356" s="800"/>
      <c r="N356" s="800"/>
      <c r="O356" s="800"/>
      <c r="P356" s="800"/>
      <c r="Q356" s="800"/>
      <c r="R356" s="800"/>
      <c r="S356" s="800"/>
      <c r="T356" s="800"/>
      <c r="U356" s="800"/>
      <c r="V356" s="800">
        <f>SUM(M356:U356)</f>
        <v>0</v>
      </c>
      <c r="W356" s="800"/>
      <c r="X356" s="784"/>
      <c r="AA356" s="85"/>
      <c r="AB356" s="85"/>
    </row>
    <row r="357" spans="1:28" x14ac:dyDescent="0.2">
      <c r="A357" s="795" t="s">
        <v>741</v>
      </c>
      <c r="B357" s="800"/>
      <c r="C357" s="800"/>
      <c r="D357" s="800"/>
      <c r="E357" s="800"/>
      <c r="F357" s="800"/>
      <c r="G357" s="800"/>
      <c r="H357" s="800"/>
      <c r="I357" s="800"/>
      <c r="J357" s="800"/>
      <c r="K357" s="800">
        <f>SUM(B357:J357)</f>
        <v>0</v>
      </c>
      <c r="L357" s="800"/>
      <c r="M357" s="800"/>
      <c r="N357" s="800"/>
      <c r="O357" s="800"/>
      <c r="P357" s="800"/>
      <c r="Q357" s="800"/>
      <c r="R357" s="800"/>
      <c r="S357" s="800"/>
      <c r="T357" s="800"/>
      <c r="U357" s="800"/>
      <c r="V357" s="800">
        <f>SUM(M357:U357)</f>
        <v>0</v>
      </c>
      <c r="W357" s="800"/>
      <c r="X357" s="784"/>
      <c r="AA357" s="85"/>
      <c r="AB357" s="85"/>
    </row>
    <row r="358" spans="1:28" x14ac:dyDescent="0.2">
      <c r="A358" s="795" t="s">
        <v>742</v>
      </c>
      <c r="B358" s="800"/>
      <c r="C358" s="800"/>
      <c r="D358" s="800"/>
      <c r="E358" s="800"/>
      <c r="F358" s="800"/>
      <c r="G358" s="800"/>
      <c r="H358" s="800"/>
      <c r="I358" s="800"/>
      <c r="J358" s="800">
        <v>17453.970309149798</v>
      </c>
      <c r="K358" s="800">
        <f>SUM(B358:J358)</f>
        <v>17453.970309149798</v>
      </c>
      <c r="L358" s="800">
        <f>+K358*12+3000</f>
        <v>212447.64370979759</v>
      </c>
      <c r="M358" s="800"/>
      <c r="N358" s="800"/>
      <c r="O358" s="800"/>
      <c r="P358" s="800"/>
      <c r="Q358" s="800"/>
      <c r="R358" s="800"/>
      <c r="S358" s="800"/>
      <c r="T358" s="800"/>
      <c r="U358" s="800">
        <v>17453.970309149798</v>
      </c>
      <c r="V358" s="800">
        <f>SUM(M358:U358)</f>
        <v>17453.970309149798</v>
      </c>
      <c r="W358" s="800">
        <f>+V358*12+3000</f>
        <v>212447.64370979759</v>
      </c>
      <c r="X358" s="784"/>
      <c r="AA358" s="85"/>
      <c r="AB358" s="85"/>
    </row>
    <row r="359" spans="1:28" ht="13.5" thickBot="1" x14ac:dyDescent="0.25">
      <c r="A359" s="795" t="s">
        <v>743</v>
      </c>
      <c r="B359" s="800"/>
      <c r="C359" s="800"/>
      <c r="D359" s="800"/>
      <c r="E359" s="800"/>
      <c r="F359" s="800"/>
      <c r="G359" s="800"/>
      <c r="H359" s="800"/>
      <c r="I359" s="800"/>
      <c r="J359" s="800">
        <v>15905.657649149796</v>
      </c>
      <c r="K359" s="800">
        <f>SUM(B359:J359)</f>
        <v>15905.657649149796</v>
      </c>
      <c r="L359" s="800">
        <f>+K359*12+3000</f>
        <v>193867.89178979755</v>
      </c>
      <c r="M359" s="800"/>
      <c r="N359" s="800"/>
      <c r="O359" s="800"/>
      <c r="P359" s="800"/>
      <c r="Q359" s="800"/>
      <c r="R359" s="800"/>
      <c r="S359" s="800"/>
      <c r="T359" s="800"/>
      <c r="U359" s="800">
        <v>15905.657649149796</v>
      </c>
      <c r="V359" s="800">
        <f>SUM(M359:U359)</f>
        <v>15905.657649149796</v>
      </c>
      <c r="W359" s="800">
        <f>+V359*12+3000</f>
        <v>193867.89178979755</v>
      </c>
      <c r="X359" s="784"/>
      <c r="AA359" s="85"/>
      <c r="AB359" s="85"/>
    </row>
    <row r="360" spans="1:28" ht="13.5" thickBot="1" x14ac:dyDescent="0.25">
      <c r="A360" s="797" t="s">
        <v>745</v>
      </c>
      <c r="B360" s="808">
        <f>SUM(B361:B365)</f>
        <v>0</v>
      </c>
      <c r="C360" s="808">
        <f t="shared" ref="C360:L360" si="48">SUM(C361:C365)</f>
        <v>0</v>
      </c>
      <c r="D360" s="808">
        <f t="shared" si="48"/>
        <v>34627</v>
      </c>
      <c r="E360" s="808">
        <f t="shared" si="48"/>
        <v>0</v>
      </c>
      <c r="F360" s="808">
        <f t="shared" si="48"/>
        <v>0</v>
      </c>
      <c r="G360" s="808">
        <f t="shared" si="48"/>
        <v>0</v>
      </c>
      <c r="H360" s="808">
        <f t="shared" si="48"/>
        <v>0</v>
      </c>
      <c r="I360" s="808">
        <f t="shared" si="48"/>
        <v>0</v>
      </c>
      <c r="J360" s="808">
        <f t="shared" si="48"/>
        <v>390181.15993399452</v>
      </c>
      <c r="K360" s="808">
        <f t="shared" si="48"/>
        <v>424808.15993399452</v>
      </c>
      <c r="L360" s="808">
        <f t="shared" si="48"/>
        <v>5145897.9192079343</v>
      </c>
      <c r="M360" s="808">
        <f>SUM(M361:M365)</f>
        <v>0</v>
      </c>
      <c r="N360" s="808">
        <f t="shared" ref="N360:W360" si="49">SUM(N361:N365)</f>
        <v>0</v>
      </c>
      <c r="O360" s="808">
        <f t="shared" si="49"/>
        <v>34627</v>
      </c>
      <c r="P360" s="808">
        <f t="shared" si="49"/>
        <v>0</v>
      </c>
      <c r="Q360" s="808">
        <f t="shared" si="49"/>
        <v>0</v>
      </c>
      <c r="R360" s="808">
        <f t="shared" si="49"/>
        <v>0</v>
      </c>
      <c r="S360" s="808">
        <f t="shared" si="49"/>
        <v>0</v>
      </c>
      <c r="T360" s="808">
        <f t="shared" si="49"/>
        <v>0</v>
      </c>
      <c r="U360" s="808">
        <f t="shared" si="49"/>
        <v>390181.15993399452</v>
      </c>
      <c r="V360" s="808">
        <f t="shared" si="49"/>
        <v>424808.15993399452</v>
      </c>
      <c r="W360" s="808">
        <f t="shared" si="49"/>
        <v>5145897.9192079343</v>
      </c>
      <c r="X360" s="784"/>
      <c r="AA360" s="85"/>
      <c r="AB360" s="85"/>
    </row>
    <row r="361" spans="1:28" x14ac:dyDescent="0.2">
      <c r="A361" s="795" t="s">
        <v>746</v>
      </c>
      <c r="B361" s="800"/>
      <c r="C361" s="800"/>
      <c r="D361" s="800"/>
      <c r="E361" s="800"/>
      <c r="F361" s="800"/>
      <c r="G361" s="800"/>
      <c r="H361" s="800"/>
      <c r="I361" s="800"/>
      <c r="J361" s="800">
        <v>136561.76247319838</v>
      </c>
      <c r="K361" s="800">
        <f>SUM(B361:J361)</f>
        <v>136561.76247319838</v>
      </c>
      <c r="L361" s="800">
        <f>+K361*12+24000</f>
        <v>1662741.1496783807</v>
      </c>
      <c r="M361" s="800"/>
      <c r="N361" s="800"/>
      <c r="O361" s="800"/>
      <c r="P361" s="800"/>
      <c r="Q361" s="800"/>
      <c r="R361" s="800"/>
      <c r="S361" s="800"/>
      <c r="T361" s="800"/>
      <c r="U361" s="800">
        <v>136561.76247319838</v>
      </c>
      <c r="V361" s="800">
        <f>SUM(M361:U361)</f>
        <v>136561.76247319838</v>
      </c>
      <c r="W361" s="800">
        <f>+V361*12+24000</f>
        <v>1662741.1496783807</v>
      </c>
      <c r="X361" s="784"/>
      <c r="AA361" s="85"/>
      <c r="AB361" s="85"/>
    </row>
    <row r="362" spans="1:28" x14ac:dyDescent="0.2">
      <c r="A362" s="795" t="s">
        <v>747</v>
      </c>
      <c r="B362" s="800"/>
      <c r="C362" s="800"/>
      <c r="D362" s="800"/>
      <c r="E362" s="800"/>
      <c r="F362" s="800"/>
      <c r="G362" s="800"/>
      <c r="H362" s="800"/>
      <c r="I362" s="800"/>
      <c r="J362" s="800"/>
      <c r="K362" s="800"/>
      <c r="L362" s="800"/>
      <c r="M362" s="800"/>
      <c r="N362" s="800"/>
      <c r="O362" s="800"/>
      <c r="P362" s="800"/>
      <c r="Q362" s="800"/>
      <c r="R362" s="800"/>
      <c r="S362" s="800"/>
      <c r="T362" s="800"/>
      <c r="U362" s="800"/>
      <c r="V362" s="800"/>
      <c r="W362" s="800"/>
      <c r="X362" s="784"/>
      <c r="AA362" s="85"/>
      <c r="AB362" s="85"/>
    </row>
    <row r="363" spans="1:28" x14ac:dyDescent="0.2">
      <c r="A363" s="795" t="s">
        <v>748</v>
      </c>
      <c r="B363" s="800"/>
      <c r="C363" s="800"/>
      <c r="D363" s="800"/>
      <c r="E363" s="800"/>
      <c r="F363" s="800"/>
      <c r="G363" s="800"/>
      <c r="H363" s="800"/>
      <c r="I363" s="800"/>
      <c r="J363" s="800">
        <v>5326.7855530499328</v>
      </c>
      <c r="K363" s="800">
        <f>SUM(B363:J363)</f>
        <v>5326.7855530499328</v>
      </c>
      <c r="L363" s="800">
        <f>+K363*12+1000</f>
        <v>64921.426636599193</v>
      </c>
      <c r="M363" s="800"/>
      <c r="N363" s="800"/>
      <c r="O363" s="800"/>
      <c r="P363" s="800"/>
      <c r="Q363" s="800"/>
      <c r="R363" s="800"/>
      <c r="S363" s="800"/>
      <c r="T363" s="800"/>
      <c r="U363" s="800">
        <v>5326.7855530499328</v>
      </c>
      <c r="V363" s="800">
        <f>SUM(M363:U363)</f>
        <v>5326.7855530499328</v>
      </c>
      <c r="W363" s="800">
        <f>+V363*12+1000</f>
        <v>64921.426636599193</v>
      </c>
      <c r="X363" s="784"/>
      <c r="AA363" s="85"/>
      <c r="AB363" s="85"/>
    </row>
    <row r="364" spans="1:28" x14ac:dyDescent="0.2">
      <c r="A364" s="795" t="s">
        <v>701</v>
      </c>
      <c r="B364" s="800"/>
      <c r="C364" s="800"/>
      <c r="D364" s="800"/>
      <c r="E364" s="800"/>
      <c r="F364" s="800"/>
      <c r="G364" s="800"/>
      <c r="H364" s="800"/>
      <c r="I364" s="800"/>
      <c r="J364" s="800">
        <v>84395.176974898757</v>
      </c>
      <c r="K364" s="800">
        <f>SUM(B364:J364)</f>
        <v>84395.176974898757</v>
      </c>
      <c r="L364" s="800">
        <f>+K364*12+18000</f>
        <v>1030742.1236987851</v>
      </c>
      <c r="M364" s="800"/>
      <c r="N364" s="800"/>
      <c r="O364" s="800"/>
      <c r="P364" s="800"/>
      <c r="Q364" s="800"/>
      <c r="R364" s="800"/>
      <c r="S364" s="800"/>
      <c r="T364" s="800"/>
      <c r="U364" s="800">
        <v>84395.176974898757</v>
      </c>
      <c r="V364" s="800">
        <f>SUM(M364:U364)</f>
        <v>84395.176974898757</v>
      </c>
      <c r="W364" s="800">
        <f>+V364*12+18000</f>
        <v>1030742.1236987851</v>
      </c>
      <c r="X364" s="784"/>
      <c r="AA364" s="85"/>
      <c r="AB364" s="85"/>
    </row>
    <row r="365" spans="1:28" ht="13.5" thickBot="1" x14ac:dyDescent="0.25">
      <c r="A365" s="795" t="s">
        <v>702</v>
      </c>
      <c r="B365" s="800"/>
      <c r="C365" s="800"/>
      <c r="D365" s="800">
        <v>34627</v>
      </c>
      <c r="E365" s="800"/>
      <c r="F365" s="800"/>
      <c r="G365" s="800"/>
      <c r="H365" s="800"/>
      <c r="I365" s="800"/>
      <c r="J365" s="800">
        <v>163897.43493284748</v>
      </c>
      <c r="K365" s="800">
        <f>SUM(B365:J365)</f>
        <v>198524.43493284748</v>
      </c>
      <c r="L365" s="800">
        <f>+K365*12+1000+14*300</f>
        <v>2387493.2191941696</v>
      </c>
      <c r="M365" s="800"/>
      <c r="N365" s="800"/>
      <c r="O365" s="800">
        <v>34627</v>
      </c>
      <c r="P365" s="800"/>
      <c r="Q365" s="800"/>
      <c r="R365" s="800"/>
      <c r="S365" s="800"/>
      <c r="T365" s="800"/>
      <c r="U365" s="800">
        <v>163897.43493284748</v>
      </c>
      <c r="V365" s="800">
        <f>SUM(M365:U365)</f>
        <v>198524.43493284748</v>
      </c>
      <c r="W365" s="800">
        <f>+V365*12+1000+14*300</f>
        <v>2387493.2191941696</v>
      </c>
      <c r="X365" s="784"/>
      <c r="AA365" s="85"/>
      <c r="AB365" s="85"/>
    </row>
    <row r="366" spans="1:28" ht="24.75" thickBot="1" x14ac:dyDescent="0.25">
      <c r="A366" s="809" t="s">
        <v>749</v>
      </c>
      <c r="B366" s="808">
        <f>SUM(B367:B371)</f>
        <v>0</v>
      </c>
      <c r="C366" s="808">
        <f t="shared" ref="C366:L366" si="50">SUM(C367:C371)</f>
        <v>0</v>
      </c>
      <c r="D366" s="808">
        <f t="shared" si="50"/>
        <v>0</v>
      </c>
      <c r="E366" s="808">
        <f t="shared" si="50"/>
        <v>0</v>
      </c>
      <c r="F366" s="808">
        <f t="shared" si="50"/>
        <v>0</v>
      </c>
      <c r="G366" s="808">
        <f t="shared" si="50"/>
        <v>0</v>
      </c>
      <c r="H366" s="808">
        <f t="shared" si="50"/>
        <v>0</v>
      </c>
      <c r="I366" s="808">
        <f t="shared" si="50"/>
        <v>0</v>
      </c>
      <c r="J366" s="808">
        <f t="shared" si="50"/>
        <v>22689.159701349527</v>
      </c>
      <c r="K366" s="808">
        <f t="shared" si="50"/>
        <v>22689.159701349527</v>
      </c>
      <c r="L366" s="808">
        <f t="shared" si="50"/>
        <v>279269.91641619429</v>
      </c>
      <c r="M366" s="808">
        <f>SUM(M367:M371)</f>
        <v>0</v>
      </c>
      <c r="N366" s="808">
        <f t="shared" ref="N366:W366" si="51">SUM(N367:N371)</f>
        <v>0</v>
      </c>
      <c r="O366" s="808">
        <f t="shared" si="51"/>
        <v>0</v>
      </c>
      <c r="P366" s="808">
        <f t="shared" si="51"/>
        <v>0</v>
      </c>
      <c r="Q366" s="808">
        <f t="shared" si="51"/>
        <v>0</v>
      </c>
      <c r="R366" s="808">
        <f t="shared" si="51"/>
        <v>0</v>
      </c>
      <c r="S366" s="808">
        <f t="shared" si="51"/>
        <v>0</v>
      </c>
      <c r="T366" s="808">
        <f t="shared" si="51"/>
        <v>0</v>
      </c>
      <c r="U366" s="808">
        <f t="shared" si="51"/>
        <v>22689.159701349527</v>
      </c>
      <c r="V366" s="808">
        <f t="shared" si="51"/>
        <v>22689.159701349527</v>
      </c>
      <c r="W366" s="808">
        <f t="shared" si="51"/>
        <v>279269.91641619429</v>
      </c>
      <c r="X366" s="784"/>
      <c r="AA366" s="85"/>
      <c r="AB366" s="85"/>
    </row>
    <row r="367" spans="1:28" x14ac:dyDescent="0.2">
      <c r="A367" s="795" t="s">
        <v>701</v>
      </c>
      <c r="B367" s="800"/>
      <c r="C367" s="800"/>
      <c r="D367" s="800"/>
      <c r="E367" s="800"/>
      <c r="F367" s="800"/>
      <c r="G367" s="800"/>
      <c r="H367" s="800"/>
      <c r="I367" s="800"/>
      <c r="J367" s="800">
        <v>19462.556458299594</v>
      </c>
      <c r="K367" s="800">
        <f>SUM(B367:J367)</f>
        <v>19462.556458299594</v>
      </c>
      <c r="L367" s="800">
        <f>+K367*12+6000</f>
        <v>239550.67749959513</v>
      </c>
      <c r="M367" s="800"/>
      <c r="N367" s="800"/>
      <c r="O367" s="800"/>
      <c r="P367" s="800"/>
      <c r="Q367" s="800"/>
      <c r="R367" s="800"/>
      <c r="S367" s="800"/>
      <c r="T367" s="800"/>
      <c r="U367" s="800">
        <v>19462.556458299594</v>
      </c>
      <c r="V367" s="800">
        <f>SUM(M367:U367)</f>
        <v>19462.556458299594</v>
      </c>
      <c r="W367" s="800">
        <f>+V367*12+6000</f>
        <v>239550.67749959513</v>
      </c>
      <c r="X367" s="784"/>
      <c r="AA367" s="85"/>
      <c r="AB367" s="85"/>
    </row>
    <row r="368" spans="1:28" x14ac:dyDescent="0.2">
      <c r="A368" s="795" t="s">
        <v>702</v>
      </c>
      <c r="B368" s="800"/>
      <c r="C368" s="800"/>
      <c r="D368" s="800"/>
      <c r="E368" s="800"/>
      <c r="F368" s="800"/>
      <c r="G368" s="800"/>
      <c r="H368" s="800"/>
      <c r="I368" s="800"/>
      <c r="J368" s="800"/>
      <c r="K368" s="800">
        <f>SUM(B368:J368)</f>
        <v>0</v>
      </c>
      <c r="L368" s="800"/>
      <c r="M368" s="800"/>
      <c r="N368" s="800"/>
      <c r="O368" s="800"/>
      <c r="P368" s="800"/>
      <c r="Q368" s="800"/>
      <c r="R368" s="800"/>
      <c r="S368" s="800"/>
      <c r="T368" s="800"/>
      <c r="U368" s="800"/>
      <c r="V368" s="800">
        <f>SUM(M368:U368)</f>
        <v>0</v>
      </c>
      <c r="W368" s="800"/>
      <c r="X368" s="784"/>
      <c r="AA368" s="85"/>
      <c r="AB368" s="85"/>
    </row>
    <row r="369" spans="1:28" x14ac:dyDescent="0.2">
      <c r="A369" s="795" t="s">
        <v>741</v>
      </c>
      <c r="B369" s="800"/>
      <c r="C369" s="800"/>
      <c r="D369" s="800"/>
      <c r="E369" s="800"/>
      <c r="F369" s="800"/>
      <c r="G369" s="800"/>
      <c r="H369" s="800"/>
      <c r="I369" s="800"/>
      <c r="J369" s="800">
        <v>3226.6032430499326</v>
      </c>
      <c r="K369" s="800">
        <f>SUM(B369:J369)</f>
        <v>3226.6032430499326</v>
      </c>
      <c r="L369" s="800">
        <f>+K369*12+1000</f>
        <v>39719.238916599192</v>
      </c>
      <c r="M369" s="800"/>
      <c r="N369" s="800"/>
      <c r="O369" s="800"/>
      <c r="P369" s="800"/>
      <c r="Q369" s="800"/>
      <c r="R369" s="800"/>
      <c r="S369" s="800"/>
      <c r="T369" s="800"/>
      <c r="U369" s="800">
        <v>3226.6032430499326</v>
      </c>
      <c r="V369" s="800">
        <f>SUM(M369:U369)</f>
        <v>3226.6032430499326</v>
      </c>
      <c r="W369" s="800">
        <f>+V369*12+1000</f>
        <v>39719.238916599192</v>
      </c>
      <c r="X369" s="784"/>
      <c r="AA369" s="85"/>
      <c r="AB369" s="85"/>
    </row>
    <row r="370" spans="1:28" x14ac:dyDescent="0.2">
      <c r="A370" s="795" t="s">
        <v>742</v>
      </c>
      <c r="B370" s="800"/>
      <c r="C370" s="800"/>
      <c r="D370" s="800"/>
      <c r="E370" s="800"/>
      <c r="F370" s="800"/>
      <c r="G370" s="800"/>
      <c r="H370" s="800"/>
      <c r="I370" s="800"/>
      <c r="J370" s="800"/>
      <c r="K370" s="800">
        <f>SUM(B370:J370)</f>
        <v>0</v>
      </c>
      <c r="L370" s="800"/>
      <c r="M370" s="800"/>
      <c r="N370" s="800"/>
      <c r="O370" s="800"/>
      <c r="P370" s="800"/>
      <c r="Q370" s="800"/>
      <c r="R370" s="800"/>
      <c r="S370" s="800"/>
      <c r="T370" s="800"/>
      <c r="U370" s="800"/>
      <c r="V370" s="800">
        <f>SUM(M370:U370)</f>
        <v>0</v>
      </c>
      <c r="W370" s="800"/>
      <c r="X370" s="784"/>
      <c r="AA370" s="85"/>
      <c r="AB370" s="85"/>
    </row>
    <row r="371" spans="1:28" ht="13.5" thickBot="1" x14ac:dyDescent="0.25">
      <c r="A371" s="795" t="s">
        <v>743</v>
      </c>
      <c r="B371" s="800"/>
      <c r="C371" s="800"/>
      <c r="D371" s="800"/>
      <c r="E371" s="800"/>
      <c r="F371" s="800"/>
      <c r="G371" s="800"/>
      <c r="H371" s="800"/>
      <c r="I371" s="800"/>
      <c r="J371" s="800"/>
      <c r="K371" s="800">
        <f>SUM(B371:J371)</f>
        <v>0</v>
      </c>
      <c r="L371" s="800"/>
      <c r="M371" s="800"/>
      <c r="N371" s="800"/>
      <c r="O371" s="800"/>
      <c r="P371" s="800"/>
      <c r="Q371" s="800"/>
      <c r="R371" s="800"/>
      <c r="S371" s="800"/>
      <c r="T371" s="800"/>
      <c r="U371" s="800"/>
      <c r="V371" s="800">
        <f>SUM(M371:U371)</f>
        <v>0</v>
      </c>
      <c r="W371" s="800"/>
      <c r="X371" s="784"/>
      <c r="AA371" s="85"/>
      <c r="AB371" s="85"/>
    </row>
    <row r="372" spans="1:28" ht="13.5" thickBot="1" x14ac:dyDescent="0.25">
      <c r="A372" s="810" t="s">
        <v>750</v>
      </c>
      <c r="B372" s="807">
        <f>+B366+B360+B354+B348+B342+B336+B330</f>
        <v>0</v>
      </c>
      <c r="C372" s="807">
        <f t="shared" ref="C372:L372" si="52">+C366+C360+C354+C348+C342+C336+C330</f>
        <v>0</v>
      </c>
      <c r="D372" s="807">
        <f>+D366+D360+D354+D348+D342+D336+D330</f>
        <v>291650</v>
      </c>
      <c r="E372" s="807">
        <f t="shared" si="52"/>
        <v>0</v>
      </c>
      <c r="F372" s="807">
        <f t="shared" si="52"/>
        <v>0</v>
      </c>
      <c r="G372" s="807">
        <f t="shared" si="52"/>
        <v>0</v>
      </c>
      <c r="H372" s="807">
        <f t="shared" si="52"/>
        <v>0</v>
      </c>
      <c r="I372" s="807">
        <f t="shared" si="52"/>
        <v>0</v>
      </c>
      <c r="J372" s="807">
        <f t="shared" si="52"/>
        <v>4912739.7413370982</v>
      </c>
      <c r="K372" s="807">
        <f t="shared" si="52"/>
        <v>5204389.7413370982</v>
      </c>
      <c r="L372" s="807">
        <f t="shared" si="52"/>
        <v>63098576.896045178</v>
      </c>
      <c r="M372" s="807">
        <f>+M366+M360+M354+M348+M342+M336+M330</f>
        <v>0</v>
      </c>
      <c r="N372" s="807">
        <f>+N366+N360+N354+N348+N342+N336+N330</f>
        <v>0</v>
      </c>
      <c r="O372" s="807">
        <f>+O366+O360+O354+O348+O342+O336+O330</f>
        <v>291650</v>
      </c>
      <c r="P372" s="807">
        <f t="shared" ref="P372:W372" si="53">+P366+P360+P354+P348+P342+P336+P330</f>
        <v>0</v>
      </c>
      <c r="Q372" s="807">
        <f t="shared" si="53"/>
        <v>0</v>
      </c>
      <c r="R372" s="807">
        <f t="shared" si="53"/>
        <v>0</v>
      </c>
      <c r="S372" s="807">
        <f t="shared" si="53"/>
        <v>0</v>
      </c>
      <c r="T372" s="807">
        <f t="shared" si="53"/>
        <v>0</v>
      </c>
      <c r="U372" s="807">
        <f t="shared" si="53"/>
        <v>4935101.7413370972</v>
      </c>
      <c r="V372" s="807">
        <f t="shared" si="53"/>
        <v>5226751.7413370972</v>
      </c>
      <c r="W372" s="807">
        <f t="shared" si="53"/>
        <v>63369920.896045163</v>
      </c>
      <c r="X372" s="784"/>
      <c r="AA372" s="85"/>
      <c r="AB372" s="85"/>
    </row>
    <row r="373" spans="1:28" ht="13.5" thickBot="1" x14ac:dyDescent="0.25">
      <c r="A373" s="797" t="s">
        <v>751</v>
      </c>
      <c r="B373" s="808">
        <f>SUM(B374:B377)</f>
        <v>0</v>
      </c>
      <c r="C373" s="808">
        <f t="shared" ref="C373:L373" si="54">SUM(C374:C377)</f>
        <v>0</v>
      </c>
      <c r="D373" s="808">
        <f t="shared" si="54"/>
        <v>0</v>
      </c>
      <c r="E373" s="808">
        <f t="shared" si="54"/>
        <v>0</v>
      </c>
      <c r="F373" s="808">
        <f t="shared" si="54"/>
        <v>0</v>
      </c>
      <c r="G373" s="808">
        <f t="shared" si="54"/>
        <v>0</v>
      </c>
      <c r="H373" s="808">
        <f t="shared" si="54"/>
        <v>0</v>
      </c>
      <c r="I373" s="808">
        <f t="shared" si="54"/>
        <v>0</v>
      </c>
      <c r="J373" s="808">
        <f t="shared" si="54"/>
        <v>67454.684930148447</v>
      </c>
      <c r="K373" s="808">
        <f t="shared" si="54"/>
        <v>67454.684930148447</v>
      </c>
      <c r="L373" s="808">
        <f t="shared" si="54"/>
        <v>832456.21916178125</v>
      </c>
      <c r="M373" s="808">
        <f>SUM(M374:M377)</f>
        <v>0</v>
      </c>
      <c r="N373" s="808">
        <f t="shared" ref="N373:W373" si="55">SUM(N374:N377)</f>
        <v>0</v>
      </c>
      <c r="O373" s="808">
        <f t="shared" si="55"/>
        <v>0</v>
      </c>
      <c r="P373" s="808">
        <f t="shared" si="55"/>
        <v>0</v>
      </c>
      <c r="Q373" s="808">
        <f t="shared" si="55"/>
        <v>0</v>
      </c>
      <c r="R373" s="808">
        <f t="shared" si="55"/>
        <v>0</v>
      </c>
      <c r="S373" s="808">
        <f t="shared" si="55"/>
        <v>0</v>
      </c>
      <c r="T373" s="808">
        <f t="shared" si="55"/>
        <v>0</v>
      </c>
      <c r="U373" s="808">
        <f t="shared" si="55"/>
        <v>67454.684930148447</v>
      </c>
      <c r="V373" s="808">
        <f t="shared" si="55"/>
        <v>67454.684930148447</v>
      </c>
      <c r="W373" s="808">
        <f t="shared" si="55"/>
        <v>832456.21916178125</v>
      </c>
      <c r="X373" s="784"/>
      <c r="AA373" s="85"/>
      <c r="AB373" s="85"/>
    </row>
    <row r="374" spans="1:28" x14ac:dyDescent="0.2">
      <c r="A374" s="795" t="s">
        <v>584</v>
      </c>
      <c r="B374" s="800"/>
      <c r="C374" s="800"/>
      <c r="D374" s="800"/>
      <c r="E374" s="800"/>
      <c r="F374" s="800"/>
      <c r="G374" s="800"/>
      <c r="H374" s="800"/>
      <c r="I374" s="800"/>
      <c r="J374" s="800">
        <v>5716.6494460998647</v>
      </c>
      <c r="K374" s="800">
        <f>SUM(B374:J374)</f>
        <v>5716.6494460998647</v>
      </c>
      <c r="L374" s="800">
        <f>+K374*12+2000</f>
        <v>70599.793353198373</v>
      </c>
      <c r="M374" s="800"/>
      <c r="N374" s="800"/>
      <c r="O374" s="800"/>
      <c r="P374" s="800"/>
      <c r="Q374" s="800"/>
      <c r="R374" s="800"/>
      <c r="S374" s="800"/>
      <c r="T374" s="800"/>
      <c r="U374" s="800">
        <v>5716.6494460998647</v>
      </c>
      <c r="V374" s="800">
        <f>SUM(M374:U374)</f>
        <v>5716.6494460998647</v>
      </c>
      <c r="W374" s="800">
        <f>+V374*12+2000</f>
        <v>70599.793353198373</v>
      </c>
      <c r="X374" s="784"/>
      <c r="AA374" s="85"/>
      <c r="AB374" s="85"/>
    </row>
    <row r="375" spans="1:28" x14ac:dyDescent="0.2">
      <c r="A375" s="795" t="s">
        <v>582</v>
      </c>
      <c r="B375" s="800"/>
      <c r="C375" s="800"/>
      <c r="D375" s="800"/>
      <c r="E375" s="800"/>
      <c r="F375" s="800"/>
      <c r="G375" s="800"/>
      <c r="H375" s="800"/>
      <c r="I375" s="800"/>
      <c r="J375" s="800"/>
      <c r="K375" s="800"/>
      <c r="L375" s="800"/>
      <c r="M375" s="800"/>
      <c r="N375" s="800"/>
      <c r="O375" s="800"/>
      <c r="P375" s="800"/>
      <c r="Q375" s="800"/>
      <c r="R375" s="800"/>
      <c r="S375" s="800"/>
      <c r="T375" s="800"/>
      <c r="U375" s="800"/>
      <c r="V375" s="800"/>
      <c r="W375" s="800"/>
      <c r="X375" s="784"/>
      <c r="AA375" s="85"/>
      <c r="AB375" s="85"/>
    </row>
    <row r="376" spans="1:28" x14ac:dyDescent="0.2">
      <c r="A376" s="795" t="s">
        <v>584</v>
      </c>
      <c r="B376" s="800"/>
      <c r="C376" s="800"/>
      <c r="D376" s="800"/>
      <c r="E376" s="800"/>
      <c r="F376" s="800"/>
      <c r="G376" s="800"/>
      <c r="H376" s="800"/>
      <c r="I376" s="800"/>
      <c r="J376" s="800"/>
      <c r="K376" s="800"/>
      <c r="L376" s="800"/>
      <c r="M376" s="800"/>
      <c r="N376" s="800"/>
      <c r="O376" s="800"/>
      <c r="P376" s="800"/>
      <c r="Q376" s="800"/>
      <c r="R376" s="800"/>
      <c r="S376" s="800"/>
      <c r="T376" s="800"/>
      <c r="U376" s="800"/>
      <c r="V376" s="800"/>
      <c r="W376" s="800"/>
      <c r="X376" s="784"/>
      <c r="AA376" s="85"/>
      <c r="AB376" s="85"/>
    </row>
    <row r="377" spans="1:28" ht="13.5" thickBot="1" x14ac:dyDescent="0.25">
      <c r="A377" s="795" t="s">
        <v>585</v>
      </c>
      <c r="B377" s="800"/>
      <c r="C377" s="800"/>
      <c r="D377" s="800"/>
      <c r="E377" s="800"/>
      <c r="F377" s="800"/>
      <c r="G377" s="800"/>
      <c r="H377" s="800"/>
      <c r="I377" s="800"/>
      <c r="J377" s="800">
        <v>61738.035484048582</v>
      </c>
      <c r="K377" s="800">
        <f>SUM(B377:J377)</f>
        <v>61738.035484048582</v>
      </c>
      <c r="L377" s="800">
        <f>+K377*12+21000</f>
        <v>761856.42580858292</v>
      </c>
      <c r="M377" s="800"/>
      <c r="N377" s="800"/>
      <c r="O377" s="800"/>
      <c r="P377" s="800"/>
      <c r="Q377" s="800"/>
      <c r="R377" s="800"/>
      <c r="S377" s="800"/>
      <c r="T377" s="800"/>
      <c r="U377" s="800">
        <v>61738.035484048582</v>
      </c>
      <c r="V377" s="800">
        <f>SUM(M377:U377)</f>
        <v>61738.035484048582</v>
      </c>
      <c r="W377" s="800">
        <f>+V377*12+21000</f>
        <v>761856.42580858292</v>
      </c>
      <c r="X377" s="784"/>
      <c r="AA377" s="85"/>
      <c r="AB377" s="85"/>
    </row>
    <row r="378" spans="1:28" ht="13.5" thickBot="1" x14ac:dyDescent="0.25">
      <c r="A378" s="811" t="s">
        <v>752</v>
      </c>
      <c r="B378" s="808">
        <f>SUM(B379:B384)</f>
        <v>0</v>
      </c>
      <c r="C378" s="808">
        <f t="shared" ref="C378:L378" si="56">SUM(C379:C384)</f>
        <v>0</v>
      </c>
      <c r="D378" s="808">
        <f t="shared" si="56"/>
        <v>76633</v>
      </c>
      <c r="E378" s="808">
        <f t="shared" si="56"/>
        <v>0</v>
      </c>
      <c r="F378" s="808">
        <f t="shared" si="56"/>
        <v>0</v>
      </c>
      <c r="G378" s="808">
        <f t="shared" si="56"/>
        <v>0</v>
      </c>
      <c r="H378" s="808">
        <f t="shared" si="56"/>
        <v>0</v>
      </c>
      <c r="I378" s="808">
        <f t="shared" si="56"/>
        <v>0</v>
      </c>
      <c r="J378" s="808">
        <f t="shared" si="56"/>
        <v>996386.03161457472</v>
      </c>
      <c r="K378" s="808">
        <f t="shared" si="56"/>
        <v>1073019.0316145746</v>
      </c>
      <c r="L378" s="808">
        <f t="shared" si="56"/>
        <v>13193928.379374899</v>
      </c>
      <c r="M378" s="808">
        <f>SUM(M379:M384)</f>
        <v>0</v>
      </c>
      <c r="N378" s="808">
        <f t="shared" ref="N378:W378" si="57">SUM(N379:N384)</f>
        <v>0</v>
      </c>
      <c r="O378" s="808">
        <f t="shared" si="57"/>
        <v>76633</v>
      </c>
      <c r="P378" s="808">
        <f t="shared" si="57"/>
        <v>0</v>
      </c>
      <c r="Q378" s="808">
        <f t="shared" si="57"/>
        <v>0</v>
      </c>
      <c r="R378" s="808">
        <f t="shared" si="57"/>
        <v>0</v>
      </c>
      <c r="S378" s="808">
        <f t="shared" si="57"/>
        <v>0</v>
      </c>
      <c r="T378" s="808">
        <f t="shared" si="57"/>
        <v>0</v>
      </c>
      <c r="U378" s="808">
        <f t="shared" si="57"/>
        <v>999013.03161457472</v>
      </c>
      <c r="V378" s="808">
        <f t="shared" si="57"/>
        <v>1075646.0316145746</v>
      </c>
      <c r="W378" s="808">
        <f t="shared" si="57"/>
        <v>13226452.379374899</v>
      </c>
      <c r="X378" s="784"/>
      <c r="AA378" s="85"/>
      <c r="AB378" s="85"/>
    </row>
    <row r="379" spans="1:28" x14ac:dyDescent="0.2">
      <c r="A379" s="812" t="s">
        <v>15</v>
      </c>
      <c r="B379" s="813"/>
      <c r="C379" s="813"/>
      <c r="D379" s="813"/>
      <c r="E379" s="813"/>
      <c r="F379" s="813"/>
      <c r="G379" s="813"/>
      <c r="H379" s="813"/>
      <c r="I379" s="813"/>
      <c r="J379" s="813">
        <v>323152.56122294243</v>
      </c>
      <c r="K379" s="800">
        <f t="shared" ref="K379:K384" si="58">SUM(B379:J379)</f>
        <v>323152.56122294243</v>
      </c>
      <c r="L379" s="800">
        <f>+K379*12+46000</f>
        <v>3923830.7346753092</v>
      </c>
      <c r="M379" s="813"/>
      <c r="N379" s="813"/>
      <c r="O379" s="813"/>
      <c r="P379" s="813"/>
      <c r="Q379" s="813"/>
      <c r="R379" s="813"/>
      <c r="S379" s="813"/>
      <c r="T379" s="813"/>
      <c r="U379" s="813">
        <v>323152.56122294243</v>
      </c>
      <c r="V379" s="800">
        <f t="shared" ref="V379:V384" si="59">SUM(M379:U379)</f>
        <v>323152.56122294243</v>
      </c>
      <c r="W379" s="800">
        <f>+V379*12+46000</f>
        <v>3923830.7346753092</v>
      </c>
      <c r="X379" s="784"/>
      <c r="AA379" s="85"/>
      <c r="AB379" s="85"/>
    </row>
    <row r="380" spans="1:28" x14ac:dyDescent="0.2">
      <c r="A380" s="812" t="s">
        <v>586</v>
      </c>
      <c r="B380" s="813"/>
      <c r="C380" s="813"/>
      <c r="D380" s="813"/>
      <c r="E380" s="813"/>
      <c r="F380" s="813"/>
      <c r="G380" s="813"/>
      <c r="H380" s="813"/>
      <c r="I380" s="813"/>
      <c r="J380" s="813">
        <v>161641.136582996</v>
      </c>
      <c r="K380" s="800">
        <f t="shared" si="58"/>
        <v>161641.136582996</v>
      </c>
      <c r="L380" s="800">
        <f>+K380*12+60000</f>
        <v>1999693.638995952</v>
      </c>
      <c r="M380" s="813"/>
      <c r="N380" s="813"/>
      <c r="O380" s="813"/>
      <c r="P380" s="813"/>
      <c r="Q380" s="813"/>
      <c r="R380" s="813"/>
      <c r="S380" s="813"/>
      <c r="T380" s="813"/>
      <c r="U380" s="813">
        <v>161641.136582996</v>
      </c>
      <c r="V380" s="800">
        <f t="shared" si="59"/>
        <v>161641.136582996</v>
      </c>
      <c r="W380" s="800">
        <f>+V380*12+60000</f>
        <v>1999693.638995952</v>
      </c>
      <c r="X380" s="784"/>
      <c r="AA380" s="85"/>
      <c r="AB380" s="85"/>
    </row>
    <row r="381" spans="1:28" x14ac:dyDescent="0.2">
      <c r="A381" s="812" t="s">
        <v>587</v>
      </c>
      <c r="B381" s="813"/>
      <c r="C381" s="813"/>
      <c r="D381" s="813"/>
      <c r="E381" s="813"/>
      <c r="F381" s="813"/>
      <c r="G381" s="813"/>
      <c r="H381" s="813"/>
      <c r="I381" s="813"/>
      <c r="J381" s="813">
        <v>187679.58825654504</v>
      </c>
      <c r="K381" s="800">
        <f t="shared" si="58"/>
        <v>187679.58825654504</v>
      </c>
      <c r="L381" s="800">
        <f>+K381*12+71000</f>
        <v>2323155.0590785407</v>
      </c>
      <c r="M381" s="813"/>
      <c r="N381" s="813"/>
      <c r="O381" s="813"/>
      <c r="P381" s="813"/>
      <c r="Q381" s="813"/>
      <c r="R381" s="813"/>
      <c r="S381" s="813"/>
      <c r="T381" s="813"/>
      <c r="U381" s="813">
        <v>187679.58825654504</v>
      </c>
      <c r="V381" s="800">
        <f t="shared" si="59"/>
        <v>187679.58825654504</v>
      </c>
      <c r="W381" s="800">
        <f>+V381*12+71000</f>
        <v>2323155.0590785407</v>
      </c>
      <c r="X381" s="784"/>
      <c r="AA381" s="85"/>
      <c r="AB381" s="85"/>
    </row>
    <row r="382" spans="1:28" x14ac:dyDescent="0.2">
      <c r="A382" s="812" t="s">
        <v>588</v>
      </c>
      <c r="B382" s="813"/>
      <c r="C382" s="813"/>
      <c r="D382" s="813"/>
      <c r="E382" s="813"/>
      <c r="F382" s="813"/>
      <c r="G382" s="813"/>
      <c r="H382" s="813"/>
      <c r="I382" s="813"/>
      <c r="J382" s="813">
        <v>49315.05147489877</v>
      </c>
      <c r="K382" s="800">
        <f t="shared" si="58"/>
        <v>49315.05147489877</v>
      </c>
      <c r="L382" s="800">
        <f>+K382*12+19000</f>
        <v>610780.61769878527</v>
      </c>
      <c r="M382" s="813"/>
      <c r="N382" s="813"/>
      <c r="O382" s="813"/>
      <c r="P382" s="813"/>
      <c r="Q382" s="813"/>
      <c r="R382" s="813"/>
      <c r="S382" s="813"/>
      <c r="T382" s="813"/>
      <c r="U382" s="813">
        <v>49315.05147489877</v>
      </c>
      <c r="V382" s="800">
        <f t="shared" si="59"/>
        <v>49315.05147489877</v>
      </c>
      <c r="W382" s="800">
        <f>+V382*12+19000</f>
        <v>610780.61769878527</v>
      </c>
      <c r="X382" s="784"/>
      <c r="AA382" s="85"/>
      <c r="AB382" s="85"/>
    </row>
    <row r="383" spans="1:28" x14ac:dyDescent="0.2">
      <c r="A383" s="812" t="s">
        <v>643</v>
      </c>
      <c r="B383" s="813"/>
      <c r="C383" s="813"/>
      <c r="D383" s="813"/>
      <c r="E383" s="813"/>
      <c r="F383" s="813"/>
      <c r="G383" s="813"/>
      <c r="H383" s="813"/>
      <c r="I383" s="813"/>
      <c r="J383" s="813">
        <v>21097.219544399461</v>
      </c>
      <c r="K383" s="800">
        <f t="shared" si="58"/>
        <v>21097.219544399461</v>
      </c>
      <c r="L383" s="800">
        <f>+K383*12+8000</f>
        <v>261166.63453279354</v>
      </c>
      <c r="M383" s="813"/>
      <c r="N383" s="813"/>
      <c r="O383" s="813"/>
      <c r="P383" s="813"/>
      <c r="Q383" s="813"/>
      <c r="R383" s="813"/>
      <c r="S383" s="813"/>
      <c r="T383" s="813"/>
      <c r="U383" s="813">
        <v>21097.219544399461</v>
      </c>
      <c r="V383" s="800">
        <f t="shared" si="59"/>
        <v>21097.219544399461</v>
      </c>
      <c r="W383" s="800">
        <f>+V383*12+8000</f>
        <v>261166.63453279354</v>
      </c>
      <c r="X383" s="784"/>
      <c r="AA383" s="85"/>
      <c r="AB383" s="85"/>
    </row>
    <row r="384" spans="1:28" ht="13.5" thickBot="1" x14ac:dyDescent="0.25">
      <c r="A384" s="812" t="s">
        <v>589</v>
      </c>
      <c r="B384" s="813"/>
      <c r="C384" s="813"/>
      <c r="D384" s="813">
        <v>76633</v>
      </c>
      <c r="E384" s="813"/>
      <c r="F384" s="813"/>
      <c r="G384" s="813"/>
      <c r="H384" s="813"/>
      <c r="I384" s="813"/>
      <c r="J384" s="813">
        <v>253500.47453279301</v>
      </c>
      <c r="K384" s="800">
        <f t="shared" si="58"/>
        <v>330133.47453279304</v>
      </c>
      <c r="L384" s="800">
        <f>+K384*12+96000+59*300</f>
        <v>4075301.6943935165</v>
      </c>
      <c r="M384" s="813"/>
      <c r="N384" s="813"/>
      <c r="O384" s="813">
        <v>76633</v>
      </c>
      <c r="P384" s="813"/>
      <c r="Q384" s="813"/>
      <c r="R384" s="813"/>
      <c r="S384" s="813"/>
      <c r="T384" s="813"/>
      <c r="U384" s="813">
        <f>253500.474532793+2627</f>
        <v>256127.47453279301</v>
      </c>
      <c r="V384" s="800">
        <f t="shared" si="59"/>
        <v>332760.47453279304</v>
      </c>
      <c r="W384" s="800">
        <f>+V384*12+96000+59*300+1000</f>
        <v>4107825.6943935165</v>
      </c>
      <c r="X384" s="784"/>
      <c r="AA384" s="85"/>
      <c r="AB384" s="85"/>
    </row>
    <row r="385" spans="1:28" ht="13.5" thickBot="1" x14ac:dyDescent="0.25">
      <c r="A385" s="811" t="s">
        <v>753</v>
      </c>
      <c r="B385" s="808">
        <f>SUM(B386:B391)</f>
        <v>0</v>
      </c>
      <c r="C385" s="808">
        <f t="shared" ref="C385:L385" si="60">SUM(C386:C391)</f>
        <v>0</v>
      </c>
      <c r="D385" s="808">
        <f t="shared" si="60"/>
        <v>42389</v>
      </c>
      <c r="E385" s="808">
        <f t="shared" si="60"/>
        <v>0</v>
      </c>
      <c r="F385" s="808">
        <f t="shared" si="60"/>
        <v>0</v>
      </c>
      <c r="G385" s="808">
        <f t="shared" si="60"/>
        <v>0</v>
      </c>
      <c r="H385" s="808">
        <f t="shared" si="60"/>
        <v>0</v>
      </c>
      <c r="I385" s="808">
        <f t="shared" si="60"/>
        <v>0</v>
      </c>
      <c r="J385" s="808">
        <f t="shared" si="60"/>
        <v>250519.9598658435</v>
      </c>
      <c r="K385" s="808">
        <f t="shared" si="60"/>
        <v>292908.95986584353</v>
      </c>
      <c r="L385" s="808">
        <f t="shared" si="60"/>
        <v>3624207.5183901219</v>
      </c>
      <c r="M385" s="808">
        <f>SUM(M386:M391)</f>
        <v>0</v>
      </c>
      <c r="N385" s="808">
        <f t="shared" ref="N385:W385" si="61">SUM(N386:N391)</f>
        <v>0</v>
      </c>
      <c r="O385" s="808">
        <f t="shared" si="61"/>
        <v>42389</v>
      </c>
      <c r="P385" s="808">
        <f t="shared" si="61"/>
        <v>0</v>
      </c>
      <c r="Q385" s="808">
        <f t="shared" si="61"/>
        <v>0</v>
      </c>
      <c r="R385" s="808">
        <f t="shared" si="61"/>
        <v>0</v>
      </c>
      <c r="S385" s="808">
        <f t="shared" si="61"/>
        <v>0</v>
      </c>
      <c r="T385" s="808">
        <f t="shared" si="61"/>
        <v>0</v>
      </c>
      <c r="U385" s="808">
        <f t="shared" si="61"/>
        <v>252956.9598658435</v>
      </c>
      <c r="V385" s="808">
        <f t="shared" si="61"/>
        <v>295345.95986584353</v>
      </c>
      <c r="W385" s="808">
        <f t="shared" si="61"/>
        <v>3654451.5183901219</v>
      </c>
      <c r="X385" s="784"/>
      <c r="AA385" s="85"/>
      <c r="AB385" s="85"/>
    </row>
    <row r="386" spans="1:28" x14ac:dyDescent="0.2">
      <c r="A386" s="812" t="s">
        <v>16</v>
      </c>
      <c r="B386" s="813"/>
      <c r="C386" s="813"/>
      <c r="D386" s="813"/>
      <c r="E386" s="813"/>
      <c r="F386" s="813"/>
      <c r="G386" s="813"/>
      <c r="H386" s="813"/>
      <c r="I386" s="813"/>
      <c r="J386" s="813">
        <v>23732.298117449391</v>
      </c>
      <c r="K386" s="800">
        <f>SUM(B386:J386)</f>
        <v>23732.298117449391</v>
      </c>
      <c r="L386" s="800">
        <f>+K386*12+9000</f>
        <v>293787.57740939269</v>
      </c>
      <c r="M386" s="813"/>
      <c r="N386" s="813"/>
      <c r="O386" s="813"/>
      <c r="P386" s="813"/>
      <c r="Q386" s="813"/>
      <c r="R386" s="813"/>
      <c r="S386" s="813"/>
      <c r="T386" s="813"/>
      <c r="U386" s="813">
        <v>23732.298117449391</v>
      </c>
      <c r="V386" s="800">
        <f>SUM(M386:U386)</f>
        <v>23732.298117449391</v>
      </c>
      <c r="W386" s="800">
        <f>+V386*12+9000</f>
        <v>293787.57740939269</v>
      </c>
      <c r="X386" s="784"/>
      <c r="AA386" s="85"/>
      <c r="AB386" s="85"/>
    </row>
    <row r="387" spans="1:28" x14ac:dyDescent="0.2">
      <c r="A387" s="812" t="s">
        <v>590</v>
      </c>
      <c r="B387" s="813"/>
      <c r="C387" s="813"/>
      <c r="D387" s="813"/>
      <c r="E387" s="813"/>
      <c r="F387" s="813"/>
      <c r="G387" s="813"/>
      <c r="H387" s="813"/>
      <c r="I387" s="813"/>
      <c r="J387" s="813">
        <v>36783.537182699045</v>
      </c>
      <c r="K387" s="800">
        <f>SUM(B387:J387)</f>
        <v>36783.537182699045</v>
      </c>
      <c r="L387" s="800">
        <f>+K387*12+14000</f>
        <v>455402.44619238854</v>
      </c>
      <c r="M387" s="813"/>
      <c r="N387" s="813"/>
      <c r="O387" s="813"/>
      <c r="P387" s="813"/>
      <c r="Q387" s="813"/>
      <c r="R387" s="813"/>
      <c r="S387" s="813"/>
      <c r="T387" s="813"/>
      <c r="U387" s="813">
        <v>36783.537182699045</v>
      </c>
      <c r="V387" s="800">
        <f>SUM(M387:U387)</f>
        <v>36783.537182699045</v>
      </c>
      <c r="W387" s="800">
        <f>+V387*12+14000</f>
        <v>455402.44619238854</v>
      </c>
      <c r="X387" s="784"/>
      <c r="AA387" s="85"/>
      <c r="AB387" s="85"/>
    </row>
    <row r="388" spans="1:28" x14ac:dyDescent="0.2">
      <c r="A388" s="812" t="s">
        <v>591</v>
      </c>
      <c r="B388" s="813"/>
      <c r="C388" s="813"/>
      <c r="D388" s="813"/>
      <c r="E388" s="813"/>
      <c r="F388" s="813"/>
      <c r="G388" s="813"/>
      <c r="H388" s="813"/>
      <c r="I388" s="813"/>
      <c r="J388" s="813">
        <v>23710.821117449392</v>
      </c>
      <c r="K388" s="800">
        <f>SUM(B388:J388)</f>
        <v>23710.821117449392</v>
      </c>
      <c r="L388" s="800">
        <f>+K388*12+9000</f>
        <v>293529.8534093927</v>
      </c>
      <c r="M388" s="813"/>
      <c r="N388" s="813"/>
      <c r="O388" s="813"/>
      <c r="P388" s="813"/>
      <c r="Q388" s="813"/>
      <c r="R388" s="813"/>
      <c r="S388" s="813"/>
      <c r="T388" s="813"/>
      <c r="U388" s="813">
        <v>23710.821117449392</v>
      </c>
      <c r="V388" s="800">
        <f>SUM(M388:U388)</f>
        <v>23710.821117449392</v>
      </c>
      <c r="W388" s="800">
        <f>+V388*12+9000</f>
        <v>293529.8534093927</v>
      </c>
      <c r="X388" s="784"/>
      <c r="AA388" s="85"/>
      <c r="AB388" s="85"/>
    </row>
    <row r="389" spans="1:28" x14ac:dyDescent="0.2">
      <c r="A389" s="812" t="s">
        <v>644</v>
      </c>
      <c r="B389" s="813"/>
      <c r="C389" s="813"/>
      <c r="D389" s="813"/>
      <c r="E389" s="813"/>
      <c r="F389" s="813"/>
      <c r="G389" s="813"/>
      <c r="H389" s="813"/>
      <c r="I389" s="813"/>
      <c r="J389" s="813">
        <v>112158.72806114717</v>
      </c>
      <c r="K389" s="800">
        <f>SUM(B389:J389)</f>
        <v>112158.72806114717</v>
      </c>
      <c r="L389" s="800">
        <f>+K389*12+43000</f>
        <v>1388904.736733766</v>
      </c>
      <c r="M389" s="813"/>
      <c r="N389" s="813"/>
      <c r="O389" s="813"/>
      <c r="P389" s="813"/>
      <c r="Q389" s="813"/>
      <c r="R389" s="813"/>
      <c r="S389" s="813"/>
      <c r="T389" s="813"/>
      <c r="U389" s="813">
        <v>112158.72806114717</v>
      </c>
      <c r="V389" s="800">
        <f>SUM(M389:U389)</f>
        <v>112158.72806114717</v>
      </c>
      <c r="W389" s="800">
        <f>+V389*12+43000</f>
        <v>1388904.736733766</v>
      </c>
      <c r="X389" s="784"/>
      <c r="AA389" s="85"/>
      <c r="AB389" s="85"/>
    </row>
    <row r="390" spans="1:28" x14ac:dyDescent="0.2">
      <c r="A390" s="812" t="s">
        <v>645</v>
      </c>
      <c r="B390" s="85"/>
      <c r="C390" s="85"/>
      <c r="D390" s="85"/>
      <c r="E390" s="85"/>
      <c r="F390" s="85"/>
      <c r="G390" s="85"/>
      <c r="H390" s="85"/>
      <c r="I390" s="85"/>
      <c r="J390" s="85"/>
      <c r="K390" s="85"/>
      <c r="L390" s="85"/>
      <c r="M390" s="85"/>
      <c r="N390" s="85"/>
      <c r="O390" s="85"/>
      <c r="P390" s="85"/>
      <c r="Q390" s="85"/>
      <c r="R390" s="85"/>
      <c r="S390" s="85"/>
      <c r="T390" s="85"/>
      <c r="U390" s="85"/>
      <c r="V390" s="85"/>
      <c r="W390" s="85"/>
      <c r="X390" s="784"/>
      <c r="AA390" s="85"/>
      <c r="AB390" s="85"/>
    </row>
    <row r="391" spans="1:28" ht="13.5" thickBot="1" x14ac:dyDescent="0.25">
      <c r="A391" s="812" t="s">
        <v>646</v>
      </c>
      <c r="B391" s="813"/>
      <c r="C391" s="813"/>
      <c r="D391" s="813">
        <v>42389</v>
      </c>
      <c r="E391" s="813"/>
      <c r="F391" s="813"/>
      <c r="G391" s="813"/>
      <c r="H391" s="813"/>
      <c r="I391" s="813"/>
      <c r="J391" s="813">
        <v>54134.575387098506</v>
      </c>
      <c r="K391" s="800">
        <f>SUM(B391:J391)</f>
        <v>96523.575387098506</v>
      </c>
      <c r="L391" s="800">
        <f>+K391*12+22000+41*300</f>
        <v>1192582.9046451822</v>
      </c>
      <c r="M391" s="813"/>
      <c r="N391" s="813"/>
      <c r="O391" s="813">
        <v>42389</v>
      </c>
      <c r="P391" s="813"/>
      <c r="Q391" s="813"/>
      <c r="R391" s="813"/>
      <c r="S391" s="813"/>
      <c r="T391" s="813"/>
      <c r="U391" s="813">
        <f>54134.5753870985+2437</f>
        <v>56571.575387098499</v>
      </c>
      <c r="V391" s="800">
        <f>SUM(M391:U391)</f>
        <v>98960.575387098506</v>
      </c>
      <c r="W391" s="800">
        <f>+V391*12+22000+41*300+1000</f>
        <v>1222826.9046451822</v>
      </c>
      <c r="X391" s="784"/>
      <c r="AA391" s="85"/>
      <c r="AB391" s="85"/>
    </row>
    <row r="392" spans="1:28" ht="13.5" thickBot="1" x14ac:dyDescent="0.25">
      <c r="A392" s="810" t="s">
        <v>754</v>
      </c>
      <c r="B392" s="807">
        <f>+B385+B378+B373</f>
        <v>0</v>
      </c>
      <c r="C392" s="807">
        <f t="shared" ref="C392:L392" si="62">+C385+C378+C373</f>
        <v>0</v>
      </c>
      <c r="D392" s="807">
        <f>+D385+D378+D373</f>
        <v>119022</v>
      </c>
      <c r="E392" s="807">
        <f t="shared" si="62"/>
        <v>0</v>
      </c>
      <c r="F392" s="807">
        <f t="shared" si="62"/>
        <v>0</v>
      </c>
      <c r="G392" s="807">
        <f t="shared" si="62"/>
        <v>0</v>
      </c>
      <c r="H392" s="807">
        <f t="shared" si="62"/>
        <v>0</v>
      </c>
      <c r="I392" s="807">
        <f t="shared" si="62"/>
        <v>0</v>
      </c>
      <c r="J392" s="807">
        <f t="shared" si="62"/>
        <v>1314360.6764105668</v>
      </c>
      <c r="K392" s="807">
        <f t="shared" si="62"/>
        <v>1433382.6764105665</v>
      </c>
      <c r="L392" s="807">
        <f t="shared" si="62"/>
        <v>17650592.116926804</v>
      </c>
      <c r="M392" s="807">
        <f>+M385+M378+M373</f>
        <v>0</v>
      </c>
      <c r="N392" s="807">
        <f>+N385+N378+N373</f>
        <v>0</v>
      </c>
      <c r="O392" s="807">
        <f>+O385+O378+O373</f>
        <v>119022</v>
      </c>
      <c r="P392" s="807">
        <f t="shared" ref="P392:W392" si="63">+P385+P378+P373</f>
        <v>0</v>
      </c>
      <c r="Q392" s="807">
        <f t="shared" si="63"/>
        <v>0</v>
      </c>
      <c r="R392" s="807">
        <f t="shared" si="63"/>
        <v>0</v>
      </c>
      <c r="S392" s="807">
        <f t="shared" si="63"/>
        <v>0</v>
      </c>
      <c r="T392" s="807">
        <f t="shared" si="63"/>
        <v>0</v>
      </c>
      <c r="U392" s="807">
        <f t="shared" si="63"/>
        <v>1319424.6764105668</v>
      </c>
      <c r="V392" s="807">
        <f t="shared" si="63"/>
        <v>1438446.6764105665</v>
      </c>
      <c r="W392" s="807">
        <f t="shared" si="63"/>
        <v>17713360.116926804</v>
      </c>
      <c r="X392" s="784"/>
      <c r="AA392" s="85"/>
      <c r="AB392" s="85"/>
    </row>
    <row r="393" spans="1:28" ht="13.5" thickBot="1" x14ac:dyDescent="0.25">
      <c r="A393" s="812"/>
      <c r="B393" s="814"/>
      <c r="C393" s="814"/>
      <c r="D393" s="814"/>
      <c r="E393" s="814"/>
      <c r="F393" s="814"/>
      <c r="G393" s="814"/>
      <c r="H393" s="814"/>
      <c r="I393" s="814"/>
      <c r="J393" s="814"/>
      <c r="K393" s="814"/>
      <c r="L393" s="814"/>
      <c r="M393" s="814"/>
      <c r="N393" s="814"/>
      <c r="O393" s="814"/>
      <c r="P393" s="814"/>
      <c r="Q393" s="814"/>
      <c r="R393" s="814"/>
      <c r="S393" s="814"/>
      <c r="T393" s="814"/>
      <c r="U393" s="814"/>
      <c r="V393" s="814"/>
      <c r="W393" s="814"/>
      <c r="X393" s="784"/>
      <c r="AA393" s="85"/>
      <c r="AB393" s="85"/>
    </row>
    <row r="394" spans="1:28" ht="13.5" thickBot="1" x14ac:dyDescent="0.25">
      <c r="A394" s="815" t="s">
        <v>21</v>
      </c>
      <c r="B394" s="808">
        <f>+B392+B372+B329</f>
        <v>425884.50214</v>
      </c>
      <c r="C394" s="808">
        <f t="shared" ref="C394:W394" si="64">+C392+C372+C329</f>
        <v>0</v>
      </c>
      <c r="D394" s="808">
        <f t="shared" si="64"/>
        <v>535211</v>
      </c>
      <c r="E394" s="808">
        <f t="shared" si="64"/>
        <v>0</v>
      </c>
      <c r="F394" s="808">
        <f t="shared" si="64"/>
        <v>0</v>
      </c>
      <c r="G394" s="808">
        <f t="shared" si="64"/>
        <v>0</v>
      </c>
      <c r="H394" s="808">
        <f t="shared" si="64"/>
        <v>0</v>
      </c>
      <c r="I394" s="808">
        <f t="shared" si="64"/>
        <v>0</v>
      </c>
      <c r="J394" s="808">
        <f t="shared" si="64"/>
        <v>6227100.4177476652</v>
      </c>
      <c r="K394" s="808">
        <f t="shared" si="64"/>
        <v>7188195.9198876657</v>
      </c>
      <c r="L394" s="808">
        <f t="shared" si="64"/>
        <v>87424351.038651988</v>
      </c>
      <c r="M394" s="808">
        <f t="shared" si="64"/>
        <v>425884.50214</v>
      </c>
      <c r="N394" s="808">
        <f t="shared" si="64"/>
        <v>0</v>
      </c>
      <c r="O394" s="808">
        <f t="shared" si="64"/>
        <v>524211</v>
      </c>
      <c r="P394" s="808">
        <f t="shared" si="64"/>
        <v>0</v>
      </c>
      <c r="Q394" s="808">
        <f t="shared" si="64"/>
        <v>0</v>
      </c>
      <c r="R394" s="808">
        <f t="shared" si="64"/>
        <v>0</v>
      </c>
      <c r="S394" s="808">
        <f t="shared" si="64"/>
        <v>0</v>
      </c>
      <c r="T394" s="808">
        <f t="shared" si="64"/>
        <v>0</v>
      </c>
      <c r="U394" s="808">
        <f t="shared" si="64"/>
        <v>6254526.4177476643</v>
      </c>
      <c r="V394" s="808">
        <f t="shared" si="64"/>
        <v>7204621.9198876638</v>
      </c>
      <c r="W394" s="808">
        <f t="shared" si="64"/>
        <v>87760463.038651973</v>
      </c>
      <c r="X394" s="799"/>
      <c r="AA394" s="85"/>
      <c r="AB394" s="85"/>
    </row>
    <row r="395" spans="1:28" x14ac:dyDescent="0.2">
      <c r="A395" s="816" t="s">
        <v>279</v>
      </c>
      <c r="B395" s="817"/>
      <c r="C395" s="817"/>
      <c r="D395" s="817"/>
      <c r="E395" s="817"/>
      <c r="F395" s="817"/>
      <c r="G395" s="817"/>
      <c r="H395" s="817"/>
      <c r="I395" s="817"/>
      <c r="J395" s="817"/>
      <c r="K395" s="817"/>
      <c r="L395" s="817"/>
      <c r="M395" s="817"/>
      <c r="N395" s="817"/>
      <c r="O395" s="817"/>
      <c r="P395" s="85"/>
      <c r="Q395" s="784"/>
      <c r="R395"/>
      <c r="S395"/>
      <c r="T395" s="85"/>
      <c r="U395" s="85"/>
      <c r="V395" s="85"/>
      <c r="W395" s="85"/>
      <c r="X395" s="85"/>
      <c r="Y395" s="85"/>
      <c r="Z395" s="85"/>
      <c r="AA395" s="85"/>
      <c r="AB395" s="85"/>
    </row>
    <row r="396" spans="1:28" x14ac:dyDescent="0.2">
      <c r="A396" s="17" t="s">
        <v>273</v>
      </c>
      <c r="P396" s="85"/>
      <c r="Q396" s="784"/>
      <c r="R396"/>
      <c r="S396"/>
      <c r="T396"/>
      <c r="U396"/>
      <c r="V396" s="85"/>
      <c r="W396" s="818">
        <f>+W394-W397</f>
        <v>7041482.038651973</v>
      </c>
      <c r="X396" s="85"/>
      <c r="Y396" s="85"/>
      <c r="Z396" s="85"/>
      <c r="AA396" s="85"/>
      <c r="AB396" s="85"/>
    </row>
    <row r="397" spans="1:28" x14ac:dyDescent="0.2">
      <c r="A397" s="17" t="s">
        <v>277</v>
      </c>
      <c r="D397" s="17">
        <f>+D394*12</f>
        <v>6422532</v>
      </c>
      <c r="P397" s="85"/>
      <c r="Q397" s="784"/>
      <c r="R397"/>
      <c r="S397"/>
      <c r="T397"/>
      <c r="U397"/>
      <c r="V397" s="818"/>
      <c r="W397" s="17">
        <v>80718981</v>
      </c>
      <c r="X397" s="85"/>
      <c r="Y397" s="85"/>
      <c r="Z397" s="85"/>
      <c r="AA397" s="85"/>
      <c r="AB397" s="85"/>
    </row>
    <row r="398" spans="1:28" x14ac:dyDescent="0.2">
      <c r="A398" s="17" t="s">
        <v>284</v>
      </c>
      <c r="C398" s="17">
        <v>7041482.038651973</v>
      </c>
      <c r="D398" s="17">
        <f>272*300</f>
        <v>81600</v>
      </c>
      <c r="X398" s="784"/>
    </row>
    <row r="399" spans="1:28" x14ac:dyDescent="0.2">
      <c r="X399" s="784"/>
    </row>
    <row r="400" spans="1:28" ht="15.75" x14ac:dyDescent="0.2">
      <c r="A400" s="780" t="s">
        <v>376</v>
      </c>
      <c r="B400" s="781"/>
      <c r="C400" s="781"/>
      <c r="D400" s="781"/>
      <c r="E400" s="781"/>
      <c r="F400" s="781"/>
      <c r="G400" s="781"/>
      <c r="H400" s="781"/>
      <c r="I400" s="781"/>
      <c r="J400" s="781"/>
      <c r="K400" s="781"/>
      <c r="L400" s="781"/>
      <c r="M400" s="781"/>
      <c r="N400" s="781"/>
      <c r="O400" s="781"/>
      <c r="P400" s="781"/>
      <c r="Q400" s="781"/>
      <c r="R400" s="781"/>
      <c r="S400" s="781"/>
      <c r="T400" s="781"/>
      <c r="U400" s="781"/>
      <c r="V400" s="781"/>
      <c r="W400" s="781"/>
      <c r="X400" s="782"/>
    </row>
    <row r="401" spans="1:24" ht="15.75" x14ac:dyDescent="0.2">
      <c r="A401" s="780" t="s">
        <v>313</v>
      </c>
      <c r="B401" s="781"/>
      <c r="C401" s="781"/>
      <c r="D401" s="781"/>
      <c r="E401" s="781"/>
      <c r="F401" s="781"/>
      <c r="G401" s="781"/>
      <c r="H401" s="781"/>
      <c r="I401" s="781"/>
      <c r="J401" s="781"/>
      <c r="K401" s="781"/>
      <c r="L401" s="781"/>
      <c r="M401" s="781"/>
      <c r="N401" s="781"/>
      <c r="O401" s="781"/>
      <c r="P401" s="781"/>
      <c r="Q401" s="781"/>
      <c r="R401" s="781"/>
      <c r="S401" s="781"/>
      <c r="T401" s="781"/>
      <c r="U401" s="781"/>
      <c r="V401" s="781"/>
      <c r="W401" s="781"/>
      <c r="X401" s="782"/>
    </row>
    <row r="402" spans="1:24" ht="15.75" x14ac:dyDescent="0.25">
      <c r="A402" s="164" t="s">
        <v>315</v>
      </c>
      <c r="B402" s="73"/>
      <c r="C402" s="73"/>
      <c r="D402" s="73"/>
      <c r="E402" s="73"/>
      <c r="F402" s="73"/>
      <c r="G402" s="73"/>
      <c r="H402" s="73"/>
      <c r="I402" s="73"/>
      <c r="J402" s="73"/>
      <c r="K402" s="73"/>
      <c r="L402" s="73"/>
      <c r="M402" s="73"/>
      <c r="N402" s="73"/>
      <c r="O402" s="73"/>
      <c r="P402" s="73"/>
      <c r="Q402" s="73"/>
      <c r="R402" s="73"/>
      <c r="S402" s="73"/>
      <c r="T402" s="73"/>
      <c r="U402" s="73"/>
      <c r="V402" s="73"/>
      <c r="W402" s="73"/>
      <c r="X402" s="73"/>
    </row>
    <row r="403" spans="1:24" ht="13.5" thickBot="1" x14ac:dyDescent="0.25">
      <c r="A403" s="10" t="s">
        <v>725</v>
      </c>
      <c r="L403" s="783"/>
      <c r="W403" s="783"/>
      <c r="X403" s="784"/>
    </row>
    <row r="404" spans="1:24" x14ac:dyDescent="0.2">
      <c r="A404" s="785" t="s">
        <v>10</v>
      </c>
      <c r="B404" s="1345" t="s">
        <v>419</v>
      </c>
      <c r="C404" s="1346"/>
      <c r="D404" s="1346"/>
      <c r="E404" s="1346"/>
      <c r="F404" s="1346"/>
      <c r="G404" s="1346"/>
      <c r="H404" s="1346"/>
      <c r="I404" s="1346"/>
      <c r="J404" s="1346"/>
      <c r="K404" s="1346"/>
      <c r="L404" s="1347"/>
      <c r="M404" s="1345" t="s">
        <v>420</v>
      </c>
      <c r="N404" s="1346"/>
      <c r="O404" s="1346"/>
      <c r="P404" s="1346"/>
      <c r="Q404" s="1346"/>
      <c r="R404" s="1346"/>
      <c r="S404" s="1346"/>
      <c r="T404" s="1346"/>
      <c r="U404" s="1346"/>
      <c r="V404" s="1346"/>
      <c r="W404" s="1347"/>
      <c r="X404" s="786"/>
    </row>
    <row r="405" spans="1:24" ht="105.75" x14ac:dyDescent="0.2">
      <c r="A405" s="787" t="s">
        <v>9</v>
      </c>
      <c r="B405" s="788" t="s">
        <v>316</v>
      </c>
      <c r="C405" s="788" t="s">
        <v>113</v>
      </c>
      <c r="D405" s="789" t="s">
        <v>272</v>
      </c>
      <c r="E405" s="789" t="s">
        <v>266</v>
      </c>
      <c r="F405" s="789" t="s">
        <v>274</v>
      </c>
      <c r="G405" s="789" t="s">
        <v>275</v>
      </c>
      <c r="H405" s="789" t="s">
        <v>276</v>
      </c>
      <c r="I405" s="789" t="s">
        <v>283</v>
      </c>
      <c r="J405" s="790" t="s">
        <v>278</v>
      </c>
      <c r="K405" s="791" t="s">
        <v>280</v>
      </c>
      <c r="L405" s="792" t="s">
        <v>282</v>
      </c>
      <c r="M405" s="788" t="s">
        <v>316</v>
      </c>
      <c r="N405" s="788" t="s">
        <v>113</v>
      </c>
      <c r="O405" s="789" t="s">
        <v>272</v>
      </c>
      <c r="P405" s="789" t="s">
        <v>266</v>
      </c>
      <c r="Q405" s="789" t="s">
        <v>274</v>
      </c>
      <c r="R405" s="789" t="s">
        <v>275</v>
      </c>
      <c r="S405" s="789" t="s">
        <v>276</v>
      </c>
      <c r="T405" s="789" t="s">
        <v>283</v>
      </c>
      <c r="U405" s="790" t="s">
        <v>278</v>
      </c>
      <c r="V405" s="791" t="s">
        <v>280</v>
      </c>
      <c r="W405" s="792" t="s">
        <v>281</v>
      </c>
      <c r="X405" s="793"/>
    </row>
    <row r="406" spans="1:24" x14ac:dyDescent="0.2">
      <c r="A406" s="795"/>
      <c r="L406" s="796"/>
      <c r="W406" s="796"/>
      <c r="X406" s="784"/>
    </row>
    <row r="407" spans="1:24" x14ac:dyDescent="0.2">
      <c r="A407" s="819" t="s">
        <v>847</v>
      </c>
      <c r="B407" s="820">
        <f>B408+B413+B418+B423</f>
        <v>81</v>
      </c>
      <c r="C407" s="821"/>
      <c r="D407" s="821"/>
      <c r="E407" s="821"/>
      <c r="F407" s="821"/>
      <c r="G407" s="821"/>
      <c r="H407" s="821"/>
      <c r="I407" s="821"/>
      <c r="J407" s="821"/>
      <c r="K407" s="820">
        <f>K408+K413+K418+K423</f>
        <v>81</v>
      </c>
      <c r="L407" s="822">
        <v>2334105.96</v>
      </c>
      <c r="M407" s="820">
        <f>M408+M413+M418+M423</f>
        <v>82</v>
      </c>
      <c r="N407" s="821"/>
      <c r="O407" s="821"/>
      <c r="P407" s="821"/>
      <c r="Q407" s="821"/>
      <c r="R407" s="821"/>
      <c r="S407" s="821"/>
      <c r="T407" s="821"/>
      <c r="U407" s="821"/>
      <c r="V407" s="820">
        <f>V408+V413+V418+V423</f>
        <v>82</v>
      </c>
      <c r="W407" s="822">
        <v>2334105.96</v>
      </c>
      <c r="X407" s="823"/>
    </row>
    <row r="408" spans="1:24" x14ac:dyDescent="0.2">
      <c r="A408" s="819" t="s">
        <v>7</v>
      </c>
      <c r="B408" s="820">
        <f>SUM(B409:B412)</f>
        <v>13</v>
      </c>
      <c r="C408" s="821"/>
      <c r="D408" s="821"/>
      <c r="E408" s="821"/>
      <c r="F408" s="821"/>
      <c r="G408" s="821"/>
      <c r="H408" s="821"/>
      <c r="I408" s="821"/>
      <c r="J408" s="821"/>
      <c r="K408" s="820">
        <f>SUM(K409:K412)</f>
        <v>13</v>
      </c>
      <c r="L408" s="822">
        <v>683599.84</v>
      </c>
      <c r="M408" s="820">
        <f>SUM(M409:M412)</f>
        <v>14</v>
      </c>
      <c r="N408" s="821"/>
      <c r="O408" s="821"/>
      <c r="P408" s="821"/>
      <c r="Q408" s="821"/>
      <c r="R408" s="821"/>
      <c r="S408" s="821"/>
      <c r="T408" s="821"/>
      <c r="U408" s="821"/>
      <c r="V408" s="820">
        <f>SUM(V409:V412)</f>
        <v>14</v>
      </c>
      <c r="W408" s="822">
        <v>683599.84</v>
      </c>
      <c r="X408" s="823"/>
    </row>
    <row r="409" spans="1:24" x14ac:dyDescent="0.2">
      <c r="A409" s="795" t="s">
        <v>12</v>
      </c>
      <c r="B409" s="17">
        <v>8</v>
      </c>
      <c r="K409" s="17">
        <v>8</v>
      </c>
      <c r="L409" s="824">
        <v>77540.56</v>
      </c>
      <c r="M409" s="17">
        <v>1</v>
      </c>
      <c r="V409" s="17">
        <v>1</v>
      </c>
      <c r="W409" s="824">
        <v>77540.56</v>
      </c>
      <c r="X409" s="85"/>
    </row>
    <row r="410" spans="1:24" x14ac:dyDescent="0.2">
      <c r="A410" s="795" t="s">
        <v>581</v>
      </c>
      <c r="B410" s="17">
        <v>2</v>
      </c>
      <c r="K410" s="17">
        <v>2</v>
      </c>
      <c r="L410" s="824">
        <v>193979.27999999997</v>
      </c>
      <c r="M410" s="17">
        <v>3</v>
      </c>
      <c r="V410" s="17">
        <v>3</v>
      </c>
      <c r="W410" s="824">
        <v>193979.27999999997</v>
      </c>
      <c r="X410" s="784"/>
    </row>
    <row r="411" spans="1:24" x14ac:dyDescent="0.2">
      <c r="A411" s="795" t="s">
        <v>580</v>
      </c>
      <c r="B411" s="17">
        <v>2</v>
      </c>
      <c r="K411" s="17">
        <v>2</v>
      </c>
      <c r="L411" s="824">
        <v>90640</v>
      </c>
      <c r="M411" s="17">
        <v>2</v>
      </c>
      <c r="V411" s="17">
        <v>2</v>
      </c>
      <c r="W411" s="824">
        <v>90640</v>
      </c>
      <c r="X411" s="784"/>
    </row>
    <row r="412" spans="1:24" x14ac:dyDescent="0.2">
      <c r="A412" s="795" t="s">
        <v>579</v>
      </c>
      <c r="B412" s="17">
        <v>1</v>
      </c>
      <c r="K412" s="17">
        <v>1</v>
      </c>
      <c r="L412" s="824">
        <v>321440</v>
      </c>
      <c r="M412" s="17">
        <v>8</v>
      </c>
      <c r="V412" s="17">
        <v>8</v>
      </c>
      <c r="W412" s="824">
        <v>321440</v>
      </c>
      <c r="X412" s="784"/>
    </row>
    <row r="413" spans="1:24" x14ac:dyDescent="0.2">
      <c r="A413" s="819" t="s">
        <v>4</v>
      </c>
      <c r="B413" s="820">
        <f>SUM(B414:B417)</f>
        <v>10</v>
      </c>
      <c r="C413" s="821"/>
      <c r="D413" s="821"/>
      <c r="E413" s="821"/>
      <c r="F413" s="821"/>
      <c r="G413" s="821"/>
      <c r="H413" s="821"/>
      <c r="I413" s="821"/>
      <c r="J413" s="821"/>
      <c r="K413" s="820">
        <f>SUM(K414:K417)</f>
        <v>10</v>
      </c>
      <c r="L413" s="822">
        <v>315770.08</v>
      </c>
      <c r="M413" s="820">
        <f>SUM(M414:M417)</f>
        <v>10</v>
      </c>
      <c r="N413" s="821"/>
      <c r="O413" s="821"/>
      <c r="P413" s="821"/>
      <c r="Q413" s="821"/>
      <c r="R413" s="821"/>
      <c r="S413" s="821"/>
      <c r="T413" s="821"/>
      <c r="U413" s="821"/>
      <c r="V413" s="820">
        <f>SUM(V414:V417)</f>
        <v>10</v>
      </c>
      <c r="W413" s="822">
        <v>315770.08</v>
      </c>
      <c r="X413" s="823"/>
    </row>
    <row r="414" spans="1:24" x14ac:dyDescent="0.2">
      <c r="A414" s="795" t="s">
        <v>582</v>
      </c>
      <c r="B414" s="825">
        <v>1</v>
      </c>
      <c r="K414" s="825">
        <v>1</v>
      </c>
      <c r="L414" s="824">
        <v>27323.08</v>
      </c>
      <c r="M414" s="825">
        <v>1</v>
      </c>
      <c r="V414" s="825">
        <v>1</v>
      </c>
      <c r="W414" s="824">
        <v>27323.08</v>
      </c>
      <c r="X414" s="784"/>
    </row>
    <row r="415" spans="1:24" x14ac:dyDescent="0.2">
      <c r="A415" s="795" t="s">
        <v>583</v>
      </c>
      <c r="B415" s="825">
        <v>2</v>
      </c>
      <c r="K415" s="825">
        <v>2</v>
      </c>
      <c r="L415" s="824">
        <v>75344.72</v>
      </c>
      <c r="M415" s="825">
        <v>2</v>
      </c>
      <c r="V415" s="825">
        <v>2</v>
      </c>
      <c r="W415" s="824">
        <v>75344.72</v>
      </c>
      <c r="X415" s="784"/>
    </row>
    <row r="416" spans="1:24" x14ac:dyDescent="0.2">
      <c r="A416" s="795" t="s">
        <v>584</v>
      </c>
      <c r="B416" s="825">
        <v>5</v>
      </c>
      <c r="K416" s="825">
        <v>5</v>
      </c>
      <c r="L416" s="824">
        <v>148625</v>
      </c>
      <c r="M416" s="825">
        <v>5</v>
      </c>
      <c r="V416" s="825">
        <v>5</v>
      </c>
      <c r="W416" s="824">
        <v>148625</v>
      </c>
      <c r="X416" s="784"/>
    </row>
    <row r="417" spans="1:24" x14ac:dyDescent="0.2">
      <c r="A417" s="795" t="s">
        <v>585</v>
      </c>
      <c r="B417" s="825">
        <v>2</v>
      </c>
      <c r="K417" s="825">
        <v>2</v>
      </c>
      <c r="L417" s="824">
        <v>64477.280000000006</v>
      </c>
      <c r="M417" s="825">
        <v>2</v>
      </c>
      <c r="V417" s="825">
        <v>2</v>
      </c>
      <c r="W417" s="824">
        <v>64477.280000000006</v>
      </c>
      <c r="X417" s="784"/>
    </row>
    <row r="418" spans="1:24" x14ac:dyDescent="0.2">
      <c r="A418" s="819" t="s">
        <v>5</v>
      </c>
      <c r="B418" s="820">
        <f>SUM(B419:B422)</f>
        <v>52</v>
      </c>
      <c r="C418" s="821"/>
      <c r="D418" s="821"/>
      <c r="E418" s="821"/>
      <c r="F418" s="821"/>
      <c r="G418" s="821"/>
      <c r="H418" s="821"/>
      <c r="I418" s="821"/>
      <c r="J418" s="821"/>
      <c r="K418" s="820">
        <f>SUM(K419:K422)</f>
        <v>52</v>
      </c>
      <c r="L418" s="822">
        <v>1189020.04</v>
      </c>
      <c r="M418" s="820">
        <f>SUM(M419:M422)</f>
        <v>52</v>
      </c>
      <c r="N418" s="821"/>
      <c r="O418" s="821"/>
      <c r="P418" s="821"/>
      <c r="Q418" s="821"/>
      <c r="R418" s="821"/>
      <c r="S418" s="821"/>
      <c r="T418" s="821"/>
      <c r="U418" s="821"/>
      <c r="V418" s="820">
        <f>SUM(V419:V422)</f>
        <v>52</v>
      </c>
      <c r="W418" s="822">
        <v>1189020.04</v>
      </c>
      <c r="X418" s="823"/>
    </row>
    <row r="419" spans="1:24" x14ac:dyDescent="0.2">
      <c r="A419" s="795" t="s">
        <v>15</v>
      </c>
      <c r="B419" s="825">
        <v>37</v>
      </c>
      <c r="K419" s="825">
        <v>37</v>
      </c>
      <c r="L419" s="824">
        <v>851420.32000000007</v>
      </c>
      <c r="M419" s="825">
        <v>37</v>
      </c>
      <c r="V419" s="825">
        <v>37</v>
      </c>
      <c r="W419" s="824">
        <v>851420.32000000007</v>
      </c>
      <c r="X419" s="784"/>
    </row>
    <row r="420" spans="1:24" x14ac:dyDescent="0.2">
      <c r="A420" s="795" t="s">
        <v>586</v>
      </c>
      <c r="B420" s="825">
        <v>4</v>
      </c>
      <c r="K420" s="825">
        <v>4</v>
      </c>
      <c r="L420" s="824">
        <v>91160.92</v>
      </c>
      <c r="M420" s="825">
        <v>4</v>
      </c>
      <c r="V420" s="825">
        <v>4</v>
      </c>
      <c r="W420" s="824">
        <v>91160.92</v>
      </c>
      <c r="X420" s="784"/>
    </row>
    <row r="421" spans="1:24" x14ac:dyDescent="0.2">
      <c r="A421" s="795" t="s">
        <v>587</v>
      </c>
      <c r="B421" s="825">
        <v>4</v>
      </c>
      <c r="K421" s="825">
        <v>4</v>
      </c>
      <c r="L421" s="824">
        <v>90338.08</v>
      </c>
      <c r="M421" s="825">
        <v>4</v>
      </c>
      <c r="V421" s="825">
        <v>4</v>
      </c>
      <c r="W421" s="824">
        <v>90338.08</v>
      </c>
      <c r="X421" s="784"/>
    </row>
    <row r="422" spans="1:24" x14ac:dyDescent="0.2">
      <c r="A422" s="795" t="s">
        <v>588</v>
      </c>
      <c r="B422" s="825">
        <v>7</v>
      </c>
      <c r="K422" s="825">
        <v>7</v>
      </c>
      <c r="L422" s="824">
        <v>156100.72</v>
      </c>
      <c r="M422" s="825">
        <v>7</v>
      </c>
      <c r="V422" s="825">
        <v>7</v>
      </c>
      <c r="W422" s="824">
        <v>156100.72</v>
      </c>
      <c r="X422" s="784"/>
    </row>
    <row r="423" spans="1:24" x14ac:dyDescent="0.2">
      <c r="A423" s="819" t="s">
        <v>6</v>
      </c>
      <c r="B423" s="820">
        <v>6</v>
      </c>
      <c r="C423" s="821"/>
      <c r="D423" s="821"/>
      <c r="E423" s="821"/>
      <c r="F423" s="821"/>
      <c r="G423" s="821"/>
      <c r="H423" s="821"/>
      <c r="I423" s="821"/>
      <c r="J423" s="821"/>
      <c r="K423" s="820">
        <v>6</v>
      </c>
      <c r="L423" s="822">
        <v>145716</v>
      </c>
      <c r="M423" s="820">
        <v>6</v>
      </c>
      <c r="N423" s="821"/>
      <c r="O423" s="821"/>
      <c r="P423" s="821"/>
      <c r="Q423" s="821"/>
      <c r="R423" s="821"/>
      <c r="S423" s="821"/>
      <c r="T423" s="821"/>
      <c r="U423" s="821"/>
      <c r="V423" s="820">
        <v>6</v>
      </c>
      <c r="W423" s="822">
        <v>145716</v>
      </c>
      <c r="X423" s="823"/>
    </row>
    <row r="424" spans="1:24" x14ac:dyDescent="0.2">
      <c r="A424" s="795" t="s">
        <v>591</v>
      </c>
      <c r="B424" s="825">
        <v>1</v>
      </c>
      <c r="K424" s="825">
        <v>1</v>
      </c>
      <c r="L424" s="824">
        <v>24436</v>
      </c>
      <c r="M424" s="825">
        <v>1</v>
      </c>
      <c r="V424" s="825">
        <v>1</v>
      </c>
      <c r="W424" s="824">
        <v>24436</v>
      </c>
      <c r="X424" s="784"/>
    </row>
    <row r="425" spans="1:24" x14ac:dyDescent="0.2">
      <c r="A425" s="795" t="s">
        <v>644</v>
      </c>
      <c r="B425" s="825">
        <v>5</v>
      </c>
      <c r="K425" s="825">
        <v>5</v>
      </c>
      <c r="L425" s="824">
        <v>121280</v>
      </c>
      <c r="M425" s="825">
        <v>5</v>
      </c>
      <c r="V425" s="825">
        <v>5</v>
      </c>
      <c r="W425" s="824">
        <v>121280</v>
      </c>
      <c r="X425" s="784"/>
    </row>
    <row r="426" spans="1:24" x14ac:dyDescent="0.2">
      <c r="A426" s="819" t="s">
        <v>755</v>
      </c>
      <c r="B426" s="820">
        <f>B427+B432+B439</f>
        <v>251</v>
      </c>
      <c r="C426" s="821"/>
      <c r="D426" s="821"/>
      <c r="E426" s="821"/>
      <c r="F426" s="821"/>
      <c r="G426" s="821"/>
      <c r="H426" s="821"/>
      <c r="I426" s="821"/>
      <c r="J426" s="821"/>
      <c r="K426" s="820">
        <f>K427+K432+K439</f>
        <v>251</v>
      </c>
      <c r="L426" s="822">
        <v>7770506.4000000032</v>
      </c>
      <c r="M426" s="820">
        <f>M427+M432+M439</f>
        <v>251</v>
      </c>
      <c r="N426" s="821"/>
      <c r="O426" s="821"/>
      <c r="P426" s="821"/>
      <c r="Q426" s="821"/>
      <c r="R426" s="821"/>
      <c r="S426" s="821"/>
      <c r="T426" s="821"/>
      <c r="U426" s="821"/>
      <c r="V426" s="820">
        <f>V427+V432+V439</f>
        <v>251</v>
      </c>
      <c r="W426" s="822">
        <v>7770506.4000000032</v>
      </c>
      <c r="X426" s="823"/>
    </row>
    <row r="427" spans="1:24" x14ac:dyDescent="0.2">
      <c r="A427" s="819" t="s">
        <v>4</v>
      </c>
      <c r="B427" s="820">
        <f>SUM(B428:B431)</f>
        <v>12</v>
      </c>
      <c r="C427" s="821"/>
      <c r="D427" s="821"/>
      <c r="E427" s="821"/>
      <c r="F427" s="821"/>
      <c r="G427" s="821"/>
      <c r="H427" s="821"/>
      <c r="I427" s="821"/>
      <c r="J427" s="821"/>
      <c r="K427" s="820">
        <f>SUM(K428:K431)</f>
        <v>12</v>
      </c>
      <c r="L427" s="822">
        <v>285362.40000000002</v>
      </c>
      <c r="M427" s="820">
        <f>SUM(M428:M431)</f>
        <v>12</v>
      </c>
      <c r="N427" s="821"/>
      <c r="O427" s="821"/>
      <c r="P427" s="821"/>
      <c r="Q427" s="821"/>
      <c r="R427" s="821"/>
      <c r="S427" s="821"/>
      <c r="T427" s="821"/>
      <c r="U427" s="821"/>
      <c r="V427" s="820">
        <f>SUM(V428:V431)</f>
        <v>12</v>
      </c>
      <c r="W427" s="822">
        <v>285362.40000000002</v>
      </c>
      <c r="X427" s="823"/>
    </row>
    <row r="428" spans="1:24" x14ac:dyDescent="0.2">
      <c r="A428" s="795" t="s">
        <v>13</v>
      </c>
      <c r="B428" s="85">
        <v>1</v>
      </c>
      <c r="K428" s="85">
        <v>1</v>
      </c>
      <c r="L428" s="824">
        <v>29202.400000000001</v>
      </c>
      <c r="M428" s="85">
        <v>1</v>
      </c>
      <c r="V428" s="85">
        <v>1</v>
      </c>
      <c r="W428" s="824">
        <v>29202.400000000001</v>
      </c>
      <c r="X428" s="784"/>
    </row>
    <row r="429" spans="1:24" x14ac:dyDescent="0.2">
      <c r="A429" s="795" t="s">
        <v>584</v>
      </c>
      <c r="B429" s="85">
        <v>3</v>
      </c>
      <c r="K429" s="85">
        <v>3</v>
      </c>
      <c r="L429" s="824">
        <v>83100</v>
      </c>
      <c r="M429" s="85">
        <v>3</v>
      </c>
      <c r="V429" s="85">
        <v>3</v>
      </c>
      <c r="W429" s="824">
        <v>83100</v>
      </c>
      <c r="X429" s="784"/>
    </row>
    <row r="430" spans="1:24" x14ac:dyDescent="0.2">
      <c r="A430" s="795" t="s">
        <v>14</v>
      </c>
      <c r="B430" s="85">
        <v>5</v>
      </c>
      <c r="K430" s="85">
        <v>5</v>
      </c>
      <c r="L430" s="824">
        <v>125060</v>
      </c>
      <c r="M430" s="85">
        <v>5</v>
      </c>
      <c r="V430" s="85">
        <v>5</v>
      </c>
      <c r="W430" s="824">
        <v>125060</v>
      </c>
      <c r="X430" s="784"/>
    </row>
    <row r="431" spans="1:24" x14ac:dyDescent="0.2">
      <c r="A431" s="795" t="s">
        <v>585</v>
      </c>
      <c r="B431" s="85">
        <v>3</v>
      </c>
      <c r="K431" s="85">
        <v>3</v>
      </c>
      <c r="L431" s="824">
        <v>48000</v>
      </c>
      <c r="M431" s="85">
        <v>3</v>
      </c>
      <c r="V431" s="85">
        <v>3</v>
      </c>
      <c r="W431" s="824">
        <v>48000</v>
      </c>
      <c r="X431" s="784"/>
    </row>
    <row r="432" spans="1:24" x14ac:dyDescent="0.2">
      <c r="A432" s="819" t="s">
        <v>5</v>
      </c>
      <c r="B432" s="820">
        <f>SUM(B433:B438)</f>
        <v>232</v>
      </c>
      <c r="C432" s="821"/>
      <c r="D432" s="821"/>
      <c r="E432" s="821"/>
      <c r="F432" s="821"/>
      <c r="G432" s="821"/>
      <c r="H432" s="821"/>
      <c r="I432" s="821"/>
      <c r="J432" s="821"/>
      <c r="K432" s="820">
        <f>SUM(K433:K438)</f>
        <v>232</v>
      </c>
      <c r="L432" s="822">
        <v>7276276.0000000028</v>
      </c>
      <c r="M432" s="820">
        <f>SUM(M433:M438)</f>
        <v>232</v>
      </c>
      <c r="N432" s="821"/>
      <c r="O432" s="821"/>
      <c r="P432" s="821"/>
      <c r="Q432" s="821"/>
      <c r="R432" s="821"/>
      <c r="S432" s="821"/>
      <c r="T432" s="821"/>
      <c r="U432" s="821"/>
      <c r="V432" s="820">
        <f>SUM(V433:V438)</f>
        <v>232</v>
      </c>
      <c r="W432" s="822">
        <v>7276276.0000000028</v>
      </c>
      <c r="X432" s="823"/>
    </row>
    <row r="433" spans="1:24" x14ac:dyDescent="0.2">
      <c r="A433" s="795" t="s">
        <v>15</v>
      </c>
      <c r="B433" s="85">
        <v>114</v>
      </c>
      <c r="K433" s="85">
        <v>114</v>
      </c>
      <c r="L433" s="824">
        <v>3607917.6000000029</v>
      </c>
      <c r="M433" s="85">
        <v>114</v>
      </c>
      <c r="V433" s="85">
        <v>114</v>
      </c>
      <c r="W433" s="824">
        <v>3607917.6000000029</v>
      </c>
      <c r="X433" s="784"/>
    </row>
    <row r="434" spans="1:24" x14ac:dyDescent="0.2">
      <c r="A434" s="795" t="s">
        <v>586</v>
      </c>
      <c r="B434" s="85">
        <v>18</v>
      </c>
      <c r="K434" s="85">
        <v>18</v>
      </c>
      <c r="L434" s="824">
        <v>565833.60000000009</v>
      </c>
      <c r="M434" s="85">
        <v>18</v>
      </c>
      <c r="V434" s="85">
        <v>18</v>
      </c>
      <c r="W434" s="824">
        <v>565833.60000000009</v>
      </c>
      <c r="X434" s="784"/>
    </row>
    <row r="435" spans="1:24" x14ac:dyDescent="0.2">
      <c r="A435" s="795" t="s">
        <v>587</v>
      </c>
      <c r="B435" s="85">
        <v>24</v>
      </c>
      <c r="K435" s="85">
        <v>24</v>
      </c>
      <c r="L435" s="824">
        <v>753192.00000000012</v>
      </c>
      <c r="M435" s="85">
        <v>24</v>
      </c>
      <c r="V435" s="85">
        <v>24</v>
      </c>
      <c r="W435" s="824">
        <v>753192.00000000012</v>
      </c>
      <c r="X435" s="784"/>
    </row>
    <row r="436" spans="1:24" x14ac:dyDescent="0.2">
      <c r="A436" s="795" t="s">
        <v>588</v>
      </c>
      <c r="B436" s="85">
        <v>34</v>
      </c>
      <c r="K436" s="85">
        <v>34</v>
      </c>
      <c r="L436" s="824">
        <v>1055224</v>
      </c>
      <c r="M436" s="85">
        <v>34</v>
      </c>
      <c r="V436" s="85">
        <v>34</v>
      </c>
      <c r="W436" s="824">
        <v>1055224</v>
      </c>
      <c r="X436" s="784"/>
    </row>
    <row r="437" spans="1:24" x14ac:dyDescent="0.2">
      <c r="A437" s="795" t="s">
        <v>643</v>
      </c>
      <c r="B437" s="85">
        <v>15</v>
      </c>
      <c r="K437" s="85">
        <v>15</v>
      </c>
      <c r="L437" s="824">
        <v>463200</v>
      </c>
      <c r="M437" s="85">
        <v>15</v>
      </c>
      <c r="V437" s="85">
        <v>15</v>
      </c>
      <c r="W437" s="824">
        <v>463200</v>
      </c>
      <c r="X437" s="784"/>
    </row>
    <row r="438" spans="1:24" x14ac:dyDescent="0.2">
      <c r="A438" s="795" t="s">
        <v>589</v>
      </c>
      <c r="B438" s="85">
        <v>27</v>
      </c>
      <c r="K438" s="85">
        <v>27</v>
      </c>
      <c r="L438" s="824">
        <v>830908.7999999997</v>
      </c>
      <c r="M438" s="85">
        <v>27</v>
      </c>
      <c r="V438" s="85">
        <v>27</v>
      </c>
      <c r="W438" s="824">
        <v>830908.7999999997</v>
      </c>
      <c r="X438" s="784"/>
    </row>
    <row r="439" spans="1:24" x14ac:dyDescent="0.2">
      <c r="A439" s="819" t="s">
        <v>6</v>
      </c>
      <c r="B439" s="820">
        <f>SUM(B440:B443)</f>
        <v>7</v>
      </c>
      <c r="C439" s="821"/>
      <c r="D439" s="821"/>
      <c r="E439" s="821"/>
      <c r="F439" s="821"/>
      <c r="G439" s="821"/>
      <c r="H439" s="821"/>
      <c r="I439" s="821"/>
      <c r="J439" s="821"/>
      <c r="K439" s="820">
        <f>SUM(K440:K443)</f>
        <v>7</v>
      </c>
      <c r="L439" s="822">
        <v>208868</v>
      </c>
      <c r="M439" s="820">
        <f>SUM(M440:M443)</f>
        <v>7</v>
      </c>
      <c r="N439" s="821"/>
      <c r="O439" s="821"/>
      <c r="P439" s="821"/>
      <c r="Q439" s="821"/>
      <c r="R439" s="821"/>
      <c r="S439" s="821"/>
      <c r="T439" s="821"/>
      <c r="U439" s="821"/>
      <c r="V439" s="820">
        <f>SUM(V440:V443)</f>
        <v>7</v>
      </c>
      <c r="W439" s="822">
        <v>208868</v>
      </c>
      <c r="X439" s="823"/>
    </row>
    <row r="440" spans="1:24" x14ac:dyDescent="0.2">
      <c r="A440" s="795" t="s">
        <v>590</v>
      </c>
      <c r="B440" s="85">
        <v>4</v>
      </c>
      <c r="K440" s="85">
        <v>4</v>
      </c>
      <c r="L440" s="824">
        <v>122540.79999999999</v>
      </c>
      <c r="M440" s="85">
        <v>4</v>
      </c>
      <c r="V440" s="85">
        <v>4</v>
      </c>
      <c r="W440" s="824">
        <v>122540.79999999999</v>
      </c>
      <c r="X440" s="784"/>
    </row>
    <row r="441" spans="1:24" x14ac:dyDescent="0.2">
      <c r="A441" s="795" t="s">
        <v>591</v>
      </c>
      <c r="B441" s="85">
        <v>1</v>
      </c>
      <c r="K441" s="85">
        <v>1</v>
      </c>
      <c r="L441" s="824">
        <v>30527.199999999997</v>
      </c>
      <c r="M441" s="85">
        <v>1</v>
      </c>
      <c r="V441" s="85">
        <v>1</v>
      </c>
      <c r="W441" s="824">
        <v>30527.199999999997</v>
      </c>
      <c r="X441" s="784"/>
    </row>
    <row r="442" spans="1:24" x14ac:dyDescent="0.2">
      <c r="A442" s="795" t="s">
        <v>644</v>
      </c>
      <c r="B442" s="85">
        <v>1</v>
      </c>
      <c r="K442" s="85">
        <v>1</v>
      </c>
      <c r="L442" s="824">
        <v>27900</v>
      </c>
      <c r="M442" s="85">
        <v>1</v>
      </c>
      <c r="V442" s="85">
        <v>1</v>
      </c>
      <c r="W442" s="824">
        <v>27900</v>
      </c>
      <c r="X442" s="784"/>
    </row>
    <row r="443" spans="1:24" x14ac:dyDescent="0.2">
      <c r="A443" s="795" t="s">
        <v>646</v>
      </c>
      <c r="B443" s="85">
        <v>1</v>
      </c>
      <c r="K443" s="85">
        <v>1</v>
      </c>
      <c r="L443" s="824">
        <v>27900</v>
      </c>
      <c r="M443" s="85">
        <v>1</v>
      </c>
      <c r="V443" s="85">
        <v>1</v>
      </c>
      <c r="W443" s="824">
        <v>27900</v>
      </c>
      <c r="X443" s="784"/>
    </row>
    <row r="444" spans="1:24" x14ac:dyDescent="0.2">
      <c r="A444" s="819" t="s">
        <v>665</v>
      </c>
      <c r="B444" s="820">
        <f>B445+B451+B456+B459</f>
        <v>298</v>
      </c>
      <c r="C444" s="821"/>
      <c r="D444" s="821"/>
      <c r="E444" s="821"/>
      <c r="F444" s="821"/>
      <c r="G444" s="821"/>
      <c r="H444" s="821"/>
      <c r="I444" s="821"/>
      <c r="J444" s="821"/>
      <c r="K444" s="820">
        <f>K445+K451+K456+K459</f>
        <v>298</v>
      </c>
      <c r="L444" s="822">
        <f>L445+L451+L456+L459</f>
        <v>24740786.640000001</v>
      </c>
      <c r="M444" s="820">
        <f>M445+M451+M456+M459</f>
        <v>298</v>
      </c>
      <c r="N444" s="821"/>
      <c r="O444" s="821"/>
      <c r="P444" s="821"/>
      <c r="Q444" s="821"/>
      <c r="R444" s="821"/>
      <c r="S444" s="821"/>
      <c r="T444" s="821"/>
      <c r="U444" s="821"/>
      <c r="V444" s="820">
        <f>V445+V451+V456+V459</f>
        <v>299</v>
      </c>
      <c r="W444" s="822">
        <f>W445+W451+W456+W459</f>
        <v>24603396.640000001</v>
      </c>
      <c r="X444" s="823"/>
    </row>
    <row r="445" spans="1:24" x14ac:dyDescent="0.2">
      <c r="A445" s="819" t="s">
        <v>732</v>
      </c>
      <c r="B445" s="820">
        <f>SUM(B446:B450)</f>
        <v>103</v>
      </c>
      <c r="C445" s="821"/>
      <c r="D445" s="821"/>
      <c r="E445" s="821"/>
      <c r="F445" s="821"/>
      <c r="G445" s="821"/>
      <c r="H445" s="821"/>
      <c r="I445" s="821"/>
      <c r="J445" s="821"/>
      <c r="K445" s="820">
        <f>SUM(K446:K450)</f>
        <v>103</v>
      </c>
      <c r="L445" s="822">
        <v>11949057.600000001</v>
      </c>
      <c r="M445" s="820">
        <f>SUM(M446:M450)</f>
        <v>103</v>
      </c>
      <c r="N445" s="821"/>
      <c r="O445" s="821"/>
      <c r="P445" s="821"/>
      <c r="Q445" s="821"/>
      <c r="R445" s="821"/>
      <c r="S445" s="821"/>
      <c r="T445" s="821"/>
      <c r="U445" s="821"/>
      <c r="V445" s="820">
        <f>SUM(V446:V450)</f>
        <v>103</v>
      </c>
      <c r="W445" s="822">
        <v>11949057.600000001</v>
      </c>
      <c r="X445" s="823"/>
    </row>
    <row r="446" spans="1:24" x14ac:dyDescent="0.2">
      <c r="A446" s="795" t="s">
        <v>737</v>
      </c>
      <c r="B446" s="85">
        <v>27</v>
      </c>
      <c r="K446" s="85">
        <v>27</v>
      </c>
      <c r="L446" s="824">
        <v>2345738.4000000008</v>
      </c>
      <c r="M446" s="85">
        <v>27</v>
      </c>
      <c r="V446" s="85">
        <v>27</v>
      </c>
      <c r="W446" s="824">
        <v>2345738.4000000008</v>
      </c>
      <c r="X446" s="784"/>
    </row>
    <row r="447" spans="1:24" x14ac:dyDescent="0.2">
      <c r="A447" s="795" t="s">
        <v>736</v>
      </c>
      <c r="B447" s="85">
        <v>1</v>
      </c>
      <c r="K447" s="85">
        <v>1</v>
      </c>
      <c r="L447" s="824">
        <v>89380</v>
      </c>
      <c r="M447" s="85">
        <v>1</v>
      </c>
      <c r="V447" s="85">
        <v>1</v>
      </c>
      <c r="W447" s="824">
        <v>89380</v>
      </c>
      <c r="X447" s="784"/>
    </row>
    <row r="448" spans="1:24" x14ac:dyDescent="0.2">
      <c r="A448" s="795" t="s">
        <v>735</v>
      </c>
      <c r="B448" s="85">
        <v>10</v>
      </c>
      <c r="K448" s="85">
        <v>10</v>
      </c>
      <c r="L448" s="824">
        <v>862136.79999999993</v>
      </c>
      <c r="M448" s="85">
        <v>10</v>
      </c>
      <c r="V448" s="85">
        <v>10</v>
      </c>
      <c r="W448" s="824">
        <v>862136.79999999993</v>
      </c>
      <c r="X448" s="784"/>
    </row>
    <row r="449" spans="1:24" x14ac:dyDescent="0.2">
      <c r="A449" s="795" t="s">
        <v>734</v>
      </c>
      <c r="B449" s="85">
        <v>2</v>
      </c>
      <c r="K449" s="85">
        <v>2</v>
      </c>
      <c r="L449" s="824">
        <v>151102.40000000002</v>
      </c>
      <c r="M449" s="85">
        <v>2</v>
      </c>
      <c r="V449" s="85">
        <v>2</v>
      </c>
      <c r="W449" s="824">
        <v>151102.40000000002</v>
      </c>
      <c r="X449" s="784"/>
    </row>
    <row r="450" spans="1:24" x14ac:dyDescent="0.2">
      <c r="A450" s="795" t="s">
        <v>733</v>
      </c>
      <c r="B450" s="85">
        <v>63</v>
      </c>
      <c r="K450" s="85">
        <v>63</v>
      </c>
      <c r="L450" s="824">
        <v>8500700</v>
      </c>
      <c r="M450" s="85">
        <v>63</v>
      </c>
      <c r="V450" s="85">
        <v>63</v>
      </c>
      <c r="W450" s="824">
        <v>8500700</v>
      </c>
      <c r="X450" s="784"/>
    </row>
    <row r="451" spans="1:24" x14ac:dyDescent="0.2">
      <c r="A451" s="819" t="s">
        <v>768</v>
      </c>
      <c r="B451" s="820">
        <f>SUM(B452:B455)</f>
        <v>146</v>
      </c>
      <c r="C451" s="821"/>
      <c r="D451" s="821"/>
      <c r="E451" s="821"/>
      <c r="F451" s="821"/>
      <c r="G451" s="821"/>
      <c r="H451" s="821"/>
      <c r="I451" s="821"/>
      <c r="J451" s="821"/>
      <c r="K451" s="820">
        <f>SUM(K452:K455)</f>
        <v>146</v>
      </c>
      <c r="L451" s="822">
        <v>10518950.039999997</v>
      </c>
      <c r="M451" s="820">
        <f>SUM(M452:M455)</f>
        <v>146</v>
      </c>
      <c r="N451" s="821"/>
      <c r="O451" s="821"/>
      <c r="P451" s="821"/>
      <c r="Q451" s="821"/>
      <c r="R451" s="821"/>
      <c r="S451" s="821"/>
      <c r="T451" s="821"/>
      <c r="U451" s="821"/>
      <c r="V451" s="820">
        <f>SUM(V452:V455)</f>
        <v>147</v>
      </c>
      <c r="W451" s="822">
        <v>10518950.039999997</v>
      </c>
      <c r="X451" s="823"/>
    </row>
    <row r="452" spans="1:24" x14ac:dyDescent="0.2">
      <c r="A452" s="795" t="s">
        <v>769</v>
      </c>
      <c r="B452" s="85">
        <v>67</v>
      </c>
      <c r="K452" s="85">
        <v>67</v>
      </c>
      <c r="L452" s="824">
        <v>3412443.2</v>
      </c>
      <c r="M452" s="85">
        <v>67</v>
      </c>
      <c r="V452" s="85">
        <v>68</v>
      </c>
      <c r="W452" s="824">
        <v>3412443.2</v>
      </c>
      <c r="X452" s="784"/>
    </row>
    <row r="453" spans="1:24" x14ac:dyDescent="0.2">
      <c r="A453" s="795" t="s">
        <v>770</v>
      </c>
      <c r="B453" s="85">
        <v>3</v>
      </c>
      <c r="K453" s="85">
        <v>3</v>
      </c>
      <c r="L453" s="824">
        <v>100101</v>
      </c>
      <c r="M453" s="85">
        <v>3</v>
      </c>
      <c r="V453" s="85">
        <v>3</v>
      </c>
      <c r="W453" s="824">
        <v>100101</v>
      </c>
      <c r="X453" s="784"/>
    </row>
    <row r="454" spans="1:24" x14ac:dyDescent="0.2">
      <c r="A454" s="795" t="s">
        <v>771</v>
      </c>
      <c r="B454" s="85">
        <v>2</v>
      </c>
      <c r="K454" s="85">
        <v>2</v>
      </c>
      <c r="L454" s="824">
        <v>121270.39999999999</v>
      </c>
      <c r="M454" s="85">
        <v>2</v>
      </c>
      <c r="V454" s="85">
        <v>2</v>
      </c>
      <c r="W454" s="824">
        <v>121270.39999999999</v>
      </c>
      <c r="X454" s="784"/>
    </row>
    <row r="455" spans="1:24" x14ac:dyDescent="0.2">
      <c r="A455" s="795" t="s">
        <v>772</v>
      </c>
      <c r="B455" s="85">
        <v>74</v>
      </c>
      <c r="K455" s="85">
        <v>74</v>
      </c>
      <c r="L455" s="824">
        <v>6885135.4399999976</v>
      </c>
      <c r="M455" s="85">
        <v>74</v>
      </c>
      <c r="V455" s="85">
        <v>74</v>
      </c>
      <c r="W455" s="824">
        <v>6885135.4399999976</v>
      </c>
      <c r="X455" s="784"/>
    </row>
    <row r="456" spans="1:24" x14ac:dyDescent="0.2">
      <c r="A456" s="819" t="s">
        <v>739</v>
      </c>
      <c r="B456" s="820">
        <v>22</v>
      </c>
      <c r="C456" s="821"/>
      <c r="D456" s="821"/>
      <c r="E456" s="821"/>
      <c r="F456" s="821"/>
      <c r="G456" s="821"/>
      <c r="H456" s="821"/>
      <c r="I456" s="821"/>
      <c r="J456" s="821"/>
      <c r="K456" s="820">
        <v>22</v>
      </c>
      <c r="L456" s="822">
        <v>970758</v>
      </c>
      <c r="M456" s="820">
        <v>22</v>
      </c>
      <c r="N456" s="821"/>
      <c r="O456" s="821"/>
      <c r="P456" s="821"/>
      <c r="Q456" s="821"/>
      <c r="R456" s="821"/>
      <c r="S456" s="821"/>
      <c r="T456" s="821"/>
      <c r="U456" s="821"/>
      <c r="V456" s="820">
        <v>22</v>
      </c>
      <c r="W456" s="822">
        <v>970758</v>
      </c>
      <c r="X456" s="823"/>
    </row>
    <row r="457" spans="1:24" x14ac:dyDescent="0.2">
      <c r="A457" s="795" t="s">
        <v>773</v>
      </c>
      <c r="B457" s="85">
        <v>9</v>
      </c>
      <c r="K457" s="85">
        <v>9</v>
      </c>
      <c r="L457" s="824">
        <v>420858</v>
      </c>
      <c r="M457" s="85">
        <v>9</v>
      </c>
      <c r="V457" s="85">
        <v>9</v>
      </c>
      <c r="W457" s="824">
        <v>420858</v>
      </c>
      <c r="X457" s="784"/>
    </row>
    <row r="458" spans="1:24" x14ac:dyDescent="0.2">
      <c r="A458" s="795" t="s">
        <v>774</v>
      </c>
      <c r="B458" s="85">
        <v>13</v>
      </c>
      <c r="K458" s="85">
        <v>13</v>
      </c>
      <c r="L458" s="824">
        <v>549900</v>
      </c>
      <c r="M458" s="85">
        <v>13</v>
      </c>
      <c r="V458" s="85">
        <v>13</v>
      </c>
      <c r="W458" s="824">
        <v>549900</v>
      </c>
      <c r="X458" s="784"/>
    </row>
    <row r="459" spans="1:24" x14ac:dyDescent="0.2">
      <c r="A459" s="819" t="s">
        <v>848</v>
      </c>
      <c r="B459" s="820">
        <f>SUM(B460:B464)</f>
        <v>27</v>
      </c>
      <c r="C459" s="821"/>
      <c r="D459" s="821"/>
      <c r="E459" s="821"/>
      <c r="F459" s="821"/>
      <c r="G459" s="821"/>
      <c r="H459" s="821"/>
      <c r="I459" s="821"/>
      <c r="J459" s="821"/>
      <c r="K459" s="820">
        <f>SUM(K460:K464)</f>
        <v>27</v>
      </c>
      <c r="L459" s="822">
        <v>1302021</v>
      </c>
      <c r="M459" s="820">
        <f>SUM(M460:M464)</f>
        <v>27</v>
      </c>
      <c r="N459" s="821"/>
      <c r="O459" s="821"/>
      <c r="P459" s="821"/>
      <c r="Q459" s="821"/>
      <c r="R459" s="821"/>
      <c r="S459" s="821"/>
      <c r="T459" s="821"/>
      <c r="U459" s="821"/>
      <c r="V459" s="820">
        <f>SUM(V460:V464)</f>
        <v>27</v>
      </c>
      <c r="W459" s="822">
        <f>SUM(W460:W464)</f>
        <v>1164631</v>
      </c>
      <c r="X459" s="823"/>
    </row>
    <row r="460" spans="1:24" x14ac:dyDescent="0.2">
      <c r="A460" s="795" t="s">
        <v>849</v>
      </c>
      <c r="B460" s="85">
        <v>7</v>
      </c>
      <c r="K460" s="85">
        <v>7</v>
      </c>
      <c r="L460" s="824">
        <v>354004</v>
      </c>
      <c r="M460" s="85">
        <v>7</v>
      </c>
      <c r="V460" s="85">
        <v>7</v>
      </c>
      <c r="W460" s="824">
        <v>354004</v>
      </c>
      <c r="X460" s="784"/>
    </row>
    <row r="461" spans="1:24" x14ac:dyDescent="0.2">
      <c r="A461" s="795" t="s">
        <v>850</v>
      </c>
      <c r="B461" s="85">
        <v>4</v>
      </c>
      <c r="K461" s="85">
        <v>4</v>
      </c>
      <c r="L461" s="824">
        <v>202288</v>
      </c>
      <c r="M461" s="85">
        <v>4</v>
      </c>
      <c r="V461" s="85">
        <v>4</v>
      </c>
      <c r="W461" s="824">
        <v>202288</v>
      </c>
      <c r="X461" s="784"/>
    </row>
    <row r="462" spans="1:24" x14ac:dyDescent="0.2">
      <c r="A462" s="795" t="s">
        <v>851</v>
      </c>
      <c r="B462" s="85">
        <v>6</v>
      </c>
      <c r="K462" s="85">
        <v>6</v>
      </c>
      <c r="L462" s="824">
        <f>324024</f>
        <v>324024</v>
      </c>
      <c r="M462" s="85">
        <v>6</v>
      </c>
      <c r="V462" s="85">
        <v>6</v>
      </c>
      <c r="W462" s="824">
        <v>324024</v>
      </c>
      <c r="X462" s="784"/>
    </row>
    <row r="463" spans="1:24" x14ac:dyDescent="0.2">
      <c r="A463" s="795" t="s">
        <v>852</v>
      </c>
      <c r="B463" s="85">
        <v>1</v>
      </c>
      <c r="K463" s="85">
        <v>1</v>
      </c>
      <c r="L463" s="824">
        <v>58475.199999999997</v>
      </c>
      <c r="M463" s="85">
        <v>1</v>
      </c>
      <c r="V463" s="85">
        <v>1</v>
      </c>
      <c r="W463" s="824">
        <v>58475.199999999997</v>
      </c>
      <c r="X463" s="784"/>
    </row>
    <row r="464" spans="1:24" x14ac:dyDescent="0.2">
      <c r="A464" s="795" t="s">
        <v>853</v>
      </c>
      <c r="B464" s="85">
        <v>9</v>
      </c>
      <c r="K464" s="85">
        <v>9</v>
      </c>
      <c r="L464" s="824">
        <v>2021</v>
      </c>
      <c r="M464" s="85">
        <v>9</v>
      </c>
      <c r="V464" s="85">
        <v>9</v>
      </c>
      <c r="W464" s="824">
        <v>225839.8</v>
      </c>
      <c r="X464" s="784"/>
    </row>
    <row r="465" spans="1:24" x14ac:dyDescent="0.2">
      <c r="A465" s="819" t="s">
        <v>21</v>
      </c>
      <c r="B465" s="820">
        <f>B444+B426+B407</f>
        <v>630</v>
      </c>
      <c r="C465" s="821"/>
      <c r="D465" s="821"/>
      <c r="E465" s="821"/>
      <c r="F465" s="821"/>
      <c r="G465" s="821"/>
      <c r="H465" s="821"/>
      <c r="I465" s="821"/>
      <c r="J465" s="821"/>
      <c r="K465" s="820">
        <v>631</v>
      </c>
      <c r="L465" s="822">
        <f>L444+L426+L407-L464</f>
        <v>34843378</v>
      </c>
      <c r="M465" s="820">
        <v>632</v>
      </c>
      <c r="N465" s="821"/>
      <c r="O465" s="821"/>
      <c r="P465" s="821"/>
      <c r="Q465" s="821"/>
      <c r="R465" s="821"/>
      <c r="S465" s="821"/>
      <c r="T465" s="821"/>
      <c r="U465" s="821"/>
      <c r="V465" s="820">
        <v>632</v>
      </c>
      <c r="W465" s="822">
        <f>W444+W426+W407</f>
        <v>34708009</v>
      </c>
      <c r="X465" s="823"/>
    </row>
    <row r="466" spans="1:24" x14ac:dyDescent="0.2">
      <c r="X466" s="784"/>
    </row>
    <row r="467" spans="1:24" x14ac:dyDescent="0.2">
      <c r="X467" s="784"/>
    </row>
    <row r="468" spans="1:24" x14ac:dyDescent="0.2">
      <c r="A468" s="816" t="s">
        <v>279</v>
      </c>
      <c r="B468" s="817"/>
      <c r="X468" s="784"/>
    </row>
    <row r="469" spans="1:24" x14ac:dyDescent="0.2">
      <c r="A469" s="17" t="s">
        <v>273</v>
      </c>
      <c r="X469" s="784"/>
    </row>
    <row r="470" spans="1:24" x14ac:dyDescent="0.2">
      <c r="A470" s="17" t="s">
        <v>277</v>
      </c>
      <c r="X470" s="784"/>
    </row>
    <row r="471" spans="1:24" x14ac:dyDescent="0.2">
      <c r="A471" s="17" t="s">
        <v>284</v>
      </c>
      <c r="X471" s="784"/>
    </row>
    <row r="472" spans="1:24" x14ac:dyDescent="0.2">
      <c r="X472" s="784"/>
    </row>
    <row r="473" spans="1:24" ht="15.75" x14ac:dyDescent="0.2">
      <c r="A473" s="780" t="s">
        <v>376</v>
      </c>
      <c r="B473" s="826"/>
      <c r="C473" s="781"/>
      <c r="D473" s="781"/>
      <c r="E473" s="781"/>
      <c r="F473" s="781"/>
      <c r="G473" s="781"/>
      <c r="H473" s="781"/>
      <c r="I473" s="781"/>
      <c r="J473" s="781"/>
      <c r="K473" s="781"/>
      <c r="L473" s="826"/>
      <c r="M473" s="781"/>
      <c r="N473" s="781"/>
      <c r="O473" s="781"/>
      <c r="P473" s="781"/>
      <c r="Q473" s="781"/>
      <c r="R473" s="781"/>
      <c r="S473" s="781"/>
      <c r="T473" s="781"/>
      <c r="U473" s="781"/>
      <c r="V473" s="781"/>
      <c r="W473" s="826"/>
      <c r="X473" s="784"/>
    </row>
    <row r="474" spans="1:24" ht="15.75" x14ac:dyDescent="0.2">
      <c r="A474" s="780" t="s">
        <v>854</v>
      </c>
      <c r="B474" s="826"/>
      <c r="C474" s="781"/>
      <c r="D474" s="781"/>
      <c r="E474" s="781"/>
      <c r="F474" s="781"/>
      <c r="G474" s="781"/>
      <c r="H474" s="781"/>
      <c r="I474" s="781"/>
      <c r="J474" s="781"/>
      <c r="K474" s="781"/>
      <c r="L474" s="826"/>
      <c r="M474" s="781"/>
      <c r="N474" s="781"/>
      <c r="O474" s="781"/>
      <c r="P474" s="781"/>
      <c r="Q474" s="781"/>
      <c r="R474" s="781"/>
      <c r="S474" s="781"/>
      <c r="T474" s="781"/>
      <c r="U474" s="781"/>
      <c r="V474" s="781"/>
      <c r="W474" s="826"/>
      <c r="X474" s="784"/>
    </row>
    <row r="475" spans="1:24" ht="15.75" x14ac:dyDescent="0.25">
      <c r="A475" s="827" t="s">
        <v>315</v>
      </c>
      <c r="B475" s="828"/>
      <c r="C475" s="829"/>
      <c r="D475" s="829"/>
      <c r="E475" s="829"/>
      <c r="F475" s="829"/>
      <c r="G475" s="829"/>
      <c r="H475" s="829"/>
      <c r="I475" s="829"/>
      <c r="J475" s="829"/>
      <c r="K475" s="829"/>
      <c r="L475" s="828"/>
      <c r="M475" s="829"/>
      <c r="N475" s="829"/>
      <c r="O475" s="829"/>
      <c r="P475" s="829"/>
      <c r="Q475" s="829"/>
      <c r="R475" s="829"/>
      <c r="S475" s="829"/>
      <c r="T475" s="829"/>
      <c r="U475" s="829"/>
      <c r="V475" s="829"/>
      <c r="W475" s="828"/>
      <c r="X475" s="784"/>
    </row>
    <row r="476" spans="1:24" ht="13.5" thickBot="1" x14ac:dyDescent="0.25">
      <c r="A476" s="17" t="s">
        <v>855</v>
      </c>
      <c r="B476" s="830"/>
      <c r="L476" s="831"/>
      <c r="W476" s="831"/>
      <c r="X476" s="784"/>
    </row>
    <row r="477" spans="1:24" x14ac:dyDescent="0.2">
      <c r="A477" s="785" t="s">
        <v>10</v>
      </c>
      <c r="B477" s="1345" t="s">
        <v>419</v>
      </c>
      <c r="C477" s="1346"/>
      <c r="D477" s="1346"/>
      <c r="E477" s="1346"/>
      <c r="F477" s="1346"/>
      <c r="G477" s="1346"/>
      <c r="H477" s="1346"/>
      <c r="I477" s="1346"/>
      <c r="J477" s="1346"/>
      <c r="K477" s="1346"/>
      <c r="L477" s="1347"/>
      <c r="M477" s="1345" t="s">
        <v>420</v>
      </c>
      <c r="N477" s="1346"/>
      <c r="O477" s="1346"/>
      <c r="P477" s="1346"/>
      <c r="Q477" s="1346"/>
      <c r="R477" s="1346"/>
      <c r="S477" s="1346"/>
      <c r="T477" s="1346"/>
      <c r="U477" s="1346"/>
      <c r="V477" s="1346"/>
      <c r="W477" s="1347"/>
      <c r="X477" s="784"/>
    </row>
    <row r="478" spans="1:24" ht="105.75" x14ac:dyDescent="0.2">
      <c r="A478" s="787" t="s">
        <v>9</v>
      </c>
      <c r="B478" s="832" t="s">
        <v>316</v>
      </c>
      <c r="C478" s="788" t="s">
        <v>113</v>
      </c>
      <c r="D478" s="789" t="s">
        <v>272</v>
      </c>
      <c r="E478" s="789" t="s">
        <v>266</v>
      </c>
      <c r="F478" s="789" t="s">
        <v>274</v>
      </c>
      <c r="G478" s="789" t="s">
        <v>275</v>
      </c>
      <c r="H478" s="789" t="s">
        <v>276</v>
      </c>
      <c r="I478" s="789" t="s">
        <v>283</v>
      </c>
      <c r="J478" s="790" t="s">
        <v>278</v>
      </c>
      <c r="K478" s="791" t="s">
        <v>280</v>
      </c>
      <c r="L478" s="833" t="s">
        <v>282</v>
      </c>
      <c r="M478" s="788" t="s">
        <v>316</v>
      </c>
      <c r="N478" s="788" t="s">
        <v>113</v>
      </c>
      <c r="O478" s="789" t="s">
        <v>272</v>
      </c>
      <c r="P478" s="789" t="s">
        <v>266</v>
      </c>
      <c r="Q478" s="789" t="s">
        <v>274</v>
      </c>
      <c r="R478" s="789" t="s">
        <v>275</v>
      </c>
      <c r="S478" s="789" t="s">
        <v>276</v>
      </c>
      <c r="T478" s="789" t="s">
        <v>283</v>
      </c>
      <c r="U478" s="790" t="s">
        <v>278</v>
      </c>
      <c r="V478" s="791" t="s">
        <v>280</v>
      </c>
      <c r="W478" s="833" t="s">
        <v>281</v>
      </c>
      <c r="X478" s="784"/>
    </row>
    <row r="479" spans="1:24" x14ac:dyDescent="0.2">
      <c r="A479" s="795"/>
      <c r="B479" s="830"/>
      <c r="L479" s="824"/>
      <c r="W479" s="824"/>
      <c r="X479" s="784"/>
    </row>
    <row r="480" spans="1:24" x14ac:dyDescent="0.2">
      <c r="A480" s="797" t="s">
        <v>7</v>
      </c>
      <c r="B480" s="834"/>
      <c r="C480" s="835"/>
      <c r="D480" s="835"/>
      <c r="E480" s="835"/>
      <c r="F480" s="835"/>
      <c r="G480" s="835"/>
      <c r="H480" s="835"/>
      <c r="I480" s="835"/>
      <c r="J480" s="835"/>
      <c r="K480" s="835"/>
      <c r="L480" s="836"/>
      <c r="M480" s="835"/>
      <c r="N480" s="835"/>
      <c r="O480" s="835"/>
      <c r="P480" s="835"/>
      <c r="Q480" s="835"/>
      <c r="R480" s="835"/>
      <c r="S480" s="835"/>
      <c r="T480" s="835"/>
      <c r="U480" s="835"/>
      <c r="V480" s="835"/>
      <c r="W480" s="836"/>
      <c r="X480" s="784"/>
    </row>
    <row r="481" spans="1:24" x14ac:dyDescent="0.2">
      <c r="A481" s="795" t="s">
        <v>3</v>
      </c>
      <c r="B481" s="830"/>
      <c r="L481" s="824"/>
      <c r="M481" s="830"/>
      <c r="W481" s="824"/>
      <c r="X481" s="784"/>
    </row>
    <row r="482" spans="1:24" x14ac:dyDescent="0.2">
      <c r="A482" s="795" t="s">
        <v>577</v>
      </c>
      <c r="B482" s="830"/>
      <c r="L482" s="824"/>
      <c r="M482" s="830"/>
      <c r="W482" s="824"/>
      <c r="X482" s="784"/>
    </row>
    <row r="483" spans="1:24" x14ac:dyDescent="0.2">
      <c r="A483" s="795" t="s">
        <v>642</v>
      </c>
      <c r="B483" s="830"/>
      <c r="L483" s="824"/>
      <c r="M483" s="830"/>
      <c r="W483" s="824"/>
      <c r="X483" s="784"/>
    </row>
    <row r="484" spans="1:24" x14ac:dyDescent="0.2">
      <c r="A484" s="795" t="s">
        <v>578</v>
      </c>
      <c r="B484" s="830"/>
      <c r="L484" s="824"/>
      <c r="M484" s="830"/>
      <c r="W484" s="824"/>
      <c r="X484" s="784"/>
    </row>
    <row r="485" spans="1:24" x14ac:dyDescent="0.2">
      <c r="A485" s="795" t="s">
        <v>579</v>
      </c>
      <c r="B485" s="830">
        <v>58704.72</v>
      </c>
      <c r="L485" s="824">
        <v>117409.44</v>
      </c>
      <c r="M485" s="830">
        <v>58704.72</v>
      </c>
      <c r="W485" s="824">
        <v>117409.44</v>
      </c>
      <c r="X485" s="784"/>
    </row>
    <row r="486" spans="1:24" x14ac:dyDescent="0.2">
      <c r="A486" s="795" t="s">
        <v>580</v>
      </c>
      <c r="B486" s="830"/>
      <c r="L486" s="824"/>
      <c r="M486" s="830"/>
      <c r="W486" s="824"/>
      <c r="X486" s="784"/>
    </row>
    <row r="487" spans="1:24" x14ac:dyDescent="0.2">
      <c r="A487" s="795" t="s">
        <v>581</v>
      </c>
      <c r="B487" s="830"/>
      <c r="L487" s="824"/>
      <c r="M487" s="830"/>
      <c r="W487" s="824"/>
      <c r="X487" s="784"/>
    </row>
    <row r="488" spans="1:24" x14ac:dyDescent="0.2">
      <c r="A488" s="795" t="s">
        <v>12</v>
      </c>
      <c r="B488" s="830">
        <v>30752.78</v>
      </c>
      <c r="L488" s="824">
        <v>61505.56</v>
      </c>
      <c r="M488" s="830">
        <v>30752.78</v>
      </c>
      <c r="W488" s="824">
        <v>61505.56</v>
      </c>
      <c r="X488" s="784"/>
    </row>
    <row r="489" spans="1:24" x14ac:dyDescent="0.2">
      <c r="A489" s="804"/>
      <c r="B489" s="830">
        <f>+SUM(B481:B488)</f>
        <v>89457.5</v>
      </c>
      <c r="L489" s="824">
        <f>+SUM(L481:L488)</f>
        <v>178915</v>
      </c>
      <c r="M489" s="830">
        <f>+SUM(M481:M488)</f>
        <v>89457.5</v>
      </c>
      <c r="W489" s="824">
        <f>+SUM(W481:W488)</f>
        <v>178915</v>
      </c>
      <c r="X489" s="784"/>
    </row>
    <row r="490" spans="1:24" x14ac:dyDescent="0.2">
      <c r="A490" s="812" t="s">
        <v>4</v>
      </c>
      <c r="B490" s="830"/>
      <c r="D490" s="817"/>
      <c r="E490" s="817"/>
      <c r="F490" s="817"/>
      <c r="G490" s="817"/>
      <c r="H490" s="817"/>
      <c r="I490" s="817"/>
      <c r="J490" s="817"/>
      <c r="L490" s="824"/>
      <c r="M490" s="830"/>
      <c r="N490" s="817"/>
      <c r="O490" s="817"/>
      <c r="P490" s="817"/>
      <c r="Q490" s="817"/>
      <c r="R490" s="817"/>
      <c r="S490" s="817"/>
      <c r="T490" s="817"/>
      <c r="U490" s="817"/>
      <c r="V490" s="817"/>
      <c r="W490" s="837"/>
      <c r="X490" s="784"/>
    </row>
    <row r="491" spans="1:24" ht="13.5" x14ac:dyDescent="0.2">
      <c r="A491" s="838" t="s">
        <v>13</v>
      </c>
      <c r="B491" s="830"/>
      <c r="L491" s="824"/>
      <c r="M491" s="830"/>
      <c r="W491" s="824"/>
      <c r="X491" s="784"/>
    </row>
    <row r="492" spans="1:24" ht="13.5" x14ac:dyDescent="0.2">
      <c r="A492" s="838" t="s">
        <v>582</v>
      </c>
      <c r="B492" s="830"/>
      <c r="L492" s="824"/>
      <c r="M492" s="830"/>
      <c r="W492" s="824"/>
      <c r="X492" s="784"/>
    </row>
    <row r="493" spans="1:24" ht="13.5" x14ac:dyDescent="0.2">
      <c r="A493" s="838" t="s">
        <v>583</v>
      </c>
      <c r="B493" s="830"/>
      <c r="L493" s="824"/>
      <c r="M493" s="830"/>
      <c r="W493" s="824"/>
      <c r="X493" s="784"/>
    </row>
    <row r="494" spans="1:24" ht="13.5" x14ac:dyDescent="0.2">
      <c r="A494" s="838" t="s">
        <v>584</v>
      </c>
      <c r="B494" s="830">
        <v>72919.61</v>
      </c>
      <c r="L494" s="824">
        <v>145839.22</v>
      </c>
      <c r="M494" s="830">
        <v>72919.61</v>
      </c>
      <c r="W494" s="824">
        <v>145839.22</v>
      </c>
      <c r="X494" s="784"/>
    </row>
    <row r="495" spans="1:24" ht="13.5" x14ac:dyDescent="0.2">
      <c r="A495" s="838" t="s">
        <v>14</v>
      </c>
      <c r="B495" s="830">
        <v>50879.97</v>
      </c>
      <c r="L495" s="824">
        <v>101759.94</v>
      </c>
      <c r="M495" s="830">
        <v>50879.97</v>
      </c>
      <c r="W495" s="824">
        <v>101759.94</v>
      </c>
      <c r="X495" s="784"/>
    </row>
    <row r="496" spans="1:24" ht="13.5" x14ac:dyDescent="0.2">
      <c r="A496" s="838" t="s">
        <v>585</v>
      </c>
      <c r="B496" s="830">
        <v>25670.1</v>
      </c>
      <c r="L496" s="824">
        <v>51340.2</v>
      </c>
      <c r="M496" s="830">
        <v>25670.1</v>
      </c>
      <c r="W496" s="824">
        <v>51340.2</v>
      </c>
      <c r="X496" s="784"/>
    </row>
    <row r="497" spans="1:24" x14ac:dyDescent="0.2">
      <c r="A497" s="795"/>
      <c r="B497" s="830">
        <f>+SUM(B491:B496)</f>
        <v>149469.68</v>
      </c>
      <c r="L497" s="824">
        <f>+SUM(L491:L496)</f>
        <v>298939.36</v>
      </c>
      <c r="M497" s="830">
        <f>+SUM(M491:M496)</f>
        <v>149469.68</v>
      </c>
      <c r="W497" s="824">
        <f>+SUM(W491:W496)</f>
        <v>298939.36</v>
      </c>
      <c r="X497" s="784"/>
    </row>
    <row r="498" spans="1:24" x14ac:dyDescent="0.2">
      <c r="A498" s="812" t="s">
        <v>5</v>
      </c>
      <c r="B498" s="830"/>
      <c r="D498" s="817"/>
      <c r="E498" s="817"/>
      <c r="F498" s="817"/>
      <c r="G498" s="817"/>
      <c r="H498" s="817"/>
      <c r="I498" s="817"/>
      <c r="J498" s="817"/>
      <c r="L498" s="824"/>
      <c r="M498" s="830"/>
      <c r="N498" s="817"/>
      <c r="O498" s="817"/>
      <c r="P498" s="817"/>
      <c r="Q498" s="817"/>
      <c r="R498" s="817"/>
      <c r="S498" s="817"/>
      <c r="T498" s="817"/>
      <c r="U498" s="817"/>
      <c r="V498" s="817"/>
      <c r="W498" s="837"/>
      <c r="X498" s="784"/>
    </row>
    <row r="499" spans="1:24" ht="13.5" x14ac:dyDescent="0.2">
      <c r="A499" s="838" t="s">
        <v>15</v>
      </c>
      <c r="B499" s="830">
        <v>254742</v>
      </c>
      <c r="L499" s="824">
        <v>509484</v>
      </c>
      <c r="M499" s="830">
        <v>254742</v>
      </c>
      <c r="W499" s="824">
        <v>509484</v>
      </c>
      <c r="X499" s="784"/>
    </row>
    <row r="500" spans="1:24" ht="13.5" x14ac:dyDescent="0.2">
      <c r="A500" s="838" t="s">
        <v>586</v>
      </c>
      <c r="B500" s="830">
        <v>78800.59</v>
      </c>
      <c r="L500" s="824">
        <v>157601.18</v>
      </c>
      <c r="M500" s="830">
        <v>78800.59</v>
      </c>
      <c r="W500" s="824">
        <v>157601.18</v>
      </c>
      <c r="X500" s="784"/>
    </row>
    <row r="501" spans="1:24" ht="13.5" x14ac:dyDescent="0.2">
      <c r="A501" s="838" t="s">
        <v>587</v>
      </c>
      <c r="B501" s="830">
        <v>22155</v>
      </c>
      <c r="L501" s="824">
        <v>44310</v>
      </c>
      <c r="M501" s="830">
        <v>22155</v>
      </c>
      <c r="W501" s="824">
        <v>44310</v>
      </c>
      <c r="X501" s="784"/>
    </row>
    <row r="502" spans="1:24" ht="13.5" x14ac:dyDescent="0.2">
      <c r="A502" s="838" t="s">
        <v>588</v>
      </c>
      <c r="B502" s="830">
        <v>171090.88</v>
      </c>
      <c r="L502" s="824">
        <v>342181.76</v>
      </c>
      <c r="M502" s="830">
        <v>171090.88</v>
      </c>
      <c r="W502" s="824">
        <v>342181.76</v>
      </c>
      <c r="X502" s="784"/>
    </row>
    <row r="503" spans="1:24" ht="13.5" x14ac:dyDescent="0.2">
      <c r="A503" s="838" t="s">
        <v>643</v>
      </c>
      <c r="B503" s="830">
        <v>44590.29</v>
      </c>
      <c r="L503" s="824">
        <v>89180.58</v>
      </c>
      <c r="M503" s="830">
        <v>44590.29</v>
      </c>
      <c r="W503" s="824">
        <v>89180.58</v>
      </c>
      <c r="X503" s="784"/>
    </row>
    <row r="504" spans="1:24" ht="13.5" x14ac:dyDescent="0.2">
      <c r="A504" s="838" t="s">
        <v>589</v>
      </c>
      <c r="B504" s="830">
        <v>79487.94</v>
      </c>
      <c r="L504" s="824">
        <v>158975.88</v>
      </c>
      <c r="M504" s="830">
        <v>79487.94</v>
      </c>
      <c r="W504" s="824">
        <v>158975.88</v>
      </c>
      <c r="X504" s="784"/>
    </row>
    <row r="505" spans="1:24" x14ac:dyDescent="0.2">
      <c r="A505" s="795"/>
      <c r="B505" s="830">
        <f>+SUM(B499:B504)</f>
        <v>650866.69999999995</v>
      </c>
      <c r="L505" s="824">
        <f>+SUM(L499:L504)</f>
        <v>1301733.3999999999</v>
      </c>
      <c r="M505" s="830">
        <f>+SUM(M499:M504)</f>
        <v>650866.69999999995</v>
      </c>
      <c r="W505" s="824">
        <f>+SUM(W499:W504)</f>
        <v>1301733.3999999999</v>
      </c>
      <c r="X505" s="784"/>
    </row>
    <row r="506" spans="1:24" x14ac:dyDescent="0.2">
      <c r="A506" s="812" t="s">
        <v>6</v>
      </c>
      <c r="B506" s="830"/>
      <c r="D506" s="817"/>
      <c r="E506" s="817"/>
      <c r="F506" s="817"/>
      <c r="G506" s="817"/>
      <c r="H506" s="817"/>
      <c r="I506" s="817"/>
      <c r="J506" s="817"/>
      <c r="L506" s="837"/>
      <c r="M506" s="830"/>
      <c r="N506" s="817"/>
      <c r="O506" s="817"/>
      <c r="P506" s="817"/>
      <c r="Q506" s="817"/>
      <c r="R506" s="817"/>
      <c r="S506" s="817"/>
      <c r="T506" s="817"/>
      <c r="U506" s="817"/>
      <c r="V506" s="817"/>
      <c r="W506" s="837"/>
      <c r="X506" s="784"/>
    </row>
    <row r="507" spans="1:24" ht="13.5" x14ac:dyDescent="0.2">
      <c r="A507" s="838" t="s">
        <v>16</v>
      </c>
      <c r="B507" s="830">
        <v>147972.99</v>
      </c>
      <c r="L507" s="824">
        <v>295945.98</v>
      </c>
      <c r="M507" s="830">
        <v>147972.99</v>
      </c>
      <c r="W507" s="824">
        <v>295945.98</v>
      </c>
      <c r="X507" s="784"/>
    </row>
    <row r="508" spans="1:24" ht="13.5" x14ac:dyDescent="0.2">
      <c r="A508" s="838" t="s">
        <v>590</v>
      </c>
      <c r="B508" s="830"/>
      <c r="L508" s="824"/>
      <c r="M508" s="830"/>
      <c r="W508" s="824"/>
      <c r="X508" s="784"/>
    </row>
    <row r="509" spans="1:24" ht="13.5" x14ac:dyDescent="0.2">
      <c r="A509" s="838" t="s">
        <v>591</v>
      </c>
      <c r="B509" s="830">
        <v>21751.919999999998</v>
      </c>
      <c r="L509" s="824">
        <v>43503.839999999997</v>
      </c>
      <c r="M509" s="830">
        <v>21751.919999999998</v>
      </c>
      <c r="W509" s="824">
        <v>43503.839999999997</v>
      </c>
      <c r="X509" s="784"/>
    </row>
    <row r="510" spans="1:24" ht="13.5" x14ac:dyDescent="0.2">
      <c r="A510" s="838" t="s">
        <v>644</v>
      </c>
      <c r="B510" s="830"/>
      <c r="L510" s="824"/>
      <c r="M510" s="830"/>
      <c r="W510" s="824"/>
      <c r="X510" s="784"/>
    </row>
    <row r="511" spans="1:24" ht="13.5" x14ac:dyDescent="0.2">
      <c r="A511" s="838" t="s">
        <v>645</v>
      </c>
      <c r="B511" s="830"/>
      <c r="L511" s="824"/>
      <c r="M511" s="830"/>
      <c r="W511" s="824"/>
      <c r="X511" s="784"/>
    </row>
    <row r="512" spans="1:24" ht="13.5" x14ac:dyDescent="0.2">
      <c r="A512" s="838" t="s">
        <v>646</v>
      </c>
      <c r="B512" s="830"/>
      <c r="L512" s="824"/>
      <c r="M512" s="830"/>
      <c r="W512" s="824"/>
      <c r="X512" s="784"/>
    </row>
    <row r="513" spans="1:24" ht="13.5" x14ac:dyDescent="0.2">
      <c r="A513" s="839" t="s">
        <v>778</v>
      </c>
      <c r="B513" s="830">
        <f>+SUM(B507:B512)</f>
        <v>169724.90999999997</v>
      </c>
      <c r="L513" s="824">
        <f>+SUM(L507:L512)</f>
        <v>339449.81999999995</v>
      </c>
      <c r="M513" s="830">
        <v>169724.91</v>
      </c>
      <c r="W513" s="824">
        <f>+SUM(W507:W512)</f>
        <v>339449.81999999995</v>
      </c>
      <c r="X513" s="784"/>
    </row>
    <row r="514" spans="1:24" ht="13.5" x14ac:dyDescent="0.2">
      <c r="A514" s="839" t="s">
        <v>779</v>
      </c>
      <c r="B514" s="830">
        <f>+B489+B497+B505+B513</f>
        <v>1059518.7899999998</v>
      </c>
      <c r="L514" s="824">
        <f>+L489+L497+L505+L513</f>
        <v>2119037.5799999996</v>
      </c>
      <c r="M514" s="830">
        <f>+M489+M497+M505+M513</f>
        <v>1059518.7899999998</v>
      </c>
      <c r="W514" s="824">
        <f>+W489+W497+W505+W513</f>
        <v>2119037.5799999996</v>
      </c>
      <c r="X514" s="784"/>
    </row>
    <row r="515" spans="1:24" ht="27" x14ac:dyDescent="0.2">
      <c r="A515" s="840" t="s">
        <v>755</v>
      </c>
      <c r="B515" s="830"/>
      <c r="L515" s="824"/>
      <c r="M515" s="830"/>
      <c r="W515" s="824"/>
      <c r="X515" s="784"/>
    </row>
    <row r="516" spans="1:24" ht="13.5" x14ac:dyDescent="0.2">
      <c r="A516" s="838" t="s">
        <v>13</v>
      </c>
      <c r="B516" s="830"/>
      <c r="L516" s="824"/>
      <c r="M516" s="830"/>
      <c r="W516" s="824"/>
      <c r="X516" s="784"/>
    </row>
    <row r="517" spans="1:24" ht="13.5" x14ac:dyDescent="0.2">
      <c r="A517" s="838" t="s">
        <v>582</v>
      </c>
      <c r="B517" s="830"/>
      <c r="L517" s="824"/>
      <c r="M517" s="830"/>
      <c r="W517" s="824"/>
      <c r="X517" s="784"/>
    </row>
    <row r="518" spans="1:24" ht="13.5" x14ac:dyDescent="0.2">
      <c r="A518" s="838" t="s">
        <v>583</v>
      </c>
      <c r="B518" s="830"/>
      <c r="L518" s="824"/>
      <c r="M518" s="830"/>
      <c r="W518" s="824"/>
      <c r="X518" s="784"/>
    </row>
    <row r="519" spans="1:24" ht="13.5" x14ac:dyDescent="0.2">
      <c r="A519" s="838" t="s">
        <v>584</v>
      </c>
      <c r="B519" s="830"/>
      <c r="L519" s="824"/>
      <c r="M519" s="830"/>
      <c r="W519" s="824"/>
      <c r="X519" s="784"/>
    </row>
    <row r="520" spans="1:24" ht="13.5" x14ac:dyDescent="0.2">
      <c r="A520" s="838" t="s">
        <v>14</v>
      </c>
      <c r="B520" s="830">
        <v>36490</v>
      </c>
      <c r="L520" s="824">
        <v>72980</v>
      </c>
      <c r="M520" s="830">
        <v>36490</v>
      </c>
      <c r="W520" s="824">
        <v>72980</v>
      </c>
      <c r="X520" s="784"/>
    </row>
    <row r="521" spans="1:24" ht="13.5" x14ac:dyDescent="0.2">
      <c r="A521" s="838" t="s">
        <v>585</v>
      </c>
      <c r="B521" s="830">
        <v>39770</v>
      </c>
      <c r="L521" s="824">
        <v>79540</v>
      </c>
      <c r="M521" s="830">
        <v>39770</v>
      </c>
      <c r="W521" s="824">
        <v>79540</v>
      </c>
      <c r="X521" s="784"/>
    </row>
    <row r="522" spans="1:24" x14ac:dyDescent="0.2">
      <c r="A522" s="795"/>
      <c r="B522" s="830">
        <f>+SUM(B516:B521)</f>
        <v>76260</v>
      </c>
      <c r="L522" s="824">
        <f>+SUM(L516:L521)</f>
        <v>152520</v>
      </c>
      <c r="M522" s="830">
        <v>76260</v>
      </c>
      <c r="W522" s="824">
        <f>+SUM(W516:W521)</f>
        <v>152520</v>
      </c>
      <c r="X522" s="784"/>
    </row>
    <row r="523" spans="1:24" ht="13.5" x14ac:dyDescent="0.2">
      <c r="A523" s="841" t="s">
        <v>780</v>
      </c>
      <c r="B523" s="830"/>
      <c r="L523" s="824"/>
      <c r="M523" s="830"/>
      <c r="W523" s="824"/>
      <c r="X523" s="784"/>
    </row>
    <row r="524" spans="1:24" ht="13.5" x14ac:dyDescent="0.2">
      <c r="A524" s="838" t="s">
        <v>15</v>
      </c>
      <c r="B524" s="830">
        <v>477003.3</v>
      </c>
      <c r="L524" s="824">
        <v>954006.6</v>
      </c>
      <c r="M524" s="830">
        <v>477003.3</v>
      </c>
      <c r="W524" s="824">
        <v>954006.6</v>
      </c>
      <c r="X524" s="784"/>
    </row>
    <row r="525" spans="1:24" ht="13.5" x14ac:dyDescent="0.2">
      <c r="A525" s="838" t="s">
        <v>586</v>
      </c>
      <c r="B525" s="830">
        <v>244518.14</v>
      </c>
      <c r="L525" s="824">
        <v>489036.28</v>
      </c>
      <c r="M525" s="830">
        <v>244518.14</v>
      </c>
      <c r="W525" s="824">
        <v>489036.28</v>
      </c>
      <c r="X525" s="784"/>
    </row>
    <row r="526" spans="1:24" ht="13.5" x14ac:dyDescent="0.2">
      <c r="A526" s="838" t="s">
        <v>587</v>
      </c>
      <c r="B526" s="830">
        <v>1707083.27</v>
      </c>
      <c r="L526" s="824">
        <v>3414166.54</v>
      </c>
      <c r="M526" s="830">
        <v>1707083.27</v>
      </c>
      <c r="W526" s="824">
        <v>3414166.54</v>
      </c>
      <c r="X526" s="784"/>
    </row>
    <row r="527" spans="1:24" ht="13.5" x14ac:dyDescent="0.2">
      <c r="A527" s="838" t="s">
        <v>588</v>
      </c>
      <c r="B527" s="830">
        <v>36248.119999999995</v>
      </c>
      <c r="L527" s="824">
        <v>72496.239999999991</v>
      </c>
      <c r="M527" s="830">
        <v>36248.119999999995</v>
      </c>
      <c r="W527" s="824">
        <v>72496.239999999991</v>
      </c>
      <c r="X527" s="784"/>
    </row>
    <row r="528" spans="1:24" ht="13.5" x14ac:dyDescent="0.2">
      <c r="A528" s="838" t="s">
        <v>643</v>
      </c>
      <c r="B528" s="830">
        <v>69703.48000000001</v>
      </c>
      <c r="L528" s="824">
        <v>139406.96000000002</v>
      </c>
      <c r="M528" s="830">
        <v>69703.48000000001</v>
      </c>
      <c r="W528" s="824">
        <v>139406.96000000002</v>
      </c>
      <c r="X528" s="784"/>
    </row>
    <row r="529" spans="1:24" ht="13.5" x14ac:dyDescent="0.2">
      <c r="A529" s="838" t="s">
        <v>589</v>
      </c>
      <c r="B529" s="830">
        <v>1063583.3199999998</v>
      </c>
      <c r="L529" s="824">
        <v>2127166.6399999997</v>
      </c>
      <c r="M529" s="830">
        <v>1063583.3199999998</v>
      </c>
      <c r="W529" s="824">
        <v>2127166.6399999997</v>
      </c>
      <c r="X529" s="784"/>
    </row>
    <row r="530" spans="1:24" ht="13.5" x14ac:dyDescent="0.2">
      <c r="A530" s="838"/>
      <c r="B530" s="830">
        <f>+SUM(B524:B529)</f>
        <v>3598139.63</v>
      </c>
      <c r="L530" s="824">
        <f>+SUM(L524:L529)</f>
        <v>7196279.2599999998</v>
      </c>
      <c r="M530" s="830">
        <f>+SUM(M524:M529)</f>
        <v>3598139.63</v>
      </c>
      <c r="W530" s="824">
        <f>+SUM(W524:W529)</f>
        <v>7196279.2599999998</v>
      </c>
      <c r="X530" s="784"/>
    </row>
    <row r="531" spans="1:24" ht="13.5" x14ac:dyDescent="0.2">
      <c r="A531" s="841" t="s">
        <v>781</v>
      </c>
      <c r="B531" s="830"/>
      <c r="L531" s="824"/>
      <c r="M531" s="830"/>
      <c r="W531" s="824"/>
      <c r="X531" s="784"/>
    </row>
    <row r="532" spans="1:24" ht="13.5" x14ac:dyDescent="0.2">
      <c r="A532" s="838" t="s">
        <v>16</v>
      </c>
      <c r="B532" s="830"/>
      <c r="L532" s="824"/>
      <c r="M532" s="830"/>
      <c r="W532" s="824"/>
      <c r="X532" s="784"/>
    </row>
    <row r="533" spans="1:24" ht="13.5" x14ac:dyDescent="0.2">
      <c r="A533" s="838" t="s">
        <v>590</v>
      </c>
      <c r="B533" s="830">
        <v>36068.94</v>
      </c>
      <c r="L533" s="824">
        <v>72137.88</v>
      </c>
      <c r="M533" s="830">
        <v>36068.94</v>
      </c>
      <c r="W533" s="824">
        <v>72137.88</v>
      </c>
      <c r="X533" s="784"/>
    </row>
    <row r="534" spans="1:24" ht="13.5" x14ac:dyDescent="0.2">
      <c r="A534" s="838" t="s">
        <v>591</v>
      </c>
      <c r="B534" s="830">
        <v>117228.13</v>
      </c>
      <c r="L534" s="824">
        <v>234456.26</v>
      </c>
      <c r="M534" s="830">
        <v>117228.13</v>
      </c>
      <c r="W534" s="824">
        <v>234456.26</v>
      </c>
      <c r="X534" s="784"/>
    </row>
    <row r="535" spans="1:24" ht="13.5" x14ac:dyDescent="0.2">
      <c r="A535" s="838" t="s">
        <v>644</v>
      </c>
      <c r="B535" s="830">
        <v>269488.51</v>
      </c>
      <c r="L535" s="824">
        <v>538977.02</v>
      </c>
      <c r="M535" s="830">
        <v>269488.51</v>
      </c>
      <c r="W535" s="824">
        <v>538977.02</v>
      </c>
      <c r="X535" s="784"/>
    </row>
    <row r="536" spans="1:24" ht="13.5" x14ac:dyDescent="0.2">
      <c r="A536" s="838" t="s">
        <v>645</v>
      </c>
      <c r="B536" s="830"/>
      <c r="L536" s="824"/>
      <c r="M536" s="830"/>
      <c r="W536" s="824"/>
      <c r="X536" s="784"/>
    </row>
    <row r="537" spans="1:24" ht="13.5" x14ac:dyDescent="0.2">
      <c r="A537" s="838" t="s">
        <v>646</v>
      </c>
      <c r="B537" s="830">
        <v>196009.12</v>
      </c>
      <c r="L537" s="824">
        <v>392018.24</v>
      </c>
      <c r="M537" s="830">
        <v>196009.12</v>
      </c>
      <c r="W537" s="824">
        <v>392018.24</v>
      </c>
      <c r="X537" s="784"/>
    </row>
    <row r="538" spans="1:24" ht="13.5" x14ac:dyDescent="0.2">
      <c r="A538" s="838"/>
      <c r="B538" s="830">
        <f>+SUM(B532:B537)</f>
        <v>618794.69999999995</v>
      </c>
      <c r="L538" s="824">
        <f>+SUM(L532:L537)</f>
        <v>1237589.3999999999</v>
      </c>
      <c r="M538" s="830">
        <f>+SUM(M532:M537)</f>
        <v>618794.69999999995</v>
      </c>
      <c r="W538" s="824">
        <f>+SUM(W532:W537)</f>
        <v>1237589.3999999999</v>
      </c>
      <c r="X538" s="784"/>
    </row>
    <row r="539" spans="1:24" ht="13.5" x14ac:dyDescent="0.2">
      <c r="A539" s="841" t="s">
        <v>782</v>
      </c>
      <c r="B539" s="830"/>
      <c r="L539" s="824"/>
      <c r="M539" s="830"/>
      <c r="W539" s="824"/>
      <c r="X539" s="784"/>
    </row>
    <row r="540" spans="1:24" ht="13.5" x14ac:dyDescent="0.2">
      <c r="A540" s="838" t="s">
        <v>737</v>
      </c>
      <c r="B540" s="830">
        <v>1705775</v>
      </c>
      <c r="I540" s="830"/>
      <c r="J540" s="166"/>
      <c r="K540" s="830"/>
      <c r="L540" s="824">
        <v>3771215.31</v>
      </c>
      <c r="M540" s="830">
        <v>1705775</v>
      </c>
      <c r="W540" s="824">
        <v>3411550</v>
      </c>
      <c r="X540" s="784"/>
    </row>
    <row r="541" spans="1:24" ht="13.5" x14ac:dyDescent="0.2">
      <c r="A541" s="838" t="s">
        <v>736</v>
      </c>
      <c r="B541" s="830">
        <v>1148642.48</v>
      </c>
      <c r="I541" s="830"/>
      <c r="J541" s="166"/>
      <c r="K541" s="830"/>
      <c r="L541" s="824">
        <v>2567044.96</v>
      </c>
      <c r="M541" s="830">
        <v>1148642.48</v>
      </c>
      <c r="W541" s="824">
        <v>2297284.96</v>
      </c>
      <c r="X541" s="784"/>
    </row>
    <row r="542" spans="1:24" ht="13.5" x14ac:dyDescent="0.2">
      <c r="A542" s="838" t="s">
        <v>735</v>
      </c>
      <c r="B542" s="830">
        <v>312067.3</v>
      </c>
      <c r="I542" s="830"/>
      <c r="J542" s="166"/>
      <c r="K542" s="830"/>
      <c r="L542" s="824">
        <v>691574.6</v>
      </c>
      <c r="M542" s="830">
        <v>312067.3</v>
      </c>
      <c r="W542" s="824">
        <v>624134.6</v>
      </c>
      <c r="X542" s="784"/>
    </row>
    <row r="543" spans="1:24" ht="13.5" x14ac:dyDescent="0.2">
      <c r="A543" s="838" t="s">
        <v>734</v>
      </c>
      <c r="B543" s="830">
        <v>269335</v>
      </c>
      <c r="I543" s="830"/>
      <c r="J543" s="166"/>
      <c r="K543" s="830"/>
      <c r="L543" s="824">
        <v>594870</v>
      </c>
      <c r="M543" s="830">
        <v>269335</v>
      </c>
      <c r="W543" s="824">
        <v>538670</v>
      </c>
      <c r="X543" s="784"/>
    </row>
    <row r="544" spans="1:24" ht="13.5" x14ac:dyDescent="0.2">
      <c r="A544" s="838" t="s">
        <v>733</v>
      </c>
      <c r="B544" s="830">
        <v>566886.73</v>
      </c>
      <c r="I544" s="830"/>
      <c r="J544" s="166"/>
      <c r="K544" s="830"/>
      <c r="L544" s="824">
        <v>1246173.46</v>
      </c>
      <c r="M544" s="830">
        <v>566886.73</v>
      </c>
      <c r="W544" s="824">
        <v>1133773.46</v>
      </c>
      <c r="X544" s="784"/>
    </row>
    <row r="545" spans="1:24" ht="13.5" x14ac:dyDescent="0.2">
      <c r="A545" s="838" t="s">
        <v>769</v>
      </c>
      <c r="B545" s="830">
        <v>1503335.37</v>
      </c>
      <c r="I545" s="830"/>
      <c r="J545" s="166"/>
      <c r="K545" s="830"/>
      <c r="L545" s="824">
        <v>3568670.74</v>
      </c>
      <c r="M545" s="830">
        <v>1503335.37</v>
      </c>
      <c r="W545" s="824">
        <v>3006670.74</v>
      </c>
      <c r="X545" s="784"/>
    </row>
    <row r="546" spans="1:24" ht="13.5" x14ac:dyDescent="0.2">
      <c r="A546" s="838" t="s">
        <v>770</v>
      </c>
      <c r="B546" s="830">
        <v>364999.5</v>
      </c>
      <c r="I546" s="830"/>
      <c r="J546" s="166"/>
      <c r="K546" s="830"/>
      <c r="L546" s="824">
        <v>864879</v>
      </c>
      <c r="M546" s="830">
        <v>364999.5</v>
      </c>
      <c r="W546" s="824">
        <v>729999</v>
      </c>
      <c r="X546" s="784"/>
    </row>
    <row r="547" spans="1:24" ht="13.5" x14ac:dyDescent="0.2">
      <c r="A547" s="838" t="s">
        <v>783</v>
      </c>
      <c r="B547" s="830">
        <v>163771.56</v>
      </c>
      <c r="I547" s="830"/>
      <c r="J547" s="166"/>
      <c r="K547" s="830"/>
      <c r="L547" s="824">
        <v>383743.12</v>
      </c>
      <c r="M547" s="830">
        <v>163771.56</v>
      </c>
      <c r="W547" s="824">
        <v>327543.12</v>
      </c>
      <c r="X547" s="784"/>
    </row>
    <row r="548" spans="1:24" ht="13.5" x14ac:dyDescent="0.2">
      <c r="A548" s="838" t="s">
        <v>771</v>
      </c>
      <c r="B548" s="830">
        <v>193881.23</v>
      </c>
      <c r="I548" s="830"/>
      <c r="J548" s="166"/>
      <c r="K548" s="830"/>
      <c r="L548" s="824">
        <v>455202.46</v>
      </c>
      <c r="M548" s="830">
        <v>193881.23</v>
      </c>
      <c r="W548" s="824">
        <v>387762.46</v>
      </c>
      <c r="X548" s="784"/>
    </row>
    <row r="549" spans="1:24" ht="13.5" x14ac:dyDescent="0.2">
      <c r="A549" s="838" t="s">
        <v>772</v>
      </c>
      <c r="B549" s="830">
        <v>1292009.94</v>
      </c>
      <c r="I549" s="830"/>
      <c r="J549" s="166"/>
      <c r="K549" s="830"/>
      <c r="L549" s="824">
        <v>2988659.88</v>
      </c>
      <c r="M549" s="830">
        <v>1292009.94</v>
      </c>
      <c r="W549" s="824">
        <v>3193703.19</v>
      </c>
      <c r="X549" s="784"/>
    </row>
    <row r="550" spans="1:24" ht="13.5" x14ac:dyDescent="0.2">
      <c r="A550" s="838" t="s">
        <v>784</v>
      </c>
      <c r="B550" s="830">
        <v>1268196.7</v>
      </c>
      <c r="I550" s="830"/>
      <c r="J550" s="166"/>
      <c r="K550" s="830"/>
      <c r="L550" s="824">
        <v>2997233.4</v>
      </c>
      <c r="M550" s="830">
        <v>1268196.7</v>
      </c>
      <c r="W550" s="824">
        <v>2536393.4</v>
      </c>
      <c r="X550" s="784"/>
    </row>
    <row r="551" spans="1:24" ht="13.5" x14ac:dyDescent="0.2">
      <c r="A551" s="838" t="s">
        <v>785</v>
      </c>
      <c r="B551" s="830">
        <v>415185.26</v>
      </c>
      <c r="I551" s="830"/>
      <c r="J551" s="166"/>
      <c r="K551" s="830"/>
      <c r="L551" s="824">
        <v>976490.52</v>
      </c>
      <c r="M551" s="830">
        <v>415185.26</v>
      </c>
      <c r="W551" s="824">
        <v>830370.52</v>
      </c>
      <c r="X551" s="784"/>
    </row>
    <row r="552" spans="1:24" ht="13.5" x14ac:dyDescent="0.2">
      <c r="A552" s="838" t="s">
        <v>786</v>
      </c>
      <c r="B552" s="830"/>
      <c r="I552" s="830"/>
      <c r="J552" s="166"/>
      <c r="K552" s="830"/>
      <c r="L552" s="824"/>
      <c r="M552" s="830"/>
      <c r="W552" s="824"/>
      <c r="X552" s="784"/>
    </row>
    <row r="553" spans="1:24" ht="13.5" x14ac:dyDescent="0.2">
      <c r="A553" s="838" t="s">
        <v>787</v>
      </c>
      <c r="B553" s="830">
        <v>33553.53</v>
      </c>
      <c r="I553" s="830"/>
      <c r="J553" s="166"/>
      <c r="K553" s="830"/>
      <c r="L553" s="824">
        <v>78347.06</v>
      </c>
      <c r="M553" s="830">
        <v>33553.53</v>
      </c>
      <c r="W553" s="824">
        <v>67107.06</v>
      </c>
      <c r="X553" s="784"/>
    </row>
    <row r="554" spans="1:24" ht="13.5" x14ac:dyDescent="0.2">
      <c r="A554" s="838" t="s">
        <v>788</v>
      </c>
      <c r="B554" s="830">
        <v>540036.35</v>
      </c>
      <c r="I554" s="830"/>
      <c r="J554" s="166"/>
      <c r="K554" s="830"/>
      <c r="L554" s="824">
        <v>1226192.7</v>
      </c>
      <c r="M554" s="830">
        <v>540036.35</v>
      </c>
      <c r="W554" s="824">
        <v>1080072.7</v>
      </c>
      <c r="X554" s="784"/>
    </row>
    <row r="555" spans="1:24" ht="13.5" x14ac:dyDescent="0.2">
      <c r="A555" s="838" t="s">
        <v>789</v>
      </c>
      <c r="B555" s="830">
        <v>288862.74</v>
      </c>
      <c r="I555" s="830"/>
      <c r="J555" s="166"/>
      <c r="K555" s="830"/>
      <c r="L555" s="824">
        <v>690125.48</v>
      </c>
      <c r="M555" s="830">
        <v>288862.74</v>
      </c>
      <c r="W555" s="824">
        <v>577725.48</v>
      </c>
      <c r="X555" s="784"/>
    </row>
    <row r="556" spans="1:24" ht="13.5" x14ac:dyDescent="0.2">
      <c r="A556" s="838" t="s">
        <v>790</v>
      </c>
      <c r="B556" s="830">
        <v>68417.8</v>
      </c>
      <c r="I556" s="830"/>
      <c r="J556" s="166"/>
      <c r="K556" s="830"/>
      <c r="L556" s="824">
        <v>170555.6</v>
      </c>
      <c r="M556" s="830">
        <v>68417.8</v>
      </c>
      <c r="W556" s="824">
        <v>136835.6</v>
      </c>
      <c r="X556" s="784"/>
    </row>
    <row r="557" spans="1:24" ht="13.5" x14ac:dyDescent="0.2">
      <c r="A557" s="838" t="s">
        <v>791</v>
      </c>
      <c r="B557" s="830">
        <v>37021.99</v>
      </c>
      <c r="I557" s="830"/>
      <c r="J557" s="166"/>
      <c r="K557" s="830"/>
      <c r="L557" s="824">
        <v>85283.98</v>
      </c>
      <c r="M557" s="830">
        <v>37021.99</v>
      </c>
      <c r="W557" s="824">
        <v>74043.98</v>
      </c>
      <c r="X557" s="784"/>
    </row>
    <row r="558" spans="1:24" ht="13.5" x14ac:dyDescent="0.2">
      <c r="A558" s="838" t="s">
        <v>792</v>
      </c>
      <c r="B558" s="830"/>
      <c r="I558" s="830"/>
      <c r="J558" s="166"/>
      <c r="K558" s="830"/>
      <c r="L558" s="824"/>
      <c r="M558" s="830"/>
      <c r="W558" s="824"/>
      <c r="X558" s="784"/>
    </row>
    <row r="559" spans="1:24" ht="13.5" x14ac:dyDescent="0.2">
      <c r="A559" s="838" t="s">
        <v>793</v>
      </c>
      <c r="B559" s="830">
        <v>33736.28</v>
      </c>
      <c r="I559" s="830"/>
      <c r="J559" s="166"/>
      <c r="K559" s="830"/>
      <c r="L559" s="824">
        <v>78712.56</v>
      </c>
      <c r="M559" s="830">
        <v>33736.28</v>
      </c>
      <c r="W559" s="824">
        <v>67472.56</v>
      </c>
      <c r="X559" s="784"/>
    </row>
    <row r="560" spans="1:24" ht="13.5" x14ac:dyDescent="0.2">
      <c r="A560" s="838" t="s">
        <v>794</v>
      </c>
      <c r="B560" s="830">
        <v>23964.46</v>
      </c>
      <c r="I560" s="830"/>
      <c r="J560" s="166"/>
      <c r="K560" s="830"/>
      <c r="L560" s="824">
        <v>59168.92</v>
      </c>
      <c r="M560" s="830">
        <v>23964.46</v>
      </c>
      <c r="W560" s="824">
        <v>47928.92</v>
      </c>
      <c r="X560" s="784"/>
    </row>
    <row r="561" spans="1:24" ht="13.5" x14ac:dyDescent="0.2">
      <c r="A561" s="838" t="s">
        <v>795</v>
      </c>
      <c r="B561" s="830"/>
      <c r="I561" s="830"/>
      <c r="J561" s="166"/>
      <c r="K561" s="830"/>
      <c r="L561" s="824"/>
      <c r="M561" s="830"/>
      <c r="W561" s="824"/>
      <c r="X561" s="784"/>
    </row>
    <row r="562" spans="1:24" ht="13.5" x14ac:dyDescent="0.2">
      <c r="A562" s="838" t="s">
        <v>796</v>
      </c>
      <c r="B562" s="830"/>
      <c r="I562" s="830"/>
      <c r="J562" s="166"/>
      <c r="K562" s="830"/>
      <c r="L562" s="824"/>
      <c r="M562" s="830"/>
      <c r="W562" s="824"/>
      <c r="X562" s="784"/>
    </row>
    <row r="563" spans="1:24" ht="13.5" x14ac:dyDescent="0.2">
      <c r="A563" s="838" t="s">
        <v>797</v>
      </c>
      <c r="B563" s="830"/>
      <c r="I563" s="830"/>
      <c r="J563" s="166"/>
      <c r="K563" s="830"/>
      <c r="L563" s="824"/>
      <c r="M563" s="830"/>
      <c r="W563" s="824"/>
      <c r="X563" s="784"/>
    </row>
    <row r="564" spans="1:24" ht="13.5" x14ac:dyDescent="0.2">
      <c r="A564" s="838" t="s">
        <v>798</v>
      </c>
      <c r="B564" s="830"/>
      <c r="I564" s="830"/>
      <c r="J564" s="166"/>
      <c r="K564" s="830"/>
      <c r="L564" s="824"/>
      <c r="M564" s="830"/>
      <c r="W564" s="824"/>
      <c r="X564" s="784"/>
    </row>
    <row r="565" spans="1:24" ht="13.5" x14ac:dyDescent="0.2">
      <c r="A565" s="838" t="s">
        <v>799</v>
      </c>
      <c r="B565" s="830">
        <v>114224.54</v>
      </c>
      <c r="I565" s="830"/>
      <c r="J565" s="166"/>
      <c r="K565" s="830"/>
      <c r="L565" s="824">
        <v>273393.76</v>
      </c>
      <c r="M565" s="830">
        <v>114216.88</v>
      </c>
      <c r="W565" s="824">
        <v>228433.76</v>
      </c>
      <c r="X565" s="784"/>
    </row>
    <row r="566" spans="1:24" ht="13.5" x14ac:dyDescent="0.2">
      <c r="A566" s="838" t="s">
        <v>800</v>
      </c>
      <c r="B566" s="830"/>
      <c r="I566" s="830"/>
      <c r="J566" s="166"/>
      <c r="K566" s="830"/>
      <c r="L566" s="824"/>
      <c r="M566" s="830"/>
      <c r="W566" s="824"/>
      <c r="X566" s="784"/>
    </row>
    <row r="567" spans="1:24" ht="13.5" x14ac:dyDescent="0.2">
      <c r="A567" s="838" t="s">
        <v>801</v>
      </c>
      <c r="B567" s="830"/>
      <c r="I567" s="830"/>
      <c r="J567" s="166"/>
      <c r="K567" s="830"/>
      <c r="L567" s="824"/>
      <c r="M567" s="830"/>
      <c r="W567" s="824"/>
      <c r="X567" s="784"/>
    </row>
    <row r="568" spans="1:24" ht="13.5" x14ac:dyDescent="0.2">
      <c r="A568" s="838" t="s">
        <v>802</v>
      </c>
      <c r="B568" s="830"/>
      <c r="I568" s="830"/>
      <c r="J568" s="166"/>
      <c r="K568" s="830"/>
      <c r="L568" s="824"/>
      <c r="M568" s="830"/>
      <c r="W568" s="824"/>
      <c r="X568" s="784"/>
    </row>
    <row r="569" spans="1:24" ht="13.5" x14ac:dyDescent="0.2">
      <c r="A569" s="838" t="s">
        <v>803</v>
      </c>
      <c r="B569" s="830"/>
      <c r="I569" s="830"/>
      <c r="J569" s="166"/>
      <c r="K569" s="830"/>
      <c r="L569" s="824"/>
      <c r="M569" s="830"/>
      <c r="W569" s="824"/>
      <c r="X569" s="784"/>
    </row>
    <row r="570" spans="1:24" ht="13.5" x14ac:dyDescent="0.2">
      <c r="A570" s="838" t="s">
        <v>746</v>
      </c>
      <c r="B570" s="830">
        <v>62353.076999999997</v>
      </c>
      <c r="I570" s="830"/>
      <c r="J570" s="166"/>
      <c r="K570" s="830"/>
      <c r="L570" s="824">
        <v>147186.15399999998</v>
      </c>
      <c r="M570" s="830">
        <v>62353.076999999997</v>
      </c>
      <c r="W570" s="824">
        <v>124706.15399999999</v>
      </c>
      <c r="X570" s="784"/>
    </row>
    <row r="571" spans="1:24" ht="13.5" x14ac:dyDescent="0.2">
      <c r="A571" s="838" t="s">
        <v>747</v>
      </c>
      <c r="B571" s="830"/>
      <c r="I571" s="830"/>
      <c r="J571" s="166"/>
      <c r="K571" s="830"/>
      <c r="L571" s="824"/>
      <c r="M571" s="830"/>
      <c r="W571" s="824"/>
      <c r="X571" s="784"/>
    </row>
    <row r="572" spans="1:24" ht="13.5" x14ac:dyDescent="0.2">
      <c r="A572" s="838" t="s">
        <v>748</v>
      </c>
      <c r="B572" s="830"/>
      <c r="I572" s="830"/>
      <c r="J572" s="166"/>
      <c r="K572" s="830"/>
      <c r="L572" s="824"/>
      <c r="M572" s="830"/>
      <c r="W572" s="824"/>
      <c r="X572" s="784"/>
    </row>
    <row r="573" spans="1:24" ht="13.5" x14ac:dyDescent="0.2">
      <c r="A573" s="838" t="s">
        <v>701</v>
      </c>
      <c r="B573" s="830">
        <v>17245.129999999997</v>
      </c>
      <c r="I573" s="830"/>
      <c r="J573" s="166"/>
      <c r="K573" s="830"/>
      <c r="L573" s="824">
        <v>45730.259999999995</v>
      </c>
      <c r="M573" s="830">
        <v>17245.129999999997</v>
      </c>
      <c r="W573" s="824">
        <v>34490.259999999995</v>
      </c>
      <c r="X573" s="784"/>
    </row>
    <row r="574" spans="1:24" ht="13.5" x14ac:dyDescent="0.2">
      <c r="A574" s="838" t="s">
        <v>702</v>
      </c>
      <c r="B574" s="830">
        <v>379642.92</v>
      </c>
      <c r="I574" s="830"/>
      <c r="J574" s="166"/>
      <c r="K574" s="830"/>
      <c r="L574" s="824">
        <v>905345.84</v>
      </c>
      <c r="M574" s="830">
        <v>379612.92</v>
      </c>
      <c r="W574" s="824">
        <v>759225.84</v>
      </c>
      <c r="X574" s="784"/>
    </row>
    <row r="575" spans="1:24" ht="13.5" x14ac:dyDescent="0.2">
      <c r="A575" s="838" t="s">
        <v>741</v>
      </c>
      <c r="B575" s="830"/>
      <c r="J575" s="166"/>
      <c r="L575" s="824"/>
      <c r="M575" s="830"/>
      <c r="W575" s="824"/>
      <c r="X575" s="784"/>
    </row>
    <row r="576" spans="1:24" ht="13.5" x14ac:dyDescent="0.2">
      <c r="A576" s="838" t="s">
        <v>742</v>
      </c>
      <c r="B576" s="830"/>
      <c r="J576" s="166"/>
      <c r="L576" s="824"/>
      <c r="M576" s="830"/>
      <c r="W576" s="824"/>
      <c r="X576" s="784"/>
    </row>
    <row r="577" spans="1:24" ht="13.5" x14ac:dyDescent="0.2">
      <c r="A577" s="838" t="s">
        <v>743</v>
      </c>
      <c r="B577" s="830"/>
      <c r="L577" s="824"/>
      <c r="M577" s="830"/>
      <c r="W577" s="824"/>
      <c r="X577" s="784"/>
    </row>
    <row r="578" spans="1:24" ht="14.25" thickBot="1" x14ac:dyDescent="0.25">
      <c r="A578" s="838"/>
      <c r="B578" s="830">
        <f>+SUM(B540:B577)</f>
        <v>10803144.886999998</v>
      </c>
      <c r="C578" s="817"/>
      <c r="L578" s="824">
        <f>+SUM(L540:L577)</f>
        <v>24865799.763999999</v>
      </c>
      <c r="M578" s="830">
        <f>+SUM(M540:M577)</f>
        <v>10803107.227</v>
      </c>
      <c r="W578" s="824">
        <f>+SUM(W540:W577)</f>
        <v>22215897.764000002</v>
      </c>
      <c r="X578" s="784"/>
    </row>
    <row r="579" spans="1:24" ht="13.5" thickBot="1" x14ac:dyDescent="0.25">
      <c r="A579" s="815" t="s">
        <v>21</v>
      </c>
      <c r="B579" s="842">
        <f>+B514+B522+B530+B538+B578</f>
        <v>16155858.006999999</v>
      </c>
      <c r="C579" s="843"/>
      <c r="D579" s="843"/>
      <c r="E579" s="843"/>
      <c r="F579" s="843"/>
      <c r="G579" s="843"/>
      <c r="H579" s="843"/>
      <c r="I579" s="843"/>
      <c r="J579" s="843"/>
      <c r="K579" s="843"/>
      <c r="L579" s="844">
        <f>+L514+L522+L530+L538+L578</f>
        <v>35571226.004000001</v>
      </c>
      <c r="M579" s="845">
        <f>+M514+M522+M530+M538+M578</f>
        <v>16155820.346999999</v>
      </c>
      <c r="N579" s="843"/>
      <c r="O579" s="843"/>
      <c r="P579" s="843"/>
      <c r="Q579" s="843"/>
      <c r="R579" s="843"/>
      <c r="S579" s="843"/>
      <c r="T579" s="843"/>
      <c r="U579" s="843"/>
      <c r="V579" s="843"/>
      <c r="W579" s="844">
        <f>+W514+W522+W530+W538+W578</f>
        <v>32921324.004000001</v>
      </c>
      <c r="X579" s="784"/>
    </row>
    <row r="580" spans="1:24" x14ac:dyDescent="0.2">
      <c r="A580" s="816" t="s">
        <v>279</v>
      </c>
      <c r="B580" s="846"/>
      <c r="C580" s="817"/>
      <c r="D580" s="817"/>
      <c r="E580" s="817"/>
      <c r="F580" s="817"/>
      <c r="G580" s="817"/>
      <c r="H580" s="817"/>
      <c r="I580" s="817"/>
      <c r="J580" s="817"/>
      <c r="K580" s="817"/>
      <c r="L580" s="846"/>
      <c r="M580" s="817"/>
      <c r="N580" s="817"/>
      <c r="O580" s="817"/>
      <c r="P580" s="166"/>
      <c r="Q580" s="847"/>
      <c r="R580" s="848"/>
      <c r="S580" s="848"/>
      <c r="T580" s="166"/>
      <c r="U580" s="166"/>
      <c r="V580" s="166"/>
      <c r="W580" s="849"/>
      <c r="X580" s="784"/>
    </row>
    <row r="581" spans="1:24" x14ac:dyDescent="0.2">
      <c r="A581" s="17" t="s">
        <v>273</v>
      </c>
      <c r="B581" s="830"/>
      <c r="L581" s="830"/>
      <c r="P581" s="166"/>
      <c r="Q581" s="847"/>
      <c r="R581" s="848"/>
      <c r="S581" s="848"/>
      <c r="T581" s="848"/>
      <c r="U581" s="848"/>
      <c r="V581" s="166"/>
      <c r="W581" s="849"/>
      <c r="X581" s="784"/>
    </row>
    <row r="582" spans="1:24" x14ac:dyDescent="0.2">
      <c r="A582" s="17" t="s">
        <v>277</v>
      </c>
      <c r="B582" s="830"/>
      <c r="L582" s="830"/>
      <c r="P582" s="166"/>
      <c r="Q582" s="847"/>
      <c r="R582" s="848"/>
      <c r="S582" s="848"/>
      <c r="T582" s="848"/>
      <c r="U582" s="848"/>
      <c r="V582" s="166"/>
      <c r="W582" s="849"/>
      <c r="X582" s="784"/>
    </row>
    <row r="583" spans="1:24" x14ac:dyDescent="0.2">
      <c r="A583" s="17" t="s">
        <v>284</v>
      </c>
      <c r="B583" s="830"/>
      <c r="L583" s="830"/>
      <c r="W583" s="830"/>
      <c r="X583" s="784"/>
    </row>
    <row r="584" spans="1:24" x14ac:dyDescent="0.2">
      <c r="X584" s="784"/>
    </row>
    <row r="585" spans="1:24" ht="15.75" x14ac:dyDescent="0.2">
      <c r="A585" s="850" t="s">
        <v>376</v>
      </c>
      <c r="B585" s="851"/>
      <c r="C585" s="851"/>
      <c r="D585" s="851"/>
      <c r="E585" s="851"/>
      <c r="F585" s="851"/>
      <c r="G585" s="851"/>
      <c r="H585" s="851"/>
      <c r="I585" s="851"/>
      <c r="J585" s="851"/>
      <c r="K585" s="851"/>
      <c r="L585" s="851"/>
      <c r="M585" s="851"/>
      <c r="N585" s="851"/>
      <c r="O585" s="851"/>
      <c r="P585" s="851"/>
      <c r="Q585" s="851"/>
      <c r="R585" s="851"/>
      <c r="S585" s="851"/>
      <c r="T585" s="851"/>
      <c r="U585" s="851"/>
      <c r="V585" s="851"/>
      <c r="W585" s="851"/>
      <c r="X585" s="784"/>
    </row>
    <row r="586" spans="1:24" ht="15.75" x14ac:dyDescent="0.2">
      <c r="A586" s="850" t="s">
        <v>729</v>
      </c>
      <c r="B586" s="851"/>
      <c r="C586" s="851"/>
      <c r="D586" s="851"/>
      <c r="E586" s="851"/>
      <c r="F586" s="851"/>
      <c r="G586" s="851"/>
      <c r="H586" s="851"/>
      <c r="I586" s="851"/>
      <c r="J586" s="851"/>
      <c r="K586" s="851"/>
      <c r="L586" s="851"/>
      <c r="M586" s="851"/>
      <c r="N586" s="851"/>
      <c r="O586" s="851"/>
      <c r="P586" s="851"/>
      <c r="Q586" s="851"/>
      <c r="R586" s="851"/>
      <c r="S586" s="851"/>
      <c r="T586" s="851"/>
      <c r="U586" s="851"/>
      <c r="V586" s="851"/>
      <c r="W586" s="851"/>
      <c r="X586" s="784"/>
    </row>
    <row r="587" spans="1:24" ht="15.75" x14ac:dyDescent="0.25">
      <c r="A587" s="852" t="s">
        <v>856</v>
      </c>
      <c r="B587" s="853"/>
      <c r="C587" s="853"/>
      <c r="D587" s="853"/>
      <c r="E587" s="853"/>
      <c r="F587" s="853"/>
      <c r="G587" s="853"/>
      <c r="H587" s="853"/>
      <c r="I587" s="853"/>
      <c r="J587" s="853"/>
      <c r="K587" s="853"/>
      <c r="L587" s="853"/>
      <c r="M587" s="853"/>
      <c r="N587" s="853"/>
      <c r="O587" s="853"/>
      <c r="P587" s="853"/>
      <c r="Q587" s="853"/>
      <c r="R587" s="853"/>
      <c r="S587" s="853"/>
      <c r="T587" s="853"/>
      <c r="U587" s="853"/>
      <c r="V587" s="853"/>
      <c r="W587" s="853"/>
      <c r="X587" s="784"/>
    </row>
    <row r="588" spans="1:24" ht="13.5" thickBot="1" x14ac:dyDescent="0.25">
      <c r="A588" s="854"/>
      <c r="B588" s="854"/>
      <c r="C588" s="854"/>
      <c r="D588" s="854"/>
      <c r="E588" s="854"/>
      <c r="F588" s="854"/>
      <c r="G588" s="854"/>
      <c r="H588" s="854"/>
      <c r="I588" s="854"/>
      <c r="J588" s="854"/>
      <c r="K588" s="854"/>
      <c r="L588" s="855"/>
      <c r="M588" s="854"/>
      <c r="N588" s="854"/>
      <c r="O588" s="854"/>
      <c r="P588" s="854"/>
      <c r="Q588" s="854"/>
      <c r="R588" s="854"/>
      <c r="S588" s="854"/>
      <c r="T588" s="854"/>
      <c r="U588" s="854"/>
      <c r="V588" s="854"/>
      <c r="W588" s="855"/>
      <c r="X588" s="784"/>
    </row>
    <row r="589" spans="1:24" x14ac:dyDescent="0.2">
      <c r="A589" s="856" t="s">
        <v>10</v>
      </c>
      <c r="B589" s="1348" t="s">
        <v>419</v>
      </c>
      <c r="C589" s="1349"/>
      <c r="D589" s="1349"/>
      <c r="E589" s="1349"/>
      <c r="F589" s="1349"/>
      <c r="G589" s="1349"/>
      <c r="H589" s="1349"/>
      <c r="I589" s="1349"/>
      <c r="J589" s="1349"/>
      <c r="K589" s="1349"/>
      <c r="L589" s="1350"/>
      <c r="M589" s="1348" t="s">
        <v>420</v>
      </c>
      <c r="N589" s="1349"/>
      <c r="O589" s="1349"/>
      <c r="P589" s="1349"/>
      <c r="Q589" s="1349"/>
      <c r="R589" s="1349"/>
      <c r="S589" s="1349"/>
      <c r="T589" s="1349"/>
      <c r="U589" s="1349"/>
      <c r="V589" s="1349"/>
      <c r="W589" s="1350"/>
      <c r="X589" s="784"/>
    </row>
    <row r="590" spans="1:24" ht="105.75" x14ac:dyDescent="0.2">
      <c r="A590" s="857" t="s">
        <v>9</v>
      </c>
      <c r="B590" s="858" t="s">
        <v>316</v>
      </c>
      <c r="C590" s="858" t="s">
        <v>113</v>
      </c>
      <c r="D590" s="859" t="s">
        <v>272</v>
      </c>
      <c r="E590" s="859" t="s">
        <v>266</v>
      </c>
      <c r="F590" s="859" t="s">
        <v>274</v>
      </c>
      <c r="G590" s="859" t="s">
        <v>275</v>
      </c>
      <c r="H590" s="859" t="s">
        <v>276</v>
      </c>
      <c r="I590" s="859" t="s">
        <v>283</v>
      </c>
      <c r="J590" s="860" t="s">
        <v>278</v>
      </c>
      <c r="K590" s="861" t="s">
        <v>280</v>
      </c>
      <c r="L590" s="862" t="s">
        <v>282</v>
      </c>
      <c r="M590" s="858" t="s">
        <v>316</v>
      </c>
      <c r="N590" s="858" t="s">
        <v>113</v>
      </c>
      <c r="O590" s="859" t="s">
        <v>272</v>
      </c>
      <c r="P590" s="859" t="s">
        <v>266</v>
      </c>
      <c r="Q590" s="859" t="s">
        <v>274</v>
      </c>
      <c r="R590" s="859" t="s">
        <v>275</v>
      </c>
      <c r="S590" s="859" t="s">
        <v>276</v>
      </c>
      <c r="T590" s="859" t="s">
        <v>283</v>
      </c>
      <c r="U590" s="860" t="s">
        <v>278</v>
      </c>
      <c r="V590" s="861" t="s">
        <v>280</v>
      </c>
      <c r="W590" s="862" t="s">
        <v>281</v>
      </c>
      <c r="X590" s="784"/>
    </row>
    <row r="591" spans="1:24" x14ac:dyDescent="0.2">
      <c r="A591" s="863" t="s">
        <v>805</v>
      </c>
      <c r="B591" s="864"/>
      <c r="C591" s="864"/>
      <c r="D591" s="864"/>
      <c r="E591" s="864"/>
      <c r="F591" s="864"/>
      <c r="G591" s="864"/>
      <c r="H591" s="864"/>
      <c r="I591" s="864"/>
      <c r="J591" s="864"/>
      <c r="K591" s="864"/>
      <c r="L591" s="864"/>
      <c r="M591" s="864"/>
      <c r="N591" s="864"/>
      <c r="O591" s="864"/>
      <c r="P591" s="864"/>
      <c r="Q591" s="864"/>
      <c r="R591" s="864"/>
      <c r="S591" s="864"/>
      <c r="T591" s="864"/>
      <c r="U591" s="864"/>
      <c r="V591" s="864"/>
      <c r="W591" s="864"/>
      <c r="X591" s="784"/>
    </row>
    <row r="592" spans="1:24" x14ac:dyDescent="0.2">
      <c r="A592" s="865"/>
      <c r="B592" s="866"/>
      <c r="C592" s="866"/>
      <c r="D592" s="866"/>
      <c r="E592" s="866"/>
      <c r="F592" s="866"/>
      <c r="G592" s="866"/>
      <c r="H592" s="866"/>
      <c r="I592" s="866"/>
      <c r="J592" s="866"/>
      <c r="K592" s="866"/>
      <c r="L592" s="866"/>
      <c r="M592" s="866"/>
      <c r="N592" s="866"/>
      <c r="O592" s="866"/>
      <c r="P592" s="866"/>
      <c r="Q592" s="866"/>
      <c r="R592" s="866"/>
      <c r="S592" s="866"/>
      <c r="T592" s="866"/>
      <c r="U592" s="866"/>
      <c r="V592" s="866"/>
      <c r="W592" s="866"/>
      <c r="X592" s="784"/>
    </row>
    <row r="593" spans="1:24" x14ac:dyDescent="0.2">
      <c r="A593" s="867" t="s">
        <v>49</v>
      </c>
      <c r="B593" s="868"/>
      <c r="C593" s="868"/>
      <c r="D593" s="868"/>
      <c r="E593" s="868"/>
      <c r="F593" s="868"/>
      <c r="G593" s="868"/>
      <c r="H593" s="868"/>
      <c r="I593" s="868"/>
      <c r="J593" s="868"/>
      <c r="K593" s="868"/>
      <c r="L593" s="868"/>
      <c r="M593" s="868"/>
      <c r="N593" s="868"/>
      <c r="O593" s="868"/>
      <c r="P593" s="868"/>
      <c r="Q593" s="868"/>
      <c r="R593" s="868"/>
      <c r="S593" s="868"/>
      <c r="T593" s="868"/>
      <c r="U593" s="868"/>
      <c r="V593" s="868"/>
      <c r="W593" s="868"/>
      <c r="X593" s="784"/>
    </row>
    <row r="594" spans="1:24" x14ac:dyDescent="0.2">
      <c r="A594" s="867" t="s">
        <v>7</v>
      </c>
      <c r="B594" s="866"/>
      <c r="C594" s="866"/>
      <c r="D594" s="866"/>
      <c r="E594" s="866"/>
      <c r="F594" s="866"/>
      <c r="G594" s="866"/>
      <c r="H594" s="866"/>
      <c r="I594" s="866"/>
      <c r="J594" s="866"/>
      <c r="K594" s="869">
        <v>0</v>
      </c>
      <c r="L594" s="866"/>
      <c r="M594" s="869">
        <v>0</v>
      </c>
      <c r="N594" s="866"/>
      <c r="O594" s="866"/>
      <c r="P594" s="866"/>
      <c r="Q594" s="866"/>
      <c r="R594" s="866"/>
      <c r="S594" s="866"/>
      <c r="T594" s="866"/>
      <c r="U594" s="869">
        <v>0</v>
      </c>
      <c r="V594" s="866"/>
      <c r="W594" s="869">
        <v>0</v>
      </c>
      <c r="X594" s="784"/>
    </row>
    <row r="595" spans="1:24" x14ac:dyDescent="0.2">
      <c r="A595" s="870" t="s">
        <v>3</v>
      </c>
      <c r="B595" s="866"/>
      <c r="C595" s="866"/>
      <c r="D595" s="866"/>
      <c r="E595" s="866"/>
      <c r="F595" s="866"/>
      <c r="G595" s="866"/>
      <c r="H595" s="866"/>
      <c r="I595" s="866"/>
      <c r="J595" s="866"/>
      <c r="K595" s="869">
        <v>0</v>
      </c>
      <c r="L595" s="866"/>
      <c r="M595" s="869">
        <v>0</v>
      </c>
      <c r="N595" s="866"/>
      <c r="O595" s="866"/>
      <c r="P595" s="866"/>
      <c r="Q595" s="866"/>
      <c r="R595" s="866"/>
      <c r="S595" s="866"/>
      <c r="T595" s="866"/>
      <c r="U595" s="869">
        <v>0</v>
      </c>
      <c r="V595" s="866"/>
      <c r="W595" s="869">
        <v>0</v>
      </c>
      <c r="X595" s="784"/>
    </row>
    <row r="596" spans="1:24" x14ac:dyDescent="0.2">
      <c r="A596" s="870" t="s">
        <v>577</v>
      </c>
      <c r="B596" s="866"/>
      <c r="C596" s="866"/>
      <c r="D596" s="866"/>
      <c r="E596" s="866"/>
      <c r="F596" s="866"/>
      <c r="G596" s="866"/>
      <c r="H596" s="866"/>
      <c r="I596" s="866"/>
      <c r="J596" s="866"/>
      <c r="K596" s="869">
        <v>0</v>
      </c>
      <c r="L596" s="866"/>
      <c r="M596" s="869">
        <v>0</v>
      </c>
      <c r="N596" s="866"/>
      <c r="O596" s="866"/>
      <c r="P596" s="866"/>
      <c r="Q596" s="866"/>
      <c r="R596" s="866"/>
      <c r="S596" s="866"/>
      <c r="T596" s="866"/>
      <c r="U596" s="869">
        <v>0</v>
      </c>
      <c r="V596" s="866"/>
      <c r="W596" s="869">
        <v>0</v>
      </c>
      <c r="X596" s="784"/>
    </row>
    <row r="597" spans="1:24" x14ac:dyDescent="0.2">
      <c r="A597" s="870" t="s">
        <v>642</v>
      </c>
      <c r="B597" s="866"/>
      <c r="C597" s="866"/>
      <c r="D597" s="866"/>
      <c r="E597" s="866"/>
      <c r="F597" s="866"/>
      <c r="G597" s="866"/>
      <c r="H597" s="866"/>
      <c r="I597" s="866"/>
      <c r="J597" s="866"/>
      <c r="K597" s="869">
        <v>0</v>
      </c>
      <c r="L597" s="866"/>
      <c r="M597" s="869">
        <v>0</v>
      </c>
      <c r="N597" s="866"/>
      <c r="O597" s="866"/>
      <c r="P597" s="866"/>
      <c r="Q597" s="866"/>
      <c r="R597" s="866"/>
      <c r="S597" s="866"/>
      <c r="T597" s="866"/>
      <c r="U597" s="869">
        <v>0</v>
      </c>
      <c r="V597" s="866"/>
      <c r="W597" s="869">
        <v>0</v>
      </c>
      <c r="X597" s="784"/>
    </row>
    <row r="598" spans="1:24" x14ac:dyDescent="0.2">
      <c r="A598" s="870" t="s">
        <v>578</v>
      </c>
      <c r="B598" s="866"/>
      <c r="C598" s="866"/>
      <c r="D598" s="866"/>
      <c r="E598" s="866"/>
      <c r="F598" s="866"/>
      <c r="G598" s="866"/>
      <c r="H598" s="866"/>
      <c r="I598" s="866"/>
      <c r="J598" s="866"/>
      <c r="K598" s="869">
        <v>0</v>
      </c>
      <c r="L598" s="866"/>
      <c r="M598" s="869">
        <v>0</v>
      </c>
      <c r="N598" s="866"/>
      <c r="O598" s="866"/>
      <c r="P598" s="866"/>
      <c r="Q598" s="866"/>
      <c r="R598" s="866"/>
      <c r="S598" s="866"/>
      <c r="T598" s="866"/>
      <c r="U598" s="869">
        <v>0</v>
      </c>
      <c r="V598" s="866"/>
      <c r="W598" s="869">
        <v>0</v>
      </c>
      <c r="X598" s="784"/>
    </row>
    <row r="599" spans="1:24" x14ac:dyDescent="0.2">
      <c r="A599" s="870" t="s">
        <v>579</v>
      </c>
      <c r="B599" s="869">
        <v>1</v>
      </c>
      <c r="C599" s="866"/>
      <c r="D599" s="866"/>
      <c r="E599" s="866"/>
      <c r="F599" s="866"/>
      <c r="G599" s="866"/>
      <c r="H599" s="866"/>
      <c r="I599" s="866"/>
      <c r="J599" s="866"/>
      <c r="K599" s="869">
        <v>1</v>
      </c>
      <c r="L599" s="871">
        <v>18276</v>
      </c>
      <c r="M599" s="869">
        <v>1</v>
      </c>
      <c r="N599" s="866"/>
      <c r="O599" s="866"/>
      <c r="P599" s="866"/>
      <c r="Q599" s="866"/>
      <c r="R599" s="866"/>
      <c r="S599" s="866"/>
      <c r="T599" s="866"/>
      <c r="U599" s="869">
        <v>1</v>
      </c>
      <c r="V599" s="866"/>
      <c r="W599" s="871">
        <v>18276</v>
      </c>
      <c r="X599" s="784"/>
    </row>
    <row r="600" spans="1:24" x14ac:dyDescent="0.2">
      <c r="A600" s="870" t="s">
        <v>580</v>
      </c>
      <c r="B600" s="866"/>
      <c r="C600" s="866"/>
      <c r="D600" s="866"/>
      <c r="E600" s="866"/>
      <c r="F600" s="866"/>
      <c r="G600" s="866"/>
      <c r="H600" s="866"/>
      <c r="I600" s="866"/>
      <c r="J600" s="866"/>
      <c r="K600" s="869">
        <v>0</v>
      </c>
      <c r="L600" s="866"/>
      <c r="M600" s="869">
        <v>0</v>
      </c>
      <c r="N600" s="866"/>
      <c r="O600" s="866"/>
      <c r="P600" s="866"/>
      <c r="Q600" s="866"/>
      <c r="R600" s="866"/>
      <c r="S600" s="866"/>
      <c r="T600" s="866"/>
      <c r="U600" s="869">
        <v>0</v>
      </c>
      <c r="V600" s="866"/>
      <c r="W600" s="869">
        <v>0</v>
      </c>
      <c r="X600" s="784"/>
    </row>
    <row r="601" spans="1:24" x14ac:dyDescent="0.2">
      <c r="A601" s="870" t="s">
        <v>581</v>
      </c>
      <c r="B601" s="866"/>
      <c r="C601" s="866"/>
      <c r="D601" s="866"/>
      <c r="E601" s="866"/>
      <c r="F601" s="866"/>
      <c r="G601" s="866"/>
      <c r="H601" s="866"/>
      <c r="I601" s="866"/>
      <c r="J601" s="866"/>
      <c r="K601" s="869">
        <v>0</v>
      </c>
      <c r="L601" s="866"/>
      <c r="M601" s="869">
        <v>0</v>
      </c>
      <c r="N601" s="866"/>
      <c r="O601" s="866"/>
      <c r="P601" s="866"/>
      <c r="Q601" s="866"/>
      <c r="R601" s="866"/>
      <c r="S601" s="866"/>
      <c r="T601" s="866"/>
      <c r="U601" s="869">
        <v>0</v>
      </c>
      <c r="V601" s="866"/>
      <c r="W601" s="869">
        <v>0</v>
      </c>
      <c r="X601" s="784"/>
    </row>
    <row r="602" spans="1:24" x14ac:dyDescent="0.2">
      <c r="A602" s="870" t="s">
        <v>12</v>
      </c>
      <c r="B602" s="869">
        <v>5</v>
      </c>
      <c r="C602" s="866"/>
      <c r="D602" s="866"/>
      <c r="E602" s="866"/>
      <c r="F602" s="866"/>
      <c r="G602" s="866"/>
      <c r="H602" s="866"/>
      <c r="I602" s="866"/>
      <c r="J602" s="866"/>
      <c r="K602" s="869">
        <v>5</v>
      </c>
      <c r="L602" s="871">
        <v>177268.08</v>
      </c>
      <c r="M602" s="869">
        <v>5</v>
      </c>
      <c r="N602" s="866"/>
      <c r="O602" s="866"/>
      <c r="P602" s="866"/>
      <c r="Q602" s="866"/>
      <c r="R602" s="866"/>
      <c r="S602" s="866"/>
      <c r="T602" s="866"/>
      <c r="U602" s="869">
        <v>5</v>
      </c>
      <c r="V602" s="866"/>
      <c r="W602" s="871">
        <v>177268.08</v>
      </c>
      <c r="X602" s="784"/>
    </row>
    <row r="603" spans="1:24" x14ac:dyDescent="0.2">
      <c r="A603" s="867" t="s">
        <v>4</v>
      </c>
      <c r="B603" s="866"/>
      <c r="C603" s="866"/>
      <c r="D603" s="866"/>
      <c r="E603" s="866"/>
      <c r="F603" s="866"/>
      <c r="G603" s="866"/>
      <c r="H603" s="866"/>
      <c r="I603" s="866"/>
      <c r="J603" s="866"/>
      <c r="K603" s="869">
        <v>0</v>
      </c>
      <c r="L603" s="866"/>
      <c r="M603" s="869">
        <v>0</v>
      </c>
      <c r="N603" s="866"/>
      <c r="O603" s="866"/>
      <c r="P603" s="866"/>
      <c r="Q603" s="866"/>
      <c r="R603" s="866"/>
      <c r="S603" s="866"/>
      <c r="T603" s="866"/>
      <c r="U603" s="869">
        <v>0</v>
      </c>
      <c r="V603" s="866"/>
      <c r="W603" s="869">
        <v>0</v>
      </c>
      <c r="X603" s="784"/>
    </row>
    <row r="604" spans="1:24" x14ac:dyDescent="0.2">
      <c r="A604" s="870" t="s">
        <v>13</v>
      </c>
      <c r="B604" s="866"/>
      <c r="C604" s="866"/>
      <c r="D604" s="866"/>
      <c r="E604" s="866"/>
      <c r="F604" s="866"/>
      <c r="G604" s="866"/>
      <c r="H604" s="866"/>
      <c r="I604" s="866"/>
      <c r="J604" s="866"/>
      <c r="K604" s="869">
        <v>0</v>
      </c>
      <c r="L604" s="866"/>
      <c r="M604" s="869">
        <v>0</v>
      </c>
      <c r="N604" s="866"/>
      <c r="O604" s="866"/>
      <c r="P604" s="866"/>
      <c r="Q604" s="866"/>
      <c r="R604" s="866"/>
      <c r="S604" s="866"/>
      <c r="T604" s="866"/>
      <c r="U604" s="869">
        <v>0</v>
      </c>
      <c r="V604" s="866"/>
      <c r="W604" s="869">
        <v>0</v>
      </c>
      <c r="X604" s="784"/>
    </row>
    <row r="605" spans="1:24" x14ac:dyDescent="0.2">
      <c r="A605" s="870" t="s">
        <v>582</v>
      </c>
      <c r="B605" s="866"/>
      <c r="C605" s="866"/>
      <c r="D605" s="866"/>
      <c r="E605" s="866"/>
      <c r="F605" s="866"/>
      <c r="G605" s="866"/>
      <c r="H605" s="866"/>
      <c r="I605" s="866"/>
      <c r="J605" s="866"/>
      <c r="K605" s="869">
        <v>0</v>
      </c>
      <c r="L605" s="866"/>
      <c r="M605" s="869">
        <v>0</v>
      </c>
      <c r="N605" s="866"/>
      <c r="O605" s="866"/>
      <c r="P605" s="866"/>
      <c r="Q605" s="866"/>
      <c r="R605" s="866"/>
      <c r="S605" s="866"/>
      <c r="T605" s="866"/>
      <c r="U605" s="869">
        <v>0</v>
      </c>
      <c r="V605" s="866"/>
      <c r="W605" s="869">
        <v>0</v>
      </c>
      <c r="X605" s="784"/>
    </row>
    <row r="606" spans="1:24" x14ac:dyDescent="0.2">
      <c r="A606" s="870" t="s">
        <v>583</v>
      </c>
      <c r="B606" s="866"/>
      <c r="C606" s="866"/>
      <c r="D606" s="866"/>
      <c r="E606" s="866"/>
      <c r="F606" s="866"/>
      <c r="G606" s="866"/>
      <c r="H606" s="866"/>
      <c r="I606" s="866"/>
      <c r="J606" s="866"/>
      <c r="K606" s="869">
        <v>0</v>
      </c>
      <c r="L606" s="866"/>
      <c r="M606" s="869">
        <v>0</v>
      </c>
      <c r="N606" s="866"/>
      <c r="O606" s="866"/>
      <c r="P606" s="866"/>
      <c r="Q606" s="866"/>
      <c r="R606" s="866"/>
      <c r="S606" s="866"/>
      <c r="T606" s="866"/>
      <c r="U606" s="869">
        <v>0</v>
      </c>
      <c r="V606" s="866"/>
      <c r="W606" s="869">
        <v>0</v>
      </c>
      <c r="X606" s="784"/>
    </row>
    <row r="607" spans="1:24" x14ac:dyDescent="0.2">
      <c r="A607" s="870" t="s">
        <v>584</v>
      </c>
      <c r="B607" s="869">
        <v>1</v>
      </c>
      <c r="C607" s="866"/>
      <c r="D607" s="866"/>
      <c r="E607" s="866"/>
      <c r="F607" s="866"/>
      <c r="G607" s="866"/>
      <c r="H607" s="866"/>
      <c r="I607" s="866"/>
      <c r="J607" s="866"/>
      <c r="K607" s="869">
        <v>1</v>
      </c>
      <c r="L607" s="871">
        <v>25315.439999999999</v>
      </c>
      <c r="M607" s="869">
        <v>1</v>
      </c>
      <c r="N607" s="866"/>
      <c r="O607" s="866"/>
      <c r="P607" s="866"/>
      <c r="Q607" s="866"/>
      <c r="R607" s="866"/>
      <c r="S607" s="866"/>
      <c r="T607" s="866"/>
      <c r="U607" s="869">
        <v>1</v>
      </c>
      <c r="V607" s="866"/>
      <c r="W607" s="871">
        <v>25315.439999999999</v>
      </c>
      <c r="X607" s="784"/>
    </row>
    <row r="608" spans="1:24" x14ac:dyDescent="0.2">
      <c r="A608" s="870" t="s">
        <v>14</v>
      </c>
      <c r="B608" s="866"/>
      <c r="C608" s="866"/>
      <c r="D608" s="866"/>
      <c r="E608" s="866"/>
      <c r="F608" s="866"/>
      <c r="G608" s="866"/>
      <c r="H608" s="866"/>
      <c r="I608" s="866"/>
      <c r="J608" s="866"/>
      <c r="K608" s="869">
        <v>0</v>
      </c>
      <c r="L608" s="866"/>
      <c r="M608" s="869">
        <v>0</v>
      </c>
      <c r="N608" s="866"/>
      <c r="O608" s="866"/>
      <c r="P608" s="866"/>
      <c r="Q608" s="866"/>
      <c r="R608" s="866"/>
      <c r="S608" s="866"/>
      <c r="T608" s="866"/>
      <c r="U608" s="869">
        <v>0</v>
      </c>
      <c r="V608" s="866"/>
      <c r="W608" s="869">
        <v>0</v>
      </c>
      <c r="X608" s="784"/>
    </row>
    <row r="609" spans="1:24" x14ac:dyDescent="0.2">
      <c r="A609" s="870" t="s">
        <v>585</v>
      </c>
      <c r="B609" s="869">
        <v>2</v>
      </c>
      <c r="C609" s="866"/>
      <c r="D609" s="866"/>
      <c r="E609" s="866"/>
      <c r="F609" s="866"/>
      <c r="G609" s="866"/>
      <c r="H609" s="866"/>
      <c r="I609" s="866"/>
      <c r="J609" s="866"/>
      <c r="K609" s="869">
        <v>2</v>
      </c>
      <c r="L609" s="871">
        <v>54701.52</v>
      </c>
      <c r="M609" s="869">
        <v>2</v>
      </c>
      <c r="N609" s="866"/>
      <c r="O609" s="866"/>
      <c r="P609" s="866"/>
      <c r="Q609" s="866"/>
      <c r="R609" s="866"/>
      <c r="S609" s="866"/>
      <c r="T609" s="866"/>
      <c r="U609" s="869">
        <v>2</v>
      </c>
      <c r="V609" s="866"/>
      <c r="W609" s="871">
        <v>54701.52</v>
      </c>
      <c r="X609" s="784"/>
    </row>
    <row r="610" spans="1:24" x14ac:dyDescent="0.2">
      <c r="A610" s="867" t="s">
        <v>5</v>
      </c>
      <c r="B610" s="866"/>
      <c r="C610" s="866"/>
      <c r="D610" s="866"/>
      <c r="E610" s="866"/>
      <c r="F610" s="866"/>
      <c r="G610" s="866"/>
      <c r="H610" s="866"/>
      <c r="I610" s="866"/>
      <c r="J610" s="866"/>
      <c r="K610" s="869">
        <v>0</v>
      </c>
      <c r="L610" s="866"/>
      <c r="M610" s="869">
        <v>0</v>
      </c>
      <c r="N610" s="866"/>
      <c r="O610" s="866"/>
      <c r="P610" s="866"/>
      <c r="Q610" s="866"/>
      <c r="R610" s="866"/>
      <c r="S610" s="866"/>
      <c r="T610" s="866"/>
      <c r="U610" s="869">
        <v>0</v>
      </c>
      <c r="V610" s="866"/>
      <c r="W610" s="869">
        <v>0</v>
      </c>
      <c r="X610" s="784"/>
    </row>
    <row r="611" spans="1:24" x14ac:dyDescent="0.2">
      <c r="A611" s="870" t="s">
        <v>15</v>
      </c>
      <c r="B611" s="869">
        <v>4</v>
      </c>
      <c r="C611" s="866"/>
      <c r="D611" s="866"/>
      <c r="E611" s="866"/>
      <c r="F611" s="866"/>
      <c r="G611" s="866"/>
      <c r="H611" s="866"/>
      <c r="I611" s="866"/>
      <c r="J611" s="866"/>
      <c r="K611" s="869">
        <v>4</v>
      </c>
      <c r="L611" s="871">
        <v>109517.28</v>
      </c>
      <c r="M611" s="869">
        <v>4</v>
      </c>
      <c r="N611" s="866"/>
      <c r="O611" s="866"/>
      <c r="P611" s="866"/>
      <c r="Q611" s="866"/>
      <c r="R611" s="866"/>
      <c r="S611" s="866"/>
      <c r="T611" s="866"/>
      <c r="U611" s="869">
        <v>4</v>
      </c>
      <c r="V611" s="866"/>
      <c r="W611" s="871">
        <v>109517.28</v>
      </c>
      <c r="X611" s="784"/>
    </row>
    <row r="612" spans="1:24" x14ac:dyDescent="0.2">
      <c r="A612" s="870" t="s">
        <v>586</v>
      </c>
      <c r="B612" s="869">
        <v>4</v>
      </c>
      <c r="C612" s="866"/>
      <c r="D612" s="866"/>
      <c r="E612" s="866"/>
      <c r="F612" s="866"/>
      <c r="G612" s="866"/>
      <c r="H612" s="866"/>
      <c r="I612" s="866"/>
      <c r="J612" s="866"/>
      <c r="K612" s="869">
        <v>4</v>
      </c>
      <c r="L612" s="871">
        <v>112026.6</v>
      </c>
      <c r="M612" s="869">
        <v>4</v>
      </c>
      <c r="N612" s="866"/>
      <c r="O612" s="866"/>
      <c r="P612" s="866"/>
      <c r="Q612" s="866"/>
      <c r="R612" s="866"/>
      <c r="S612" s="866"/>
      <c r="T612" s="866"/>
      <c r="U612" s="869">
        <v>4</v>
      </c>
      <c r="V612" s="866"/>
      <c r="W612" s="871">
        <v>112026.6</v>
      </c>
      <c r="X612" s="784"/>
    </row>
    <row r="613" spans="1:24" x14ac:dyDescent="0.2">
      <c r="A613" s="870" t="s">
        <v>587</v>
      </c>
      <c r="B613" s="866"/>
      <c r="C613" s="866"/>
      <c r="D613" s="866"/>
      <c r="E613" s="866"/>
      <c r="F613" s="866"/>
      <c r="G613" s="866"/>
      <c r="H613" s="866"/>
      <c r="I613" s="866"/>
      <c r="J613" s="866"/>
      <c r="K613" s="869">
        <v>0</v>
      </c>
      <c r="L613" s="866"/>
      <c r="M613" s="869">
        <v>0</v>
      </c>
      <c r="N613" s="866"/>
      <c r="O613" s="866"/>
      <c r="P613" s="866"/>
      <c r="Q613" s="866"/>
      <c r="R613" s="866"/>
      <c r="S613" s="866"/>
      <c r="T613" s="866"/>
      <c r="U613" s="869">
        <v>0</v>
      </c>
      <c r="V613" s="866"/>
      <c r="W613" s="869">
        <v>0</v>
      </c>
      <c r="X613" s="784"/>
    </row>
    <row r="614" spans="1:24" x14ac:dyDescent="0.2">
      <c r="A614" s="870" t="s">
        <v>588</v>
      </c>
      <c r="B614" s="869">
        <v>3</v>
      </c>
      <c r="C614" s="866"/>
      <c r="D614" s="866"/>
      <c r="E614" s="866"/>
      <c r="F614" s="866"/>
      <c r="G614" s="866"/>
      <c r="H614" s="866"/>
      <c r="I614" s="866"/>
      <c r="J614" s="866"/>
      <c r="K614" s="869">
        <v>3</v>
      </c>
      <c r="L614" s="871">
        <v>66757.2</v>
      </c>
      <c r="M614" s="869">
        <v>3</v>
      </c>
      <c r="N614" s="866"/>
      <c r="O614" s="866"/>
      <c r="P614" s="866"/>
      <c r="Q614" s="866"/>
      <c r="R614" s="866"/>
      <c r="S614" s="866"/>
      <c r="T614" s="866"/>
      <c r="U614" s="869">
        <v>3</v>
      </c>
      <c r="V614" s="866"/>
      <c r="W614" s="871">
        <v>66757.2</v>
      </c>
      <c r="X614" s="784"/>
    </row>
    <row r="615" spans="1:24" x14ac:dyDescent="0.2">
      <c r="A615" s="870" t="s">
        <v>643</v>
      </c>
      <c r="B615" s="866"/>
      <c r="C615" s="866"/>
      <c r="D615" s="866"/>
      <c r="E615" s="866"/>
      <c r="F615" s="866"/>
      <c r="G615" s="866"/>
      <c r="H615" s="866"/>
      <c r="I615" s="866"/>
      <c r="J615" s="866"/>
      <c r="K615" s="869">
        <v>0</v>
      </c>
      <c r="L615" s="866"/>
      <c r="M615" s="869">
        <v>0</v>
      </c>
      <c r="N615" s="866"/>
      <c r="O615" s="866"/>
      <c r="P615" s="866"/>
      <c r="Q615" s="866"/>
      <c r="R615" s="866"/>
      <c r="S615" s="866"/>
      <c r="T615" s="866"/>
      <c r="U615" s="869">
        <v>0</v>
      </c>
      <c r="V615" s="866"/>
      <c r="W615" s="869">
        <v>0</v>
      </c>
      <c r="X615" s="784"/>
    </row>
    <row r="616" spans="1:24" x14ac:dyDescent="0.2">
      <c r="A616" s="870" t="s">
        <v>589</v>
      </c>
      <c r="B616" s="869">
        <v>6</v>
      </c>
      <c r="C616" s="866"/>
      <c r="D616" s="866"/>
      <c r="E616" s="866"/>
      <c r="F616" s="866"/>
      <c r="G616" s="866"/>
      <c r="H616" s="866"/>
      <c r="I616" s="866"/>
      <c r="J616" s="866"/>
      <c r="K616" s="869">
        <v>6</v>
      </c>
      <c r="L616" s="871">
        <v>142517.51999999999</v>
      </c>
      <c r="M616" s="869">
        <v>6</v>
      </c>
      <c r="N616" s="866"/>
      <c r="O616" s="866"/>
      <c r="P616" s="866"/>
      <c r="Q616" s="866"/>
      <c r="R616" s="866"/>
      <c r="S616" s="866"/>
      <c r="T616" s="866"/>
      <c r="U616" s="869">
        <v>6</v>
      </c>
      <c r="V616" s="866"/>
      <c r="W616" s="871">
        <v>142517.51999999999</v>
      </c>
      <c r="X616" s="784"/>
    </row>
    <row r="617" spans="1:24" x14ac:dyDescent="0.2">
      <c r="A617" s="867" t="s">
        <v>6</v>
      </c>
      <c r="B617" s="866"/>
      <c r="C617" s="866"/>
      <c r="D617" s="866"/>
      <c r="E617" s="866"/>
      <c r="F617" s="866"/>
      <c r="G617" s="866"/>
      <c r="H617" s="866"/>
      <c r="I617" s="866"/>
      <c r="J617" s="866"/>
      <c r="K617" s="869">
        <v>0</v>
      </c>
      <c r="L617" s="866"/>
      <c r="M617" s="869">
        <v>0</v>
      </c>
      <c r="N617" s="866"/>
      <c r="O617" s="866"/>
      <c r="P617" s="866"/>
      <c r="Q617" s="866"/>
      <c r="R617" s="866"/>
      <c r="S617" s="866"/>
      <c r="T617" s="866"/>
      <c r="U617" s="869">
        <v>0</v>
      </c>
      <c r="V617" s="866"/>
      <c r="W617" s="869">
        <v>0</v>
      </c>
      <c r="X617" s="784"/>
    </row>
    <row r="618" spans="1:24" x14ac:dyDescent="0.2">
      <c r="A618" s="870" t="s">
        <v>16</v>
      </c>
      <c r="B618" s="866"/>
      <c r="C618" s="866"/>
      <c r="D618" s="866"/>
      <c r="E618" s="866"/>
      <c r="F618" s="866"/>
      <c r="G618" s="866"/>
      <c r="H618" s="866"/>
      <c r="I618" s="866"/>
      <c r="J618" s="866"/>
      <c r="K618" s="869">
        <v>0</v>
      </c>
      <c r="L618" s="866"/>
      <c r="M618" s="869">
        <v>0</v>
      </c>
      <c r="N618" s="866"/>
      <c r="O618" s="866"/>
      <c r="P618" s="866"/>
      <c r="Q618" s="866"/>
      <c r="R618" s="866"/>
      <c r="S618" s="866"/>
      <c r="T618" s="866"/>
      <c r="U618" s="869">
        <v>0</v>
      </c>
      <c r="V618" s="866"/>
      <c r="W618" s="869">
        <v>0</v>
      </c>
      <c r="X618" s="784"/>
    </row>
    <row r="619" spans="1:24" x14ac:dyDescent="0.2">
      <c r="A619" s="870" t="s">
        <v>590</v>
      </c>
      <c r="B619" s="866"/>
      <c r="C619" s="866"/>
      <c r="D619" s="866"/>
      <c r="E619" s="866"/>
      <c r="F619" s="866"/>
      <c r="G619" s="866"/>
      <c r="H619" s="866"/>
      <c r="I619" s="866"/>
      <c r="J619" s="866"/>
      <c r="K619" s="869">
        <v>0</v>
      </c>
      <c r="L619" s="866"/>
      <c r="M619" s="869">
        <v>0</v>
      </c>
      <c r="N619" s="866"/>
      <c r="O619" s="866"/>
      <c r="P619" s="866"/>
      <c r="Q619" s="866"/>
      <c r="R619" s="866"/>
      <c r="S619" s="866"/>
      <c r="T619" s="866"/>
      <c r="U619" s="869">
        <v>0</v>
      </c>
      <c r="V619" s="866"/>
      <c r="W619" s="869">
        <v>0</v>
      </c>
      <c r="X619" s="784"/>
    </row>
    <row r="620" spans="1:24" x14ac:dyDescent="0.2">
      <c r="A620" s="870" t="s">
        <v>591</v>
      </c>
      <c r="B620" s="869">
        <v>2</v>
      </c>
      <c r="C620" s="866"/>
      <c r="D620" s="866"/>
      <c r="E620" s="866"/>
      <c r="F620" s="866"/>
      <c r="G620" s="866"/>
      <c r="H620" s="866"/>
      <c r="I620" s="866"/>
      <c r="J620" s="866"/>
      <c r="K620" s="869">
        <v>2</v>
      </c>
      <c r="L620" s="871">
        <v>45371.16</v>
      </c>
      <c r="M620" s="869">
        <v>2</v>
      </c>
      <c r="N620" s="866"/>
      <c r="O620" s="866"/>
      <c r="P620" s="866"/>
      <c r="Q620" s="866"/>
      <c r="R620" s="866"/>
      <c r="S620" s="866"/>
      <c r="T620" s="866"/>
      <c r="U620" s="869">
        <v>2</v>
      </c>
      <c r="V620" s="866"/>
      <c r="W620" s="871">
        <v>45371.16</v>
      </c>
      <c r="X620" s="784"/>
    </row>
    <row r="621" spans="1:24" x14ac:dyDescent="0.2">
      <c r="A621" s="870" t="s">
        <v>644</v>
      </c>
      <c r="B621" s="866"/>
      <c r="C621" s="866"/>
      <c r="D621" s="866"/>
      <c r="E621" s="866"/>
      <c r="F621" s="866"/>
      <c r="G621" s="866"/>
      <c r="H621" s="866"/>
      <c r="I621" s="866"/>
      <c r="J621" s="866"/>
      <c r="K621" s="869">
        <v>0</v>
      </c>
      <c r="L621" s="866"/>
      <c r="M621" s="869">
        <v>0</v>
      </c>
      <c r="N621" s="866"/>
      <c r="O621" s="866"/>
      <c r="P621" s="866"/>
      <c r="Q621" s="866"/>
      <c r="R621" s="866"/>
      <c r="S621" s="866"/>
      <c r="T621" s="866"/>
      <c r="U621" s="869">
        <v>0</v>
      </c>
      <c r="V621" s="866"/>
      <c r="W621" s="869">
        <v>0</v>
      </c>
      <c r="X621" s="784"/>
    </row>
    <row r="622" spans="1:24" x14ac:dyDescent="0.2">
      <c r="A622" s="870" t="s">
        <v>645</v>
      </c>
      <c r="B622" s="866"/>
      <c r="C622" s="866"/>
      <c r="D622" s="866"/>
      <c r="E622" s="866"/>
      <c r="F622" s="866"/>
      <c r="G622" s="866"/>
      <c r="H622" s="866"/>
      <c r="I622" s="866"/>
      <c r="J622" s="866"/>
      <c r="K622" s="869">
        <v>0</v>
      </c>
      <c r="L622" s="866"/>
      <c r="M622" s="869">
        <v>0</v>
      </c>
      <c r="N622" s="866"/>
      <c r="O622" s="866"/>
      <c r="P622" s="866"/>
      <c r="Q622" s="866"/>
      <c r="R622" s="866"/>
      <c r="S622" s="866"/>
      <c r="T622" s="866"/>
      <c r="U622" s="869">
        <v>0</v>
      </c>
      <c r="V622" s="866"/>
      <c r="W622" s="869">
        <v>0</v>
      </c>
      <c r="X622" s="784"/>
    </row>
    <row r="623" spans="1:24" x14ac:dyDescent="0.2">
      <c r="A623" s="870" t="s">
        <v>646</v>
      </c>
      <c r="B623" s="866"/>
      <c r="C623" s="866"/>
      <c r="D623" s="866"/>
      <c r="E623" s="866"/>
      <c r="F623" s="866"/>
      <c r="G623" s="866"/>
      <c r="H623" s="866"/>
      <c r="I623" s="866"/>
      <c r="J623" s="866"/>
      <c r="K623" s="869">
        <v>0</v>
      </c>
      <c r="L623" s="866"/>
      <c r="M623" s="869">
        <v>0</v>
      </c>
      <c r="N623" s="866"/>
      <c r="O623" s="866"/>
      <c r="P623" s="866"/>
      <c r="Q623" s="866"/>
      <c r="R623" s="866"/>
      <c r="S623" s="866"/>
      <c r="T623" s="866"/>
      <c r="U623" s="869">
        <v>0</v>
      </c>
      <c r="V623" s="866"/>
      <c r="W623" s="869">
        <v>0</v>
      </c>
      <c r="X623" s="784"/>
    </row>
    <row r="624" spans="1:24" x14ac:dyDescent="0.2">
      <c r="A624" s="867" t="s">
        <v>806</v>
      </c>
      <c r="B624" s="866"/>
      <c r="C624" s="866"/>
      <c r="D624" s="866"/>
      <c r="E624" s="866"/>
      <c r="F624" s="866"/>
      <c r="G624" s="866"/>
      <c r="H624" s="866"/>
      <c r="I624" s="866"/>
      <c r="J624" s="866"/>
      <c r="K624" s="869">
        <v>0</v>
      </c>
      <c r="L624" s="866"/>
      <c r="M624" s="869">
        <v>0</v>
      </c>
      <c r="N624" s="866"/>
      <c r="O624" s="866"/>
      <c r="P624" s="866"/>
      <c r="Q624" s="866"/>
      <c r="R624" s="866"/>
      <c r="S624" s="866"/>
      <c r="T624" s="866"/>
      <c r="U624" s="869">
        <v>0</v>
      </c>
      <c r="V624" s="866"/>
      <c r="W624" s="869">
        <v>0</v>
      </c>
      <c r="X624" s="784"/>
    </row>
    <row r="625" spans="1:24" x14ac:dyDescent="0.2">
      <c r="A625" s="867" t="s">
        <v>755</v>
      </c>
      <c r="B625" s="866"/>
      <c r="C625" s="866"/>
      <c r="D625" s="866"/>
      <c r="E625" s="866"/>
      <c r="F625" s="866"/>
      <c r="G625" s="866"/>
      <c r="H625" s="866"/>
      <c r="I625" s="866"/>
      <c r="J625" s="866"/>
      <c r="K625" s="869">
        <v>0</v>
      </c>
      <c r="L625" s="866"/>
      <c r="M625" s="869">
        <v>0</v>
      </c>
      <c r="N625" s="866"/>
      <c r="O625" s="866"/>
      <c r="P625" s="866"/>
      <c r="Q625" s="866"/>
      <c r="R625" s="866"/>
      <c r="S625" s="866"/>
      <c r="T625" s="866"/>
      <c r="U625" s="869">
        <v>0</v>
      </c>
      <c r="V625" s="866"/>
      <c r="W625" s="869">
        <v>0</v>
      </c>
      <c r="X625" s="784"/>
    </row>
    <row r="626" spans="1:24" x14ac:dyDescent="0.2">
      <c r="A626" s="867" t="s">
        <v>4</v>
      </c>
      <c r="B626" s="866"/>
      <c r="C626" s="866"/>
      <c r="D626" s="866"/>
      <c r="E626" s="866"/>
      <c r="F626" s="866"/>
      <c r="G626" s="866"/>
      <c r="H626" s="866"/>
      <c r="I626" s="866"/>
      <c r="J626" s="866"/>
      <c r="K626" s="869">
        <v>0</v>
      </c>
      <c r="L626" s="866"/>
      <c r="M626" s="869">
        <v>0</v>
      </c>
      <c r="N626" s="866"/>
      <c r="O626" s="866"/>
      <c r="P626" s="866"/>
      <c r="Q626" s="866"/>
      <c r="R626" s="866"/>
      <c r="S626" s="866"/>
      <c r="T626" s="866"/>
      <c r="U626" s="869">
        <v>0</v>
      </c>
      <c r="V626" s="866"/>
      <c r="W626" s="869">
        <v>0</v>
      </c>
      <c r="X626" s="784"/>
    </row>
    <row r="627" spans="1:24" x14ac:dyDescent="0.2">
      <c r="A627" s="870" t="s">
        <v>13</v>
      </c>
      <c r="B627" s="866"/>
      <c r="C627" s="866"/>
      <c r="D627" s="866"/>
      <c r="E627" s="866"/>
      <c r="F627" s="866"/>
      <c r="G627" s="866"/>
      <c r="H627" s="866"/>
      <c r="I627" s="866"/>
      <c r="J627" s="866"/>
      <c r="K627" s="869">
        <v>0</v>
      </c>
      <c r="L627" s="866"/>
      <c r="M627" s="869">
        <v>0</v>
      </c>
      <c r="N627" s="866"/>
      <c r="O627" s="866"/>
      <c r="P627" s="866"/>
      <c r="Q627" s="866"/>
      <c r="R627" s="866"/>
      <c r="S627" s="866"/>
      <c r="T627" s="866"/>
      <c r="U627" s="869">
        <v>0</v>
      </c>
      <c r="V627" s="866"/>
      <c r="W627" s="869">
        <v>0</v>
      </c>
      <c r="X627" s="784"/>
    </row>
    <row r="628" spans="1:24" x14ac:dyDescent="0.2">
      <c r="A628" s="870" t="s">
        <v>582</v>
      </c>
      <c r="B628" s="866"/>
      <c r="C628" s="866"/>
      <c r="D628" s="866"/>
      <c r="E628" s="866"/>
      <c r="F628" s="866"/>
      <c r="G628" s="866"/>
      <c r="H628" s="866"/>
      <c r="I628" s="866"/>
      <c r="J628" s="866"/>
      <c r="K628" s="869">
        <v>0</v>
      </c>
      <c r="L628" s="866"/>
      <c r="M628" s="869">
        <v>0</v>
      </c>
      <c r="N628" s="866"/>
      <c r="O628" s="866"/>
      <c r="P628" s="866"/>
      <c r="Q628" s="866"/>
      <c r="R628" s="866"/>
      <c r="S628" s="866"/>
      <c r="T628" s="866"/>
      <c r="U628" s="869">
        <v>0</v>
      </c>
      <c r="V628" s="866"/>
      <c r="W628" s="869">
        <v>0</v>
      </c>
      <c r="X628" s="784"/>
    </row>
    <row r="629" spans="1:24" x14ac:dyDescent="0.2">
      <c r="A629" s="870" t="s">
        <v>583</v>
      </c>
      <c r="B629" s="866"/>
      <c r="C629" s="866"/>
      <c r="D629" s="866"/>
      <c r="E629" s="866"/>
      <c r="F629" s="866"/>
      <c r="G629" s="866"/>
      <c r="H629" s="866"/>
      <c r="I629" s="866"/>
      <c r="J629" s="866"/>
      <c r="K629" s="869">
        <v>0</v>
      </c>
      <c r="L629" s="866"/>
      <c r="M629" s="869">
        <v>0</v>
      </c>
      <c r="N629" s="866"/>
      <c r="O629" s="866"/>
      <c r="P629" s="866"/>
      <c r="Q629" s="866"/>
      <c r="R629" s="866"/>
      <c r="S629" s="866"/>
      <c r="T629" s="866"/>
      <c r="U629" s="869">
        <v>0</v>
      </c>
      <c r="V629" s="866"/>
      <c r="W629" s="869">
        <v>0</v>
      </c>
      <c r="X629" s="784"/>
    </row>
    <row r="630" spans="1:24" x14ac:dyDescent="0.2">
      <c r="A630" s="870" t="s">
        <v>584</v>
      </c>
      <c r="B630" s="866"/>
      <c r="C630" s="866"/>
      <c r="D630" s="866"/>
      <c r="E630" s="866"/>
      <c r="F630" s="866"/>
      <c r="G630" s="866"/>
      <c r="H630" s="866"/>
      <c r="I630" s="866"/>
      <c r="J630" s="866"/>
      <c r="K630" s="869">
        <v>0</v>
      </c>
      <c r="L630" s="866"/>
      <c r="M630" s="869">
        <v>0</v>
      </c>
      <c r="N630" s="866"/>
      <c r="O630" s="866"/>
      <c r="P630" s="866"/>
      <c r="Q630" s="866"/>
      <c r="R630" s="866"/>
      <c r="S630" s="866"/>
      <c r="T630" s="866"/>
      <c r="U630" s="869">
        <v>0</v>
      </c>
      <c r="V630" s="866"/>
      <c r="W630" s="869">
        <v>0</v>
      </c>
      <c r="X630" s="784"/>
    </row>
    <row r="631" spans="1:24" x14ac:dyDescent="0.2">
      <c r="A631" s="870" t="s">
        <v>14</v>
      </c>
      <c r="B631" s="866"/>
      <c r="C631" s="866"/>
      <c r="D631" s="866"/>
      <c r="E631" s="866"/>
      <c r="F631" s="866"/>
      <c r="G631" s="866"/>
      <c r="H631" s="866"/>
      <c r="I631" s="866"/>
      <c r="J631" s="866"/>
      <c r="K631" s="869">
        <v>0</v>
      </c>
      <c r="L631" s="866"/>
      <c r="M631" s="869">
        <v>0</v>
      </c>
      <c r="N631" s="866"/>
      <c r="O631" s="866"/>
      <c r="P631" s="866"/>
      <c r="Q631" s="866"/>
      <c r="R631" s="866"/>
      <c r="S631" s="866"/>
      <c r="T631" s="866"/>
      <c r="U631" s="869">
        <v>0</v>
      </c>
      <c r="V631" s="866"/>
      <c r="W631" s="869">
        <v>0</v>
      </c>
      <c r="X631" s="784"/>
    </row>
    <row r="632" spans="1:24" x14ac:dyDescent="0.2">
      <c r="A632" s="870" t="s">
        <v>585</v>
      </c>
      <c r="B632" s="866"/>
      <c r="C632" s="866"/>
      <c r="D632" s="866"/>
      <c r="E632" s="866"/>
      <c r="F632" s="866"/>
      <c r="G632" s="866"/>
      <c r="H632" s="866"/>
      <c r="I632" s="866"/>
      <c r="J632" s="866"/>
      <c r="K632" s="869">
        <v>0</v>
      </c>
      <c r="L632" s="866"/>
      <c r="M632" s="869">
        <v>0</v>
      </c>
      <c r="N632" s="866"/>
      <c r="O632" s="866"/>
      <c r="P632" s="866"/>
      <c r="Q632" s="866"/>
      <c r="R632" s="866"/>
      <c r="S632" s="866"/>
      <c r="T632" s="866"/>
      <c r="U632" s="869">
        <v>0</v>
      </c>
      <c r="V632" s="866"/>
      <c r="W632" s="869">
        <v>0</v>
      </c>
      <c r="X632" s="784"/>
    </row>
    <row r="633" spans="1:24" x14ac:dyDescent="0.2">
      <c r="A633" s="867" t="s">
        <v>5</v>
      </c>
      <c r="B633" s="866"/>
      <c r="C633" s="866"/>
      <c r="D633" s="866"/>
      <c r="E633" s="866"/>
      <c r="F633" s="866"/>
      <c r="G633" s="866"/>
      <c r="H633" s="866"/>
      <c r="I633" s="866"/>
      <c r="J633" s="866"/>
      <c r="K633" s="869">
        <v>0</v>
      </c>
      <c r="L633" s="866"/>
      <c r="M633" s="869">
        <v>0</v>
      </c>
      <c r="N633" s="866"/>
      <c r="O633" s="866"/>
      <c r="P633" s="866"/>
      <c r="Q633" s="866"/>
      <c r="R633" s="866"/>
      <c r="S633" s="866"/>
      <c r="T633" s="866"/>
      <c r="U633" s="869">
        <v>0</v>
      </c>
      <c r="V633" s="866"/>
      <c r="W633" s="869">
        <v>0</v>
      </c>
      <c r="X633" s="784"/>
    </row>
    <row r="634" spans="1:24" x14ac:dyDescent="0.2">
      <c r="A634" s="870" t="s">
        <v>15</v>
      </c>
      <c r="B634" s="869">
        <v>11</v>
      </c>
      <c r="C634" s="866"/>
      <c r="D634" s="866"/>
      <c r="E634" s="866"/>
      <c r="F634" s="866"/>
      <c r="G634" s="866"/>
      <c r="H634" s="866"/>
      <c r="I634" s="866"/>
      <c r="J634" s="866"/>
      <c r="K634" s="869">
        <v>11</v>
      </c>
      <c r="L634" s="871">
        <v>382401.48</v>
      </c>
      <c r="M634" s="869">
        <v>11</v>
      </c>
      <c r="N634" s="866"/>
      <c r="O634" s="866"/>
      <c r="P634" s="866"/>
      <c r="Q634" s="866"/>
      <c r="R634" s="866"/>
      <c r="S634" s="866"/>
      <c r="T634" s="866"/>
      <c r="U634" s="869">
        <v>11</v>
      </c>
      <c r="V634" s="866"/>
      <c r="W634" s="871">
        <v>382401.48</v>
      </c>
      <c r="X634" s="784"/>
    </row>
    <row r="635" spans="1:24" x14ac:dyDescent="0.2">
      <c r="A635" s="870" t="s">
        <v>586</v>
      </c>
      <c r="B635" s="869">
        <v>8</v>
      </c>
      <c r="C635" s="866"/>
      <c r="D635" s="866"/>
      <c r="E635" s="866"/>
      <c r="F635" s="866"/>
      <c r="G635" s="866"/>
      <c r="H635" s="866"/>
      <c r="I635" s="866"/>
      <c r="J635" s="866"/>
      <c r="K635" s="869">
        <v>8</v>
      </c>
      <c r="L635" s="871">
        <v>270019.56</v>
      </c>
      <c r="M635" s="869">
        <v>8</v>
      </c>
      <c r="N635" s="866"/>
      <c r="O635" s="866"/>
      <c r="P635" s="866"/>
      <c r="Q635" s="866"/>
      <c r="R635" s="866"/>
      <c r="S635" s="866"/>
      <c r="T635" s="866"/>
      <c r="U635" s="869">
        <v>8</v>
      </c>
      <c r="V635" s="866"/>
      <c r="W635" s="871">
        <v>270019.56</v>
      </c>
      <c r="X635" s="784"/>
    </row>
    <row r="636" spans="1:24" x14ac:dyDescent="0.2">
      <c r="A636" s="870" t="s">
        <v>587</v>
      </c>
      <c r="B636" s="869">
        <v>65</v>
      </c>
      <c r="C636" s="866"/>
      <c r="D636" s="866"/>
      <c r="E636" s="866"/>
      <c r="F636" s="866"/>
      <c r="G636" s="866"/>
      <c r="H636" s="866"/>
      <c r="I636" s="866"/>
      <c r="J636" s="866"/>
      <c r="K636" s="869">
        <v>65</v>
      </c>
      <c r="L636" s="871">
        <v>2545152.6</v>
      </c>
      <c r="M636" s="869">
        <v>65</v>
      </c>
      <c r="N636" s="866"/>
      <c r="O636" s="866"/>
      <c r="P636" s="866"/>
      <c r="Q636" s="866"/>
      <c r="R636" s="866"/>
      <c r="S636" s="866"/>
      <c r="T636" s="866"/>
      <c r="U636" s="869">
        <v>65</v>
      </c>
      <c r="V636" s="866"/>
      <c r="W636" s="871">
        <v>2545152.6</v>
      </c>
      <c r="X636" s="784"/>
    </row>
    <row r="637" spans="1:24" x14ac:dyDescent="0.2">
      <c r="A637" s="870" t="s">
        <v>588</v>
      </c>
      <c r="B637" s="869">
        <v>3</v>
      </c>
      <c r="C637" s="866"/>
      <c r="D637" s="866"/>
      <c r="E637" s="866"/>
      <c r="F637" s="866"/>
      <c r="G637" s="866"/>
      <c r="H637" s="866"/>
      <c r="I637" s="866"/>
      <c r="J637" s="866"/>
      <c r="K637" s="869">
        <v>3</v>
      </c>
      <c r="L637" s="871">
        <v>90268.800000000003</v>
      </c>
      <c r="M637" s="869">
        <v>3</v>
      </c>
      <c r="N637" s="866"/>
      <c r="O637" s="866"/>
      <c r="P637" s="866"/>
      <c r="Q637" s="866"/>
      <c r="R637" s="866"/>
      <c r="S637" s="866"/>
      <c r="T637" s="866"/>
      <c r="U637" s="869">
        <v>3</v>
      </c>
      <c r="V637" s="866"/>
      <c r="W637" s="871">
        <v>90268.800000000003</v>
      </c>
      <c r="X637" s="784"/>
    </row>
    <row r="638" spans="1:24" x14ac:dyDescent="0.2">
      <c r="A638" s="870" t="s">
        <v>643</v>
      </c>
      <c r="B638" s="866"/>
      <c r="C638" s="866"/>
      <c r="D638" s="866"/>
      <c r="E638" s="866"/>
      <c r="F638" s="866"/>
      <c r="G638" s="866"/>
      <c r="H638" s="866"/>
      <c r="I638" s="866"/>
      <c r="J638" s="866"/>
      <c r="K638" s="869">
        <v>0</v>
      </c>
      <c r="L638" s="866"/>
      <c r="M638" s="869">
        <v>0</v>
      </c>
      <c r="N638" s="866"/>
      <c r="O638" s="866"/>
      <c r="P638" s="866"/>
      <c r="Q638" s="866"/>
      <c r="R638" s="866"/>
      <c r="S638" s="866"/>
      <c r="T638" s="866"/>
      <c r="U638" s="869">
        <v>0</v>
      </c>
      <c r="V638" s="866"/>
      <c r="W638" s="869">
        <v>0</v>
      </c>
      <c r="X638" s="784"/>
    </row>
    <row r="639" spans="1:24" x14ac:dyDescent="0.2">
      <c r="A639" s="870" t="s">
        <v>589</v>
      </c>
      <c r="B639" s="869">
        <v>70</v>
      </c>
      <c r="C639" s="866"/>
      <c r="D639" s="866"/>
      <c r="E639" s="866"/>
      <c r="F639" s="866"/>
      <c r="G639" s="866"/>
      <c r="H639" s="866"/>
      <c r="I639" s="866"/>
      <c r="J639" s="866"/>
      <c r="K639" s="869">
        <v>70</v>
      </c>
      <c r="L639" s="871">
        <v>2393477.16</v>
      </c>
      <c r="M639" s="869">
        <v>70</v>
      </c>
      <c r="N639" s="866"/>
      <c r="O639" s="866"/>
      <c r="P639" s="866"/>
      <c r="Q639" s="866"/>
      <c r="R639" s="866"/>
      <c r="S639" s="866"/>
      <c r="T639" s="866"/>
      <c r="U639" s="869">
        <v>70</v>
      </c>
      <c r="V639" s="866"/>
      <c r="W639" s="871">
        <v>2393477.16</v>
      </c>
      <c r="X639" s="784"/>
    </row>
    <row r="640" spans="1:24" x14ac:dyDescent="0.2">
      <c r="A640" s="867" t="s">
        <v>6</v>
      </c>
      <c r="B640" s="866"/>
      <c r="C640" s="866"/>
      <c r="D640" s="866"/>
      <c r="E640" s="866"/>
      <c r="F640" s="866"/>
      <c r="G640" s="866"/>
      <c r="H640" s="866"/>
      <c r="I640" s="866"/>
      <c r="J640" s="866"/>
      <c r="K640" s="869">
        <v>0</v>
      </c>
      <c r="L640" s="866"/>
      <c r="M640" s="869">
        <v>0</v>
      </c>
      <c r="N640" s="866"/>
      <c r="O640" s="866"/>
      <c r="P640" s="866"/>
      <c r="Q640" s="866"/>
      <c r="R640" s="866"/>
      <c r="S640" s="866"/>
      <c r="T640" s="866"/>
      <c r="U640" s="869">
        <v>0</v>
      </c>
      <c r="V640" s="866"/>
      <c r="W640" s="869">
        <v>0</v>
      </c>
      <c r="X640" s="784"/>
    </row>
    <row r="641" spans="1:24" x14ac:dyDescent="0.2">
      <c r="A641" s="870" t="s">
        <v>16</v>
      </c>
      <c r="B641" s="866"/>
      <c r="C641" s="866"/>
      <c r="D641" s="866"/>
      <c r="E641" s="866"/>
      <c r="F641" s="866"/>
      <c r="G641" s="866"/>
      <c r="H641" s="866"/>
      <c r="I641" s="866"/>
      <c r="J641" s="866"/>
      <c r="K641" s="869">
        <v>0</v>
      </c>
      <c r="L641" s="866"/>
      <c r="M641" s="869">
        <v>0</v>
      </c>
      <c r="N641" s="866"/>
      <c r="O641" s="866"/>
      <c r="P641" s="866"/>
      <c r="Q641" s="866"/>
      <c r="R641" s="866"/>
      <c r="S641" s="866"/>
      <c r="T641" s="866"/>
      <c r="U641" s="869">
        <v>0</v>
      </c>
      <c r="V641" s="866"/>
      <c r="W641" s="869">
        <v>0</v>
      </c>
      <c r="X641" s="784"/>
    </row>
    <row r="642" spans="1:24" x14ac:dyDescent="0.2">
      <c r="A642" s="870" t="s">
        <v>590</v>
      </c>
      <c r="B642" s="869">
        <v>71</v>
      </c>
      <c r="C642" s="866"/>
      <c r="D642" s="866"/>
      <c r="E642" s="866"/>
      <c r="F642" s="866"/>
      <c r="G642" s="866"/>
      <c r="H642" s="866"/>
      <c r="I642" s="866"/>
      <c r="J642" s="866"/>
      <c r="K642" s="869">
        <v>71</v>
      </c>
      <c r="L642" s="871">
        <v>2441022.36</v>
      </c>
      <c r="M642" s="869">
        <v>71</v>
      </c>
      <c r="N642" s="866"/>
      <c r="O642" s="866"/>
      <c r="P642" s="866"/>
      <c r="Q642" s="866"/>
      <c r="R642" s="866"/>
      <c r="S642" s="866"/>
      <c r="T642" s="866"/>
      <c r="U642" s="869">
        <v>71</v>
      </c>
      <c r="V642" s="866"/>
      <c r="W642" s="871">
        <v>2441022.36</v>
      </c>
      <c r="X642" s="784"/>
    </row>
    <row r="643" spans="1:24" x14ac:dyDescent="0.2">
      <c r="A643" s="870" t="s">
        <v>591</v>
      </c>
      <c r="B643" s="869">
        <v>6</v>
      </c>
      <c r="C643" s="866"/>
      <c r="D643" s="866"/>
      <c r="E643" s="866"/>
      <c r="F643" s="866"/>
      <c r="G643" s="866"/>
      <c r="H643" s="866"/>
      <c r="I643" s="866"/>
      <c r="J643" s="866"/>
      <c r="K643" s="869">
        <v>6</v>
      </c>
      <c r="L643" s="871">
        <v>203332.8</v>
      </c>
      <c r="M643" s="869">
        <v>6</v>
      </c>
      <c r="N643" s="866"/>
      <c r="O643" s="866"/>
      <c r="P643" s="866"/>
      <c r="Q643" s="866"/>
      <c r="R643" s="866"/>
      <c r="S643" s="866"/>
      <c r="T643" s="866"/>
      <c r="U643" s="869">
        <v>6</v>
      </c>
      <c r="V643" s="866"/>
      <c r="W643" s="871">
        <v>203332.8</v>
      </c>
      <c r="X643" s="784"/>
    </row>
    <row r="644" spans="1:24" x14ac:dyDescent="0.2">
      <c r="A644" s="870" t="s">
        <v>644</v>
      </c>
      <c r="B644" s="869">
        <v>10</v>
      </c>
      <c r="C644" s="866"/>
      <c r="D644" s="866"/>
      <c r="E644" s="866"/>
      <c r="F644" s="866"/>
      <c r="G644" s="866"/>
      <c r="H644" s="866"/>
      <c r="I644" s="866"/>
      <c r="J644" s="866"/>
      <c r="K644" s="869">
        <v>10</v>
      </c>
      <c r="L644" s="871">
        <v>283839.35999999999</v>
      </c>
      <c r="M644" s="869">
        <v>10</v>
      </c>
      <c r="N644" s="866"/>
      <c r="O644" s="866"/>
      <c r="P644" s="866"/>
      <c r="Q644" s="866"/>
      <c r="R644" s="866"/>
      <c r="S644" s="866"/>
      <c r="T644" s="866"/>
      <c r="U644" s="869">
        <v>10</v>
      </c>
      <c r="V644" s="866"/>
      <c r="W644" s="871">
        <v>283839.35999999999</v>
      </c>
      <c r="X644" s="784"/>
    </row>
    <row r="645" spans="1:24" x14ac:dyDescent="0.2">
      <c r="A645" s="870" t="s">
        <v>645</v>
      </c>
      <c r="B645" s="866"/>
      <c r="C645" s="866"/>
      <c r="D645" s="866"/>
      <c r="E645" s="866"/>
      <c r="F645" s="866"/>
      <c r="G645" s="866"/>
      <c r="H645" s="866"/>
      <c r="I645" s="866"/>
      <c r="J645" s="866"/>
      <c r="K645" s="869">
        <v>0</v>
      </c>
      <c r="L645" s="866"/>
      <c r="M645" s="869">
        <v>0</v>
      </c>
      <c r="N645" s="866"/>
      <c r="O645" s="866"/>
      <c r="P645" s="866"/>
      <c r="Q645" s="866"/>
      <c r="R645" s="866"/>
      <c r="S645" s="866"/>
      <c r="T645" s="866"/>
      <c r="U645" s="869">
        <v>0</v>
      </c>
      <c r="V645" s="866"/>
      <c r="W645" s="869">
        <v>0</v>
      </c>
      <c r="X645" s="784"/>
    </row>
    <row r="646" spans="1:24" x14ac:dyDescent="0.2">
      <c r="A646" s="870" t="s">
        <v>646</v>
      </c>
      <c r="B646" s="869">
        <v>6</v>
      </c>
      <c r="C646" s="866"/>
      <c r="D646" s="866"/>
      <c r="E646" s="866"/>
      <c r="F646" s="866"/>
      <c r="G646" s="866"/>
      <c r="H646" s="866"/>
      <c r="I646" s="866"/>
      <c r="J646" s="866"/>
      <c r="K646" s="869">
        <v>6</v>
      </c>
      <c r="L646" s="871">
        <v>195069.12</v>
      </c>
      <c r="M646" s="869">
        <v>6</v>
      </c>
      <c r="N646" s="866"/>
      <c r="O646" s="866"/>
      <c r="P646" s="866"/>
      <c r="Q646" s="866"/>
      <c r="R646" s="866"/>
      <c r="S646" s="866"/>
      <c r="T646" s="866"/>
      <c r="U646" s="869">
        <v>6</v>
      </c>
      <c r="V646" s="866"/>
      <c r="W646" s="871">
        <v>195069.12</v>
      </c>
      <c r="X646" s="784"/>
    </row>
    <row r="647" spans="1:24" x14ac:dyDescent="0.2">
      <c r="A647" s="867" t="s">
        <v>807</v>
      </c>
      <c r="B647" s="866"/>
      <c r="C647" s="866"/>
      <c r="D647" s="866"/>
      <c r="E647" s="866"/>
      <c r="F647" s="866"/>
      <c r="G647" s="866"/>
      <c r="H647" s="866"/>
      <c r="I647" s="866"/>
      <c r="J647" s="866"/>
      <c r="K647" s="869">
        <v>0</v>
      </c>
      <c r="L647" s="866"/>
      <c r="M647" s="869">
        <v>0</v>
      </c>
      <c r="N647" s="866"/>
      <c r="O647" s="866"/>
      <c r="P647" s="866"/>
      <c r="Q647" s="866"/>
      <c r="R647" s="866"/>
      <c r="S647" s="866"/>
      <c r="T647" s="866"/>
      <c r="U647" s="869">
        <v>0</v>
      </c>
      <c r="V647" s="866"/>
      <c r="W647" s="869">
        <v>0</v>
      </c>
      <c r="X647" s="784"/>
    </row>
    <row r="648" spans="1:24" x14ac:dyDescent="0.2">
      <c r="A648" s="867" t="s">
        <v>732</v>
      </c>
      <c r="B648" s="866"/>
      <c r="C648" s="866"/>
      <c r="D648" s="866"/>
      <c r="E648" s="866"/>
      <c r="F648" s="866"/>
      <c r="G648" s="866"/>
      <c r="H648" s="866"/>
      <c r="I648" s="866"/>
      <c r="J648" s="866"/>
      <c r="K648" s="869">
        <v>0</v>
      </c>
      <c r="L648" s="866"/>
      <c r="M648" s="869">
        <v>0</v>
      </c>
      <c r="N648" s="866"/>
      <c r="O648" s="866"/>
      <c r="P648" s="866"/>
      <c r="Q648" s="866"/>
      <c r="R648" s="866"/>
      <c r="S648" s="866"/>
      <c r="T648" s="866"/>
      <c r="U648" s="869">
        <v>0</v>
      </c>
      <c r="V648" s="866"/>
      <c r="W648" s="869">
        <v>0</v>
      </c>
      <c r="X648" s="784"/>
    </row>
    <row r="649" spans="1:24" x14ac:dyDescent="0.2">
      <c r="A649" s="870">
        <v>5</v>
      </c>
      <c r="B649" s="869">
        <v>1</v>
      </c>
      <c r="C649" s="866"/>
      <c r="D649" s="866"/>
      <c r="E649" s="866"/>
      <c r="F649" s="866"/>
      <c r="G649" s="866"/>
      <c r="H649" s="866"/>
      <c r="I649" s="866"/>
      <c r="J649" s="866"/>
      <c r="K649" s="869">
        <v>1</v>
      </c>
      <c r="L649" s="871">
        <v>87192</v>
      </c>
      <c r="M649" s="869">
        <v>1</v>
      </c>
      <c r="N649" s="866"/>
      <c r="O649" s="866"/>
      <c r="P649" s="866"/>
      <c r="Q649" s="866"/>
      <c r="R649" s="866"/>
      <c r="S649" s="866"/>
      <c r="T649" s="866"/>
      <c r="U649" s="869">
        <v>1</v>
      </c>
      <c r="V649" s="866"/>
      <c r="W649" s="871">
        <v>87192</v>
      </c>
      <c r="X649" s="784"/>
    </row>
    <row r="650" spans="1:24" x14ac:dyDescent="0.2">
      <c r="A650" s="870">
        <v>4</v>
      </c>
      <c r="B650" s="869">
        <v>1</v>
      </c>
      <c r="C650" s="866"/>
      <c r="D650" s="866"/>
      <c r="E650" s="866"/>
      <c r="F650" s="866"/>
      <c r="G650" s="866"/>
      <c r="H650" s="866"/>
      <c r="I650" s="866"/>
      <c r="J650" s="866"/>
      <c r="K650" s="869">
        <v>1</v>
      </c>
      <c r="L650" s="871">
        <v>69651</v>
      </c>
      <c r="M650" s="869">
        <v>1</v>
      </c>
      <c r="N650" s="866"/>
      <c r="O650" s="866"/>
      <c r="P650" s="866"/>
      <c r="Q650" s="866"/>
      <c r="R650" s="866"/>
      <c r="S650" s="866"/>
      <c r="T650" s="866"/>
      <c r="U650" s="869">
        <v>1</v>
      </c>
      <c r="V650" s="866"/>
      <c r="W650" s="871">
        <v>69651</v>
      </c>
      <c r="X650" s="784"/>
    </row>
    <row r="651" spans="1:24" x14ac:dyDescent="0.2">
      <c r="A651" s="870">
        <v>3</v>
      </c>
      <c r="B651" s="869">
        <v>4</v>
      </c>
      <c r="C651" s="866"/>
      <c r="D651" s="866"/>
      <c r="E651" s="866"/>
      <c r="F651" s="866"/>
      <c r="G651" s="866"/>
      <c r="H651" s="866"/>
      <c r="I651" s="866"/>
      <c r="J651" s="866"/>
      <c r="K651" s="869">
        <v>4</v>
      </c>
      <c r="L651" s="872">
        <v>365547.6</v>
      </c>
      <c r="M651" s="869">
        <v>4</v>
      </c>
      <c r="N651" s="866"/>
      <c r="O651" s="866"/>
      <c r="P651" s="866"/>
      <c r="Q651" s="866"/>
      <c r="R651" s="866"/>
      <c r="S651" s="866"/>
      <c r="T651" s="866"/>
      <c r="U651" s="869">
        <v>4</v>
      </c>
      <c r="V651" s="866"/>
      <c r="W651" s="871">
        <v>365547.6</v>
      </c>
      <c r="X651" s="784"/>
    </row>
    <row r="652" spans="1:24" x14ac:dyDescent="0.2">
      <c r="A652" s="870">
        <v>2</v>
      </c>
      <c r="B652" s="869">
        <v>16</v>
      </c>
      <c r="C652" s="866"/>
      <c r="D652" s="866"/>
      <c r="E652" s="866"/>
      <c r="F652" s="866"/>
      <c r="G652" s="866"/>
      <c r="H652" s="866"/>
      <c r="I652" s="866"/>
      <c r="J652" s="866"/>
      <c r="K652" s="869">
        <v>16</v>
      </c>
      <c r="L652" s="872">
        <v>1480413.48</v>
      </c>
      <c r="M652" s="869">
        <v>16</v>
      </c>
      <c r="N652" s="866"/>
      <c r="O652" s="866"/>
      <c r="P652" s="866"/>
      <c r="Q652" s="866"/>
      <c r="R652" s="866"/>
      <c r="S652" s="866"/>
      <c r="T652" s="866"/>
      <c r="U652" s="869">
        <v>16</v>
      </c>
      <c r="V652" s="866"/>
      <c r="W652" s="871">
        <v>1480413.48</v>
      </c>
      <c r="X652" s="784"/>
    </row>
    <row r="653" spans="1:24" x14ac:dyDescent="0.2">
      <c r="A653" s="870">
        <v>1</v>
      </c>
      <c r="B653" s="869">
        <v>40</v>
      </c>
      <c r="C653" s="866"/>
      <c r="D653" s="866"/>
      <c r="E653" s="866"/>
      <c r="F653" s="866"/>
      <c r="G653" s="866"/>
      <c r="H653" s="866"/>
      <c r="I653" s="866"/>
      <c r="J653" s="866"/>
      <c r="K653" s="869">
        <v>40</v>
      </c>
      <c r="L653" s="871">
        <v>3692518.8</v>
      </c>
      <c r="M653" s="869">
        <v>40</v>
      </c>
      <c r="N653" s="866"/>
      <c r="O653" s="866"/>
      <c r="P653" s="866"/>
      <c r="Q653" s="866"/>
      <c r="R653" s="866"/>
      <c r="S653" s="866"/>
      <c r="T653" s="866"/>
      <c r="U653" s="869">
        <v>40</v>
      </c>
      <c r="V653" s="866"/>
      <c r="W653" s="871">
        <v>3692518.8</v>
      </c>
      <c r="X653" s="784"/>
    </row>
    <row r="654" spans="1:24" x14ac:dyDescent="0.2">
      <c r="A654" s="867" t="s">
        <v>768</v>
      </c>
      <c r="B654" s="866"/>
      <c r="C654" s="866"/>
      <c r="D654" s="866"/>
      <c r="E654" s="866"/>
      <c r="F654" s="866"/>
      <c r="G654" s="866"/>
      <c r="H654" s="866"/>
      <c r="I654" s="866"/>
      <c r="J654" s="866"/>
      <c r="K654" s="869">
        <v>0</v>
      </c>
      <c r="L654" s="866"/>
      <c r="M654" s="869">
        <v>0</v>
      </c>
      <c r="N654" s="866"/>
      <c r="O654" s="866"/>
      <c r="P654" s="866"/>
      <c r="Q654" s="866"/>
      <c r="R654" s="866"/>
      <c r="S654" s="866"/>
      <c r="T654" s="866"/>
      <c r="U654" s="869">
        <v>0</v>
      </c>
      <c r="V654" s="866"/>
      <c r="W654" s="869">
        <v>0</v>
      </c>
      <c r="X654" s="784"/>
    </row>
    <row r="655" spans="1:24" x14ac:dyDescent="0.2">
      <c r="A655" s="870">
        <v>14</v>
      </c>
      <c r="B655" s="869">
        <v>32</v>
      </c>
      <c r="C655" s="866"/>
      <c r="D655" s="866"/>
      <c r="E655" s="866"/>
      <c r="F655" s="866"/>
      <c r="G655" s="866"/>
      <c r="H655" s="866"/>
      <c r="I655" s="866"/>
      <c r="J655" s="866"/>
      <c r="K655" s="869">
        <v>32</v>
      </c>
      <c r="L655" s="871">
        <v>1066681.32</v>
      </c>
      <c r="M655" s="869">
        <v>32</v>
      </c>
      <c r="N655" s="866"/>
      <c r="O655" s="866"/>
      <c r="P655" s="866"/>
      <c r="Q655" s="866"/>
      <c r="R655" s="866"/>
      <c r="S655" s="866"/>
      <c r="T655" s="866"/>
      <c r="U655" s="869">
        <v>32</v>
      </c>
      <c r="V655" s="866"/>
      <c r="W655" s="871">
        <v>1066681.32</v>
      </c>
      <c r="X655" s="784"/>
    </row>
    <row r="656" spans="1:24" x14ac:dyDescent="0.2">
      <c r="A656" s="870">
        <v>13</v>
      </c>
      <c r="B656" s="869">
        <v>6</v>
      </c>
      <c r="C656" s="866"/>
      <c r="D656" s="866"/>
      <c r="E656" s="866"/>
      <c r="F656" s="866"/>
      <c r="G656" s="866"/>
      <c r="H656" s="866"/>
      <c r="I656" s="866"/>
      <c r="J656" s="866"/>
      <c r="K656" s="869">
        <v>6</v>
      </c>
      <c r="L656" s="871">
        <v>402042.36</v>
      </c>
      <c r="M656" s="869">
        <v>6</v>
      </c>
      <c r="N656" s="866"/>
      <c r="O656" s="866"/>
      <c r="P656" s="866"/>
      <c r="Q656" s="866"/>
      <c r="R656" s="866"/>
      <c r="S656" s="866"/>
      <c r="T656" s="866"/>
      <c r="U656" s="869">
        <v>6</v>
      </c>
      <c r="V656" s="866"/>
      <c r="W656" s="871">
        <v>402042.36</v>
      </c>
      <c r="X656" s="784"/>
    </row>
    <row r="657" spans="1:24" x14ac:dyDescent="0.2">
      <c r="A657" s="870">
        <v>12</v>
      </c>
      <c r="B657" s="869">
        <v>5</v>
      </c>
      <c r="C657" s="866"/>
      <c r="D657" s="866"/>
      <c r="E657" s="866"/>
      <c r="F657" s="866"/>
      <c r="G657" s="866"/>
      <c r="H657" s="866"/>
      <c r="I657" s="866"/>
      <c r="J657" s="866"/>
      <c r="K657" s="869">
        <v>5</v>
      </c>
      <c r="L657" s="871">
        <v>329214.48</v>
      </c>
      <c r="M657" s="869">
        <v>5</v>
      </c>
      <c r="N657" s="866"/>
      <c r="O657" s="866"/>
      <c r="P657" s="866"/>
      <c r="Q657" s="866"/>
      <c r="R657" s="866"/>
      <c r="S657" s="866"/>
      <c r="T657" s="866"/>
      <c r="U657" s="869">
        <v>5</v>
      </c>
      <c r="V657" s="866"/>
      <c r="W657" s="871">
        <v>329214.48</v>
      </c>
      <c r="X657" s="784"/>
    </row>
    <row r="658" spans="1:24" x14ac:dyDescent="0.2">
      <c r="A658" s="870">
        <v>11</v>
      </c>
      <c r="B658" s="869">
        <v>11</v>
      </c>
      <c r="C658" s="866"/>
      <c r="D658" s="866"/>
      <c r="E658" s="866"/>
      <c r="F658" s="866"/>
      <c r="G658" s="866"/>
      <c r="H658" s="866"/>
      <c r="I658" s="866"/>
      <c r="J658" s="866"/>
      <c r="K658" s="869">
        <v>11</v>
      </c>
      <c r="L658" s="872">
        <v>692083.32</v>
      </c>
      <c r="M658" s="869">
        <v>11</v>
      </c>
      <c r="N658" s="866"/>
      <c r="O658" s="866"/>
      <c r="P658" s="866"/>
      <c r="Q658" s="866"/>
      <c r="R658" s="866"/>
      <c r="S658" s="866"/>
      <c r="T658" s="866"/>
      <c r="U658" s="869">
        <v>11</v>
      </c>
      <c r="V658" s="866"/>
      <c r="W658" s="871">
        <v>692083.32</v>
      </c>
      <c r="X658" s="784"/>
    </row>
    <row r="659" spans="1:24" x14ac:dyDescent="0.2">
      <c r="A659" s="870">
        <v>10</v>
      </c>
      <c r="B659" s="869">
        <v>70</v>
      </c>
      <c r="C659" s="866"/>
      <c r="D659" s="866"/>
      <c r="E659" s="866"/>
      <c r="F659" s="866"/>
      <c r="G659" s="866"/>
      <c r="H659" s="866"/>
      <c r="I659" s="866"/>
      <c r="J659" s="866"/>
      <c r="K659" s="869">
        <v>70</v>
      </c>
      <c r="L659" s="871">
        <v>4253437.08</v>
      </c>
      <c r="M659" s="869">
        <v>70</v>
      </c>
      <c r="N659" s="866"/>
      <c r="O659" s="866"/>
      <c r="P659" s="866"/>
      <c r="Q659" s="866"/>
      <c r="R659" s="866"/>
      <c r="S659" s="866"/>
      <c r="T659" s="866"/>
      <c r="U659" s="869">
        <v>70</v>
      </c>
      <c r="V659" s="866"/>
      <c r="W659" s="871">
        <v>4253437.08</v>
      </c>
      <c r="X659" s="784"/>
    </row>
    <row r="660" spans="1:24" x14ac:dyDescent="0.2">
      <c r="A660" s="867" t="s">
        <v>739</v>
      </c>
      <c r="B660" s="866"/>
      <c r="C660" s="866"/>
      <c r="D660" s="866"/>
      <c r="E660" s="866"/>
      <c r="F660" s="866"/>
      <c r="G660" s="866"/>
      <c r="H660" s="866"/>
      <c r="I660" s="866"/>
      <c r="J660" s="866"/>
      <c r="K660" s="869">
        <v>0</v>
      </c>
      <c r="L660" s="866"/>
      <c r="M660" s="869">
        <v>0</v>
      </c>
      <c r="N660" s="866"/>
      <c r="O660" s="866"/>
      <c r="P660" s="866"/>
      <c r="Q660" s="866"/>
      <c r="R660" s="866"/>
      <c r="S660" s="866"/>
      <c r="T660" s="866"/>
      <c r="U660" s="869">
        <v>0</v>
      </c>
      <c r="V660" s="866"/>
      <c r="W660" s="869">
        <v>0</v>
      </c>
      <c r="X660" s="784"/>
    </row>
    <row r="661" spans="1:24" x14ac:dyDescent="0.2">
      <c r="A661" s="870" t="s">
        <v>746</v>
      </c>
      <c r="B661" s="866"/>
      <c r="C661" s="866"/>
      <c r="D661" s="866"/>
      <c r="E661" s="866"/>
      <c r="F661" s="866"/>
      <c r="G661" s="866"/>
      <c r="H661" s="866"/>
      <c r="I661" s="866"/>
      <c r="J661" s="866"/>
      <c r="K661" s="869">
        <v>0</v>
      </c>
      <c r="L661" s="866"/>
      <c r="M661" s="869">
        <v>0</v>
      </c>
      <c r="N661" s="866"/>
      <c r="O661" s="866"/>
      <c r="P661" s="866"/>
      <c r="Q661" s="866"/>
      <c r="R661" s="866"/>
      <c r="S661" s="866"/>
      <c r="T661" s="866"/>
      <c r="U661" s="869">
        <v>0</v>
      </c>
      <c r="V661" s="866"/>
      <c r="W661" s="869">
        <v>0</v>
      </c>
      <c r="X661" s="784"/>
    </row>
    <row r="662" spans="1:24" x14ac:dyDescent="0.2">
      <c r="A662" s="870" t="s">
        <v>747</v>
      </c>
      <c r="B662" s="866"/>
      <c r="C662" s="866"/>
      <c r="D662" s="866"/>
      <c r="E662" s="866"/>
      <c r="F662" s="866"/>
      <c r="G662" s="866"/>
      <c r="H662" s="866"/>
      <c r="I662" s="866"/>
      <c r="J662" s="866"/>
      <c r="K662" s="869">
        <v>0</v>
      </c>
      <c r="L662" s="866"/>
      <c r="M662" s="869">
        <v>0</v>
      </c>
      <c r="N662" s="866"/>
      <c r="O662" s="866"/>
      <c r="P662" s="866"/>
      <c r="Q662" s="866"/>
      <c r="R662" s="866"/>
      <c r="S662" s="866"/>
      <c r="T662" s="866"/>
      <c r="U662" s="869">
        <v>0</v>
      </c>
      <c r="V662" s="866"/>
      <c r="W662" s="869">
        <v>0</v>
      </c>
      <c r="X662" s="784"/>
    </row>
    <row r="663" spans="1:24" x14ac:dyDescent="0.2">
      <c r="A663" s="870" t="s">
        <v>748</v>
      </c>
      <c r="B663" s="866"/>
      <c r="C663" s="866"/>
      <c r="D663" s="866"/>
      <c r="E663" s="866"/>
      <c r="F663" s="866"/>
      <c r="G663" s="866"/>
      <c r="H663" s="866"/>
      <c r="I663" s="866"/>
      <c r="J663" s="866"/>
      <c r="K663" s="869">
        <v>0</v>
      </c>
      <c r="L663" s="866"/>
      <c r="M663" s="869">
        <v>0</v>
      </c>
      <c r="N663" s="866"/>
      <c r="O663" s="866"/>
      <c r="P663" s="866"/>
      <c r="Q663" s="866"/>
      <c r="R663" s="866"/>
      <c r="S663" s="866"/>
      <c r="T663" s="866"/>
      <c r="U663" s="869">
        <v>0</v>
      </c>
      <c r="V663" s="866"/>
      <c r="W663" s="869">
        <v>0</v>
      </c>
      <c r="X663" s="784"/>
    </row>
    <row r="664" spans="1:24" x14ac:dyDescent="0.2">
      <c r="A664" s="870" t="s">
        <v>701</v>
      </c>
      <c r="B664" s="869">
        <v>3</v>
      </c>
      <c r="C664" s="866"/>
      <c r="D664" s="866"/>
      <c r="E664" s="866"/>
      <c r="F664" s="866"/>
      <c r="G664" s="866"/>
      <c r="H664" s="866"/>
      <c r="I664" s="866"/>
      <c r="J664" s="866"/>
      <c r="K664" s="869">
        <v>3</v>
      </c>
      <c r="L664" s="871">
        <v>223429.08</v>
      </c>
      <c r="M664" s="869">
        <v>3</v>
      </c>
      <c r="N664" s="866"/>
      <c r="O664" s="866"/>
      <c r="P664" s="866"/>
      <c r="Q664" s="866"/>
      <c r="R664" s="866"/>
      <c r="S664" s="866"/>
      <c r="T664" s="866"/>
      <c r="U664" s="869">
        <v>3</v>
      </c>
      <c r="V664" s="866"/>
      <c r="W664" s="871">
        <v>223429.08</v>
      </c>
      <c r="X664" s="784"/>
    </row>
    <row r="665" spans="1:24" x14ac:dyDescent="0.2">
      <c r="A665" s="870" t="s">
        <v>702</v>
      </c>
      <c r="B665" s="869">
        <v>2</v>
      </c>
      <c r="C665" s="866"/>
      <c r="D665" s="866"/>
      <c r="E665" s="866"/>
      <c r="F665" s="866"/>
      <c r="G665" s="866"/>
      <c r="H665" s="866"/>
      <c r="I665" s="866"/>
      <c r="J665" s="866"/>
      <c r="K665" s="869">
        <v>2</v>
      </c>
      <c r="L665" s="871">
        <v>130128.12</v>
      </c>
      <c r="M665" s="869">
        <v>2</v>
      </c>
      <c r="N665" s="866"/>
      <c r="O665" s="866"/>
      <c r="P665" s="866"/>
      <c r="Q665" s="866"/>
      <c r="R665" s="866"/>
      <c r="S665" s="866"/>
      <c r="T665" s="866"/>
      <c r="U665" s="869">
        <v>2</v>
      </c>
      <c r="V665" s="866"/>
      <c r="W665" s="871">
        <v>130128.12</v>
      </c>
      <c r="X665" s="784"/>
    </row>
    <row r="666" spans="1:24" x14ac:dyDescent="0.2">
      <c r="A666" s="870" t="s">
        <v>741</v>
      </c>
      <c r="B666" s="869">
        <v>2</v>
      </c>
      <c r="C666" s="866"/>
      <c r="D666" s="866"/>
      <c r="E666" s="866"/>
      <c r="F666" s="866"/>
      <c r="G666" s="866"/>
      <c r="H666" s="866"/>
      <c r="I666" s="866"/>
      <c r="J666" s="866"/>
      <c r="K666" s="869">
        <v>2</v>
      </c>
      <c r="L666" s="871">
        <v>132676.32</v>
      </c>
      <c r="M666" s="869">
        <v>2</v>
      </c>
      <c r="N666" s="866"/>
      <c r="O666" s="866"/>
      <c r="P666" s="866"/>
      <c r="Q666" s="866"/>
      <c r="R666" s="866"/>
      <c r="S666" s="866"/>
      <c r="T666" s="866"/>
      <c r="U666" s="869">
        <v>2</v>
      </c>
      <c r="V666" s="866"/>
      <c r="W666" s="871">
        <v>132676.32</v>
      </c>
      <c r="X666" s="784"/>
    </row>
    <row r="667" spans="1:24" x14ac:dyDescent="0.2">
      <c r="A667" s="870" t="s">
        <v>742</v>
      </c>
      <c r="B667" s="869">
        <v>9</v>
      </c>
      <c r="C667" s="866"/>
      <c r="D667" s="866"/>
      <c r="E667" s="866"/>
      <c r="F667" s="866"/>
      <c r="G667" s="866"/>
      <c r="H667" s="866"/>
      <c r="I667" s="866"/>
      <c r="J667" s="866"/>
      <c r="K667" s="869">
        <v>9</v>
      </c>
      <c r="L667" s="871">
        <v>547121.04</v>
      </c>
      <c r="M667" s="869">
        <v>9</v>
      </c>
      <c r="N667" s="866"/>
      <c r="O667" s="866"/>
      <c r="P667" s="866"/>
      <c r="Q667" s="866"/>
      <c r="R667" s="866"/>
      <c r="S667" s="866"/>
      <c r="T667" s="866"/>
      <c r="U667" s="869">
        <v>9</v>
      </c>
      <c r="V667" s="866"/>
      <c r="W667" s="871">
        <v>547121.04</v>
      </c>
      <c r="X667" s="784"/>
    </row>
    <row r="668" spans="1:24" x14ac:dyDescent="0.2">
      <c r="A668" s="870" t="s">
        <v>743</v>
      </c>
      <c r="B668" s="869">
        <v>43</v>
      </c>
      <c r="C668" s="866"/>
      <c r="D668" s="866"/>
      <c r="E668" s="866"/>
      <c r="F668" s="866"/>
      <c r="G668" s="866"/>
      <c r="H668" s="866"/>
      <c r="I668" s="866"/>
      <c r="J668" s="866"/>
      <c r="K668" s="869">
        <v>43</v>
      </c>
      <c r="L668" s="871">
        <v>2557913.64</v>
      </c>
      <c r="M668" s="869">
        <v>43</v>
      </c>
      <c r="N668" s="866"/>
      <c r="O668" s="866"/>
      <c r="P668" s="866"/>
      <c r="Q668" s="866"/>
      <c r="R668" s="866"/>
      <c r="S668" s="866"/>
      <c r="T668" s="866"/>
      <c r="U668" s="869">
        <v>43</v>
      </c>
      <c r="V668" s="866"/>
      <c r="W668" s="871">
        <v>2557913.64</v>
      </c>
      <c r="X668" s="784"/>
    </row>
    <row r="669" spans="1:24" x14ac:dyDescent="0.2">
      <c r="A669" s="867" t="s">
        <v>740</v>
      </c>
      <c r="B669" s="866"/>
      <c r="C669" s="866"/>
      <c r="D669" s="866"/>
      <c r="E669" s="866"/>
      <c r="F669" s="866"/>
      <c r="G669" s="866"/>
      <c r="H669" s="866"/>
      <c r="I669" s="866"/>
      <c r="J669" s="866"/>
      <c r="K669" s="869">
        <v>0</v>
      </c>
      <c r="L669" s="866"/>
      <c r="M669" s="869">
        <v>0</v>
      </c>
      <c r="N669" s="866"/>
      <c r="O669" s="866"/>
      <c r="P669" s="866"/>
      <c r="Q669" s="866"/>
      <c r="R669" s="866"/>
      <c r="S669" s="866"/>
      <c r="T669" s="866"/>
      <c r="U669" s="869">
        <v>0</v>
      </c>
      <c r="V669" s="866"/>
      <c r="W669" s="869">
        <v>0</v>
      </c>
      <c r="X669" s="784"/>
    </row>
    <row r="670" spans="1:24" x14ac:dyDescent="0.2">
      <c r="A670" s="870" t="s">
        <v>746</v>
      </c>
      <c r="B670" s="866"/>
      <c r="C670" s="866"/>
      <c r="D670" s="866"/>
      <c r="E670" s="866"/>
      <c r="F670" s="866"/>
      <c r="G670" s="866"/>
      <c r="H670" s="866"/>
      <c r="I670" s="866"/>
      <c r="J670" s="866"/>
      <c r="K670" s="869">
        <v>0</v>
      </c>
      <c r="L670" s="866"/>
      <c r="M670" s="869">
        <v>0</v>
      </c>
      <c r="N670" s="866"/>
      <c r="O670" s="866"/>
      <c r="P670" s="866"/>
      <c r="Q670" s="866"/>
      <c r="R670" s="866"/>
      <c r="S670" s="866"/>
      <c r="T670" s="866"/>
      <c r="U670" s="869">
        <v>0</v>
      </c>
      <c r="V670" s="866"/>
      <c r="W670" s="869">
        <v>0</v>
      </c>
      <c r="X670" s="784"/>
    </row>
    <row r="671" spans="1:24" x14ac:dyDescent="0.2">
      <c r="A671" s="870" t="s">
        <v>747</v>
      </c>
      <c r="B671" s="866"/>
      <c r="C671" s="866"/>
      <c r="D671" s="866"/>
      <c r="E671" s="866"/>
      <c r="F671" s="866"/>
      <c r="G671" s="866"/>
      <c r="H671" s="866"/>
      <c r="I671" s="866"/>
      <c r="J671" s="866"/>
      <c r="K671" s="869">
        <v>0</v>
      </c>
      <c r="L671" s="866"/>
      <c r="M671" s="869">
        <v>0</v>
      </c>
      <c r="N671" s="866"/>
      <c r="O671" s="866"/>
      <c r="P671" s="866"/>
      <c r="Q671" s="866"/>
      <c r="R671" s="866"/>
      <c r="S671" s="866"/>
      <c r="T671" s="866"/>
      <c r="U671" s="869">
        <v>0</v>
      </c>
      <c r="V671" s="866"/>
      <c r="W671" s="869">
        <v>0</v>
      </c>
      <c r="X671" s="784"/>
    </row>
    <row r="672" spans="1:24" x14ac:dyDescent="0.2">
      <c r="A672" s="870" t="s">
        <v>748</v>
      </c>
      <c r="B672" s="866"/>
      <c r="C672" s="866"/>
      <c r="D672" s="866"/>
      <c r="E672" s="866"/>
      <c r="F672" s="866"/>
      <c r="G672" s="866"/>
      <c r="H672" s="866"/>
      <c r="I672" s="866"/>
      <c r="J672" s="866"/>
      <c r="K672" s="869">
        <v>0</v>
      </c>
      <c r="L672" s="866"/>
      <c r="M672" s="869">
        <v>0</v>
      </c>
      <c r="N672" s="866"/>
      <c r="O672" s="866"/>
      <c r="P672" s="866"/>
      <c r="Q672" s="866"/>
      <c r="R672" s="866"/>
      <c r="S672" s="866"/>
      <c r="T672" s="866"/>
      <c r="U672" s="869">
        <v>0</v>
      </c>
      <c r="V672" s="866"/>
      <c r="W672" s="869">
        <v>0</v>
      </c>
      <c r="X672" s="784"/>
    </row>
    <row r="673" spans="1:24" x14ac:dyDescent="0.2">
      <c r="A673" s="870" t="s">
        <v>701</v>
      </c>
      <c r="B673" s="869">
        <v>1</v>
      </c>
      <c r="C673" s="866"/>
      <c r="D673" s="866"/>
      <c r="E673" s="866"/>
      <c r="F673" s="866"/>
      <c r="G673" s="866"/>
      <c r="H673" s="866"/>
      <c r="I673" s="866"/>
      <c r="J673" s="866"/>
      <c r="K673" s="869">
        <v>1</v>
      </c>
      <c r="L673" s="871">
        <v>74997.36</v>
      </c>
      <c r="M673" s="869">
        <v>1</v>
      </c>
      <c r="N673" s="866"/>
      <c r="O673" s="866"/>
      <c r="P673" s="866"/>
      <c r="Q673" s="866"/>
      <c r="R673" s="866"/>
      <c r="S673" s="866"/>
      <c r="T673" s="866"/>
      <c r="U673" s="869">
        <v>1</v>
      </c>
      <c r="V673" s="866"/>
      <c r="W673" s="871">
        <v>74997.36</v>
      </c>
      <c r="X673" s="784"/>
    </row>
    <row r="674" spans="1:24" x14ac:dyDescent="0.2">
      <c r="A674" s="870" t="s">
        <v>702</v>
      </c>
      <c r="B674" s="866"/>
      <c r="C674" s="866"/>
      <c r="D674" s="866"/>
      <c r="E674" s="866"/>
      <c r="F674" s="866"/>
      <c r="G674" s="866"/>
      <c r="H674" s="866"/>
      <c r="I674" s="866"/>
      <c r="J674" s="866"/>
      <c r="K674" s="869">
        <v>0</v>
      </c>
      <c r="L674" s="866"/>
      <c r="M674" s="869">
        <v>0</v>
      </c>
      <c r="N674" s="866"/>
      <c r="O674" s="866"/>
      <c r="P674" s="866"/>
      <c r="Q674" s="866"/>
      <c r="R674" s="866"/>
      <c r="S674" s="866"/>
      <c r="T674" s="866"/>
      <c r="U674" s="869">
        <v>0</v>
      </c>
      <c r="V674" s="866"/>
      <c r="W674" s="869">
        <v>0</v>
      </c>
      <c r="X674" s="784"/>
    </row>
    <row r="675" spans="1:24" x14ac:dyDescent="0.2">
      <c r="A675" s="870" t="s">
        <v>741</v>
      </c>
      <c r="B675" s="866"/>
      <c r="C675" s="866"/>
      <c r="D675" s="866"/>
      <c r="E675" s="866"/>
      <c r="F675" s="866"/>
      <c r="G675" s="866"/>
      <c r="H675" s="866"/>
      <c r="I675" s="866"/>
      <c r="J675" s="866"/>
      <c r="K675" s="869">
        <v>0</v>
      </c>
      <c r="L675" s="866"/>
      <c r="M675" s="869">
        <v>0</v>
      </c>
      <c r="N675" s="866"/>
      <c r="O675" s="866"/>
      <c r="P675" s="866"/>
      <c r="Q675" s="866"/>
      <c r="R675" s="866"/>
      <c r="S675" s="866"/>
      <c r="T675" s="866"/>
      <c r="U675" s="869">
        <v>0</v>
      </c>
      <c r="V675" s="866"/>
      <c r="W675" s="869">
        <v>0</v>
      </c>
      <c r="X675" s="784"/>
    </row>
    <row r="676" spans="1:24" x14ac:dyDescent="0.2">
      <c r="A676" s="870" t="s">
        <v>742</v>
      </c>
      <c r="B676" s="869">
        <v>1</v>
      </c>
      <c r="C676" s="866"/>
      <c r="D676" s="866"/>
      <c r="E676" s="866"/>
      <c r="F676" s="866"/>
      <c r="G676" s="866"/>
      <c r="H676" s="866"/>
      <c r="I676" s="866"/>
      <c r="J676" s="866"/>
      <c r="K676" s="869">
        <v>1</v>
      </c>
      <c r="L676" s="871">
        <v>46800</v>
      </c>
      <c r="M676" s="869">
        <v>1</v>
      </c>
      <c r="N676" s="866"/>
      <c r="O676" s="866"/>
      <c r="P676" s="866"/>
      <c r="Q676" s="866"/>
      <c r="R676" s="866"/>
      <c r="S676" s="866"/>
      <c r="T676" s="866"/>
      <c r="U676" s="869">
        <v>1</v>
      </c>
      <c r="V676" s="866"/>
      <c r="W676" s="871">
        <v>46800</v>
      </c>
      <c r="X676" s="784"/>
    </row>
    <row r="677" spans="1:24" x14ac:dyDescent="0.2">
      <c r="A677" s="870" t="s">
        <v>743</v>
      </c>
      <c r="B677" s="869">
        <v>11</v>
      </c>
      <c r="C677" s="866"/>
      <c r="D677" s="866"/>
      <c r="E677" s="866"/>
      <c r="F677" s="866"/>
      <c r="G677" s="866"/>
      <c r="H677" s="866"/>
      <c r="I677" s="866"/>
      <c r="J677" s="866"/>
      <c r="K677" s="869">
        <v>11</v>
      </c>
      <c r="L677" s="871">
        <v>676454.64</v>
      </c>
      <c r="M677" s="869">
        <v>11</v>
      </c>
      <c r="N677" s="866"/>
      <c r="O677" s="866"/>
      <c r="P677" s="866"/>
      <c r="Q677" s="866"/>
      <c r="R677" s="866"/>
      <c r="S677" s="866"/>
      <c r="T677" s="866"/>
      <c r="U677" s="869">
        <v>11</v>
      </c>
      <c r="V677" s="866"/>
      <c r="W677" s="871">
        <v>676454.64</v>
      </c>
      <c r="X677" s="784"/>
    </row>
    <row r="678" spans="1:24" x14ac:dyDescent="0.2">
      <c r="A678" s="867" t="s">
        <v>775</v>
      </c>
      <c r="B678" s="866"/>
      <c r="C678" s="866"/>
      <c r="D678" s="866"/>
      <c r="E678" s="866"/>
      <c r="F678" s="866"/>
      <c r="G678" s="866"/>
      <c r="H678" s="866"/>
      <c r="I678" s="866"/>
      <c r="J678" s="866"/>
      <c r="K678" s="869">
        <v>0</v>
      </c>
      <c r="L678" s="866"/>
      <c r="M678" s="869">
        <v>0</v>
      </c>
      <c r="N678" s="866"/>
      <c r="O678" s="866"/>
      <c r="P678" s="866"/>
      <c r="Q678" s="866"/>
      <c r="R678" s="866"/>
      <c r="S678" s="866"/>
      <c r="T678" s="866"/>
      <c r="U678" s="869">
        <v>0</v>
      </c>
      <c r="V678" s="866"/>
      <c r="W678" s="869">
        <v>0</v>
      </c>
      <c r="X678" s="784"/>
    </row>
    <row r="679" spans="1:24" x14ac:dyDescent="0.2">
      <c r="A679" s="870" t="s">
        <v>746</v>
      </c>
      <c r="B679" s="866"/>
      <c r="C679" s="866"/>
      <c r="D679" s="866"/>
      <c r="E679" s="866"/>
      <c r="F679" s="866"/>
      <c r="G679" s="866"/>
      <c r="H679" s="866"/>
      <c r="I679" s="866"/>
      <c r="J679" s="866"/>
      <c r="K679" s="869">
        <v>0</v>
      </c>
      <c r="L679" s="866"/>
      <c r="M679" s="869">
        <v>0</v>
      </c>
      <c r="N679" s="866"/>
      <c r="O679" s="866"/>
      <c r="P679" s="866"/>
      <c r="Q679" s="866"/>
      <c r="R679" s="866"/>
      <c r="S679" s="866"/>
      <c r="T679" s="866"/>
      <c r="U679" s="869">
        <v>0</v>
      </c>
      <c r="V679" s="866"/>
      <c r="W679" s="869">
        <v>0</v>
      </c>
      <c r="X679" s="784"/>
    </row>
    <row r="680" spans="1:24" x14ac:dyDescent="0.2">
      <c r="A680" s="870" t="s">
        <v>747</v>
      </c>
      <c r="B680" s="866"/>
      <c r="C680" s="866"/>
      <c r="D680" s="866"/>
      <c r="E680" s="866"/>
      <c r="F680" s="866"/>
      <c r="G680" s="866"/>
      <c r="H680" s="866"/>
      <c r="I680" s="866"/>
      <c r="J680" s="866"/>
      <c r="K680" s="869">
        <v>0</v>
      </c>
      <c r="L680" s="866"/>
      <c r="M680" s="869">
        <v>0</v>
      </c>
      <c r="N680" s="866"/>
      <c r="O680" s="866"/>
      <c r="P680" s="866"/>
      <c r="Q680" s="866"/>
      <c r="R680" s="866"/>
      <c r="S680" s="866"/>
      <c r="T680" s="866"/>
      <c r="U680" s="869">
        <v>0</v>
      </c>
      <c r="V680" s="866"/>
      <c r="W680" s="869">
        <v>0</v>
      </c>
      <c r="X680" s="784"/>
    </row>
    <row r="681" spans="1:24" x14ac:dyDescent="0.2">
      <c r="A681" s="870" t="s">
        <v>748</v>
      </c>
      <c r="B681" s="866"/>
      <c r="C681" s="866"/>
      <c r="D681" s="866"/>
      <c r="E681" s="866"/>
      <c r="F681" s="866"/>
      <c r="G681" s="866"/>
      <c r="H681" s="866"/>
      <c r="I681" s="866"/>
      <c r="J681" s="866"/>
      <c r="K681" s="869">
        <v>0</v>
      </c>
      <c r="L681" s="866"/>
      <c r="M681" s="869">
        <v>0</v>
      </c>
      <c r="N681" s="866"/>
      <c r="O681" s="866"/>
      <c r="P681" s="866"/>
      <c r="Q681" s="866"/>
      <c r="R681" s="866"/>
      <c r="S681" s="866"/>
      <c r="T681" s="866"/>
      <c r="U681" s="869">
        <v>0</v>
      </c>
      <c r="V681" s="866"/>
      <c r="W681" s="869">
        <v>0</v>
      </c>
      <c r="X681" s="784"/>
    </row>
    <row r="682" spans="1:24" x14ac:dyDescent="0.2">
      <c r="A682" s="870" t="s">
        <v>701</v>
      </c>
      <c r="B682" s="869">
        <v>1</v>
      </c>
      <c r="C682" s="866"/>
      <c r="D682" s="866"/>
      <c r="E682" s="866"/>
      <c r="F682" s="866"/>
      <c r="G682" s="866"/>
      <c r="H682" s="866"/>
      <c r="I682" s="866"/>
      <c r="J682" s="866"/>
      <c r="K682" s="869">
        <v>1</v>
      </c>
      <c r="L682" s="871">
        <v>53652</v>
      </c>
      <c r="M682" s="869">
        <v>1</v>
      </c>
      <c r="N682" s="866"/>
      <c r="O682" s="866"/>
      <c r="P682" s="866"/>
      <c r="Q682" s="866"/>
      <c r="R682" s="866"/>
      <c r="S682" s="866"/>
      <c r="T682" s="866"/>
      <c r="U682" s="869">
        <v>1</v>
      </c>
      <c r="V682" s="866"/>
      <c r="W682" s="871">
        <v>53652</v>
      </c>
      <c r="X682" s="784"/>
    </row>
    <row r="683" spans="1:24" x14ac:dyDescent="0.2">
      <c r="A683" s="870" t="s">
        <v>702</v>
      </c>
      <c r="B683" s="869">
        <v>1</v>
      </c>
      <c r="C683" s="866"/>
      <c r="D683" s="866"/>
      <c r="E683" s="866"/>
      <c r="F683" s="866"/>
      <c r="G683" s="866"/>
      <c r="H683" s="866"/>
      <c r="I683" s="866"/>
      <c r="J683" s="866"/>
      <c r="K683" s="869">
        <v>1</v>
      </c>
      <c r="L683" s="871">
        <v>62824.800000000003</v>
      </c>
      <c r="M683" s="869">
        <v>1</v>
      </c>
      <c r="N683" s="866"/>
      <c r="O683" s="866"/>
      <c r="P683" s="866"/>
      <c r="Q683" s="866"/>
      <c r="R683" s="866"/>
      <c r="S683" s="866"/>
      <c r="T683" s="866"/>
      <c r="U683" s="869">
        <v>1</v>
      </c>
      <c r="V683" s="866"/>
      <c r="W683" s="871">
        <v>62824.800000000003</v>
      </c>
      <c r="X683" s="784"/>
    </row>
    <row r="684" spans="1:24" x14ac:dyDescent="0.2">
      <c r="A684" s="870" t="s">
        <v>741</v>
      </c>
      <c r="B684" s="866"/>
      <c r="C684" s="866"/>
      <c r="D684" s="866"/>
      <c r="E684" s="866"/>
      <c r="F684" s="866"/>
      <c r="G684" s="866"/>
      <c r="H684" s="866"/>
      <c r="I684" s="866"/>
      <c r="J684" s="866"/>
      <c r="K684" s="869">
        <v>0</v>
      </c>
      <c r="L684" s="866"/>
      <c r="M684" s="869">
        <v>0</v>
      </c>
      <c r="N684" s="866"/>
      <c r="O684" s="866"/>
      <c r="P684" s="866"/>
      <c r="Q684" s="866"/>
      <c r="R684" s="866"/>
      <c r="S684" s="866"/>
      <c r="T684" s="866"/>
      <c r="U684" s="869">
        <v>0</v>
      </c>
      <c r="V684" s="866"/>
      <c r="W684" s="869">
        <v>0</v>
      </c>
      <c r="X684" s="784"/>
    </row>
    <row r="685" spans="1:24" x14ac:dyDescent="0.2">
      <c r="A685" s="870" t="s">
        <v>742</v>
      </c>
      <c r="B685" s="866"/>
      <c r="C685" s="866"/>
      <c r="D685" s="866"/>
      <c r="E685" s="866"/>
      <c r="F685" s="866"/>
      <c r="G685" s="866"/>
      <c r="H685" s="866"/>
      <c r="I685" s="866"/>
      <c r="J685" s="866"/>
      <c r="K685" s="869">
        <v>0</v>
      </c>
      <c r="L685" s="866"/>
      <c r="M685" s="869">
        <v>0</v>
      </c>
      <c r="N685" s="866"/>
      <c r="O685" s="866"/>
      <c r="P685" s="866"/>
      <c r="Q685" s="866"/>
      <c r="R685" s="866"/>
      <c r="S685" s="866"/>
      <c r="T685" s="866"/>
      <c r="U685" s="869">
        <v>0</v>
      </c>
      <c r="V685" s="866"/>
      <c r="W685" s="869">
        <v>0</v>
      </c>
      <c r="X685" s="784"/>
    </row>
    <row r="686" spans="1:24" x14ac:dyDescent="0.2">
      <c r="A686" s="870" t="s">
        <v>743</v>
      </c>
      <c r="B686" s="869">
        <v>9</v>
      </c>
      <c r="C686" s="866"/>
      <c r="D686" s="866"/>
      <c r="E686" s="866"/>
      <c r="F686" s="866"/>
      <c r="G686" s="866"/>
      <c r="H686" s="866"/>
      <c r="I686" s="866"/>
      <c r="J686" s="866"/>
      <c r="K686" s="869">
        <v>9</v>
      </c>
      <c r="L686" s="871">
        <v>490740.72</v>
      </c>
      <c r="M686" s="869">
        <v>9</v>
      </c>
      <c r="N686" s="866"/>
      <c r="O686" s="866"/>
      <c r="P686" s="866"/>
      <c r="Q686" s="866"/>
      <c r="R686" s="866"/>
      <c r="S686" s="866"/>
      <c r="T686" s="866"/>
      <c r="U686" s="869">
        <v>9</v>
      </c>
      <c r="V686" s="866"/>
      <c r="W686" s="871">
        <v>490740.72</v>
      </c>
      <c r="X686" s="784"/>
    </row>
    <row r="687" spans="1:24" x14ac:dyDescent="0.2">
      <c r="A687" s="867" t="s">
        <v>808</v>
      </c>
      <c r="B687" s="866"/>
      <c r="C687" s="866"/>
      <c r="D687" s="866"/>
      <c r="E687" s="866"/>
      <c r="F687" s="866"/>
      <c r="G687" s="866"/>
      <c r="H687" s="866"/>
      <c r="I687" s="866"/>
      <c r="J687" s="866"/>
      <c r="K687" s="869">
        <v>0</v>
      </c>
      <c r="L687" s="866"/>
      <c r="M687" s="869">
        <v>0</v>
      </c>
      <c r="N687" s="866"/>
      <c r="O687" s="866"/>
      <c r="P687" s="866"/>
      <c r="Q687" s="866"/>
      <c r="R687" s="866"/>
      <c r="S687" s="866"/>
      <c r="T687" s="866"/>
      <c r="U687" s="869">
        <v>0</v>
      </c>
      <c r="V687" s="866"/>
      <c r="W687" s="869">
        <v>0</v>
      </c>
      <c r="X687" s="784"/>
    </row>
    <row r="688" spans="1:24" x14ac:dyDescent="0.2">
      <c r="A688" s="870" t="s">
        <v>701</v>
      </c>
      <c r="B688" s="866"/>
      <c r="C688" s="866"/>
      <c r="D688" s="866"/>
      <c r="E688" s="866"/>
      <c r="F688" s="866"/>
      <c r="G688" s="866"/>
      <c r="H688" s="866"/>
      <c r="I688" s="866"/>
      <c r="J688" s="866"/>
      <c r="K688" s="869">
        <v>0</v>
      </c>
      <c r="L688" s="866"/>
      <c r="M688" s="869">
        <v>0</v>
      </c>
      <c r="N688" s="866"/>
      <c r="O688" s="866"/>
      <c r="P688" s="866"/>
      <c r="Q688" s="866"/>
      <c r="R688" s="866"/>
      <c r="S688" s="866"/>
      <c r="T688" s="866"/>
      <c r="U688" s="869">
        <v>0</v>
      </c>
      <c r="V688" s="866"/>
      <c r="W688" s="869">
        <v>0</v>
      </c>
      <c r="X688" s="784"/>
    </row>
    <row r="689" spans="1:24" x14ac:dyDescent="0.2">
      <c r="A689" s="870" t="s">
        <v>702</v>
      </c>
      <c r="B689" s="866"/>
      <c r="C689" s="866"/>
      <c r="D689" s="866"/>
      <c r="E689" s="866"/>
      <c r="F689" s="866"/>
      <c r="G689" s="866"/>
      <c r="H689" s="866"/>
      <c r="I689" s="866"/>
      <c r="J689" s="866"/>
      <c r="K689" s="869">
        <v>0</v>
      </c>
      <c r="L689" s="866"/>
      <c r="M689" s="869">
        <v>0</v>
      </c>
      <c r="N689" s="866"/>
      <c r="O689" s="866"/>
      <c r="P689" s="866"/>
      <c r="Q689" s="866"/>
      <c r="R689" s="866"/>
      <c r="S689" s="866"/>
      <c r="T689" s="866"/>
      <c r="U689" s="869">
        <v>0</v>
      </c>
      <c r="V689" s="866"/>
      <c r="W689" s="869">
        <v>0</v>
      </c>
      <c r="X689" s="784"/>
    </row>
    <row r="690" spans="1:24" x14ac:dyDescent="0.2">
      <c r="A690" s="870" t="s">
        <v>741</v>
      </c>
      <c r="B690" s="866"/>
      <c r="C690" s="866"/>
      <c r="D690" s="866"/>
      <c r="E690" s="866"/>
      <c r="F690" s="866"/>
      <c r="G690" s="866"/>
      <c r="H690" s="866"/>
      <c r="I690" s="866"/>
      <c r="J690" s="866"/>
      <c r="K690" s="869">
        <v>0</v>
      </c>
      <c r="L690" s="866"/>
      <c r="M690" s="869">
        <v>0</v>
      </c>
      <c r="N690" s="866"/>
      <c r="O690" s="866"/>
      <c r="P690" s="866"/>
      <c r="Q690" s="866"/>
      <c r="R690" s="866"/>
      <c r="S690" s="866"/>
      <c r="T690" s="866"/>
      <c r="U690" s="869">
        <v>0</v>
      </c>
      <c r="V690" s="866"/>
      <c r="W690" s="869">
        <v>0</v>
      </c>
      <c r="X690" s="784"/>
    </row>
    <row r="691" spans="1:24" x14ac:dyDescent="0.2">
      <c r="A691" s="870" t="s">
        <v>742</v>
      </c>
      <c r="B691" s="866"/>
      <c r="C691" s="866"/>
      <c r="D691" s="866"/>
      <c r="E691" s="866"/>
      <c r="F691" s="866"/>
      <c r="G691" s="866"/>
      <c r="H691" s="866"/>
      <c r="I691" s="866"/>
      <c r="J691" s="866"/>
      <c r="K691" s="869">
        <v>0</v>
      </c>
      <c r="L691" s="866"/>
      <c r="M691" s="869">
        <v>0</v>
      </c>
      <c r="N691" s="866"/>
      <c r="O691" s="866"/>
      <c r="P691" s="866"/>
      <c r="Q691" s="866"/>
      <c r="R691" s="866"/>
      <c r="S691" s="866"/>
      <c r="T691" s="866"/>
      <c r="U691" s="869">
        <v>0</v>
      </c>
      <c r="V691" s="866"/>
      <c r="W691" s="869">
        <v>0</v>
      </c>
      <c r="X691" s="784"/>
    </row>
    <row r="692" spans="1:24" x14ac:dyDescent="0.2">
      <c r="A692" s="870" t="s">
        <v>743</v>
      </c>
      <c r="B692" s="869">
        <v>1</v>
      </c>
      <c r="C692" s="866"/>
      <c r="D692" s="866"/>
      <c r="E692" s="866"/>
      <c r="F692" s="866"/>
      <c r="G692" s="866"/>
      <c r="H692" s="866"/>
      <c r="I692" s="866"/>
      <c r="J692" s="866"/>
      <c r="K692" s="869">
        <v>1</v>
      </c>
      <c r="L692" s="871">
        <v>32384.52</v>
      </c>
      <c r="M692" s="869">
        <v>1</v>
      </c>
      <c r="N692" s="866"/>
      <c r="O692" s="866"/>
      <c r="P692" s="866"/>
      <c r="Q692" s="866"/>
      <c r="R692" s="866"/>
      <c r="S692" s="866"/>
      <c r="T692" s="866"/>
      <c r="U692" s="869">
        <v>1</v>
      </c>
      <c r="V692" s="866"/>
      <c r="W692" s="871">
        <v>32384.52</v>
      </c>
      <c r="X692" s="784"/>
    </row>
    <row r="693" spans="1:24" x14ac:dyDescent="0.2">
      <c r="A693" s="873" t="s">
        <v>756</v>
      </c>
      <c r="B693" s="866"/>
      <c r="C693" s="866"/>
      <c r="D693" s="866"/>
      <c r="E693" s="866"/>
      <c r="F693" s="866"/>
      <c r="G693" s="866"/>
      <c r="H693" s="866"/>
      <c r="I693" s="866"/>
      <c r="J693" s="866"/>
      <c r="K693" s="869">
        <v>0</v>
      </c>
      <c r="L693" s="866"/>
      <c r="M693" s="869">
        <v>0</v>
      </c>
      <c r="N693" s="866"/>
      <c r="O693" s="866"/>
      <c r="P693" s="866"/>
      <c r="Q693" s="866"/>
      <c r="R693" s="866"/>
      <c r="S693" s="866"/>
      <c r="T693" s="866"/>
      <c r="U693" s="869">
        <v>0</v>
      </c>
      <c r="V693" s="866"/>
      <c r="W693" s="869">
        <v>0</v>
      </c>
      <c r="X693" s="784"/>
    </row>
    <row r="694" spans="1:24" x14ac:dyDescent="0.2">
      <c r="A694" s="873" t="s">
        <v>757</v>
      </c>
      <c r="B694" s="866"/>
      <c r="C694" s="866"/>
      <c r="D694" s="866"/>
      <c r="E694" s="866"/>
      <c r="F694" s="866"/>
      <c r="G694" s="866"/>
      <c r="H694" s="866"/>
      <c r="I694" s="866"/>
      <c r="J694" s="866"/>
      <c r="K694" s="869">
        <v>0</v>
      </c>
      <c r="L694" s="866"/>
      <c r="M694" s="869">
        <v>0</v>
      </c>
      <c r="N694" s="866"/>
      <c r="O694" s="866"/>
      <c r="P694" s="866"/>
      <c r="Q694" s="866"/>
      <c r="R694" s="866"/>
      <c r="S694" s="866"/>
      <c r="T694" s="866"/>
      <c r="U694" s="869">
        <v>0</v>
      </c>
      <c r="V694" s="866"/>
      <c r="W694" s="869">
        <v>0</v>
      </c>
      <c r="X694" s="784"/>
    </row>
    <row r="695" spans="1:24" x14ac:dyDescent="0.2">
      <c r="A695" s="873" t="s">
        <v>758</v>
      </c>
      <c r="B695" s="866"/>
      <c r="C695" s="866"/>
      <c r="D695" s="866"/>
      <c r="E695" s="866"/>
      <c r="F695" s="866"/>
      <c r="G695" s="866"/>
      <c r="H695" s="866"/>
      <c r="I695" s="866"/>
      <c r="J695" s="866"/>
      <c r="K695" s="869">
        <v>0</v>
      </c>
      <c r="L695" s="866"/>
      <c r="M695" s="869">
        <v>0</v>
      </c>
      <c r="N695" s="866"/>
      <c r="O695" s="866"/>
      <c r="P695" s="866"/>
      <c r="Q695" s="866"/>
      <c r="R695" s="866"/>
      <c r="S695" s="866"/>
      <c r="T695" s="866"/>
      <c r="U695" s="869">
        <v>0</v>
      </c>
      <c r="V695" s="866"/>
      <c r="W695" s="869">
        <v>0</v>
      </c>
      <c r="X695" s="784"/>
    </row>
    <row r="696" spans="1:24" x14ac:dyDescent="0.2">
      <c r="A696" s="873" t="s">
        <v>759</v>
      </c>
      <c r="B696" s="866"/>
      <c r="C696" s="866"/>
      <c r="D696" s="866"/>
      <c r="E696" s="866"/>
      <c r="F696" s="866"/>
      <c r="G696" s="866"/>
      <c r="H696" s="866"/>
      <c r="I696" s="866"/>
      <c r="J696" s="866"/>
      <c r="K696" s="869">
        <v>0</v>
      </c>
      <c r="L696" s="866"/>
      <c r="M696" s="869">
        <v>0</v>
      </c>
      <c r="N696" s="866"/>
      <c r="O696" s="866"/>
      <c r="P696" s="866"/>
      <c r="Q696" s="866"/>
      <c r="R696" s="866"/>
      <c r="S696" s="866"/>
      <c r="T696" s="866"/>
      <c r="U696" s="869">
        <v>0</v>
      </c>
      <c r="V696" s="866"/>
      <c r="W696" s="869">
        <v>0</v>
      </c>
      <c r="X696" s="784"/>
    </row>
    <row r="697" spans="1:24" x14ac:dyDescent="0.2">
      <c r="A697" s="867" t="s">
        <v>809</v>
      </c>
      <c r="B697" s="866"/>
      <c r="C697" s="866"/>
      <c r="D697" s="866"/>
      <c r="E697" s="866"/>
      <c r="F697" s="866"/>
      <c r="G697" s="866"/>
      <c r="H697" s="866"/>
      <c r="I697" s="866"/>
      <c r="J697" s="866"/>
      <c r="K697" s="869">
        <v>0</v>
      </c>
      <c r="L697" s="866"/>
      <c r="M697" s="869">
        <v>0</v>
      </c>
      <c r="N697" s="866"/>
      <c r="O697" s="866"/>
      <c r="P697" s="866"/>
      <c r="Q697" s="866"/>
      <c r="R697" s="866"/>
      <c r="S697" s="866"/>
      <c r="T697" s="866"/>
      <c r="U697" s="869">
        <v>0</v>
      </c>
      <c r="V697" s="866"/>
      <c r="W697" s="869">
        <v>0</v>
      </c>
      <c r="X697" s="784"/>
    </row>
    <row r="698" spans="1:24" x14ac:dyDescent="0.2">
      <c r="A698" s="870" t="s">
        <v>16</v>
      </c>
      <c r="B698" s="866"/>
      <c r="C698" s="866"/>
      <c r="D698" s="866"/>
      <c r="E698" s="866"/>
      <c r="F698" s="866"/>
      <c r="G698" s="866"/>
      <c r="H698" s="866"/>
      <c r="I698" s="866"/>
      <c r="J698" s="866"/>
      <c r="K698" s="869">
        <v>0</v>
      </c>
      <c r="L698" s="866"/>
      <c r="M698" s="869">
        <v>0</v>
      </c>
      <c r="N698" s="866"/>
      <c r="O698" s="866"/>
      <c r="P698" s="866"/>
      <c r="Q698" s="866"/>
      <c r="R698" s="866"/>
      <c r="S698" s="866"/>
      <c r="T698" s="866"/>
      <c r="U698" s="869">
        <v>0</v>
      </c>
      <c r="V698" s="866"/>
      <c r="W698" s="869">
        <v>0</v>
      </c>
      <c r="X698" s="784"/>
    </row>
    <row r="699" spans="1:24" x14ac:dyDescent="0.2">
      <c r="A699" s="867" t="s">
        <v>761</v>
      </c>
      <c r="B699" s="866"/>
      <c r="C699" s="866"/>
      <c r="D699" s="866"/>
      <c r="E699" s="866"/>
      <c r="F699" s="866"/>
      <c r="G699" s="866"/>
      <c r="H699" s="866"/>
      <c r="I699" s="866"/>
      <c r="J699" s="866"/>
      <c r="K699" s="869">
        <v>0</v>
      </c>
      <c r="L699" s="866"/>
      <c r="M699" s="869">
        <v>0</v>
      </c>
      <c r="N699" s="866"/>
      <c r="O699" s="866"/>
      <c r="P699" s="866"/>
      <c r="Q699" s="866"/>
      <c r="R699" s="866"/>
      <c r="S699" s="866"/>
      <c r="T699" s="866"/>
      <c r="U699" s="869">
        <v>0</v>
      </c>
      <c r="V699" s="866"/>
      <c r="W699" s="869">
        <v>0</v>
      </c>
      <c r="X699" s="784"/>
    </row>
    <row r="700" spans="1:24" x14ac:dyDescent="0.2">
      <c r="A700" s="873" t="s">
        <v>810</v>
      </c>
      <c r="B700" s="866"/>
      <c r="C700" s="866"/>
      <c r="D700" s="866"/>
      <c r="E700" s="866"/>
      <c r="F700" s="866"/>
      <c r="G700" s="866"/>
      <c r="H700" s="866"/>
      <c r="I700" s="866"/>
      <c r="J700" s="866"/>
      <c r="K700" s="869">
        <v>0</v>
      </c>
      <c r="L700" s="866"/>
      <c r="M700" s="869">
        <v>0</v>
      </c>
      <c r="N700" s="866"/>
      <c r="O700" s="866"/>
      <c r="P700" s="866"/>
      <c r="Q700" s="866"/>
      <c r="R700" s="866"/>
      <c r="S700" s="866"/>
      <c r="T700" s="866"/>
      <c r="U700" s="869">
        <v>0</v>
      </c>
      <c r="V700" s="866"/>
      <c r="W700" s="869">
        <v>0</v>
      </c>
      <c r="X700" s="784"/>
    </row>
    <row r="701" spans="1:24" x14ac:dyDescent="0.2">
      <c r="A701" s="874" t="s">
        <v>811</v>
      </c>
      <c r="B701" s="866"/>
      <c r="C701" s="866"/>
      <c r="D701" s="866"/>
      <c r="E701" s="866"/>
      <c r="F701" s="866"/>
      <c r="G701" s="866"/>
      <c r="H701" s="866"/>
      <c r="I701" s="866"/>
      <c r="J701" s="866"/>
      <c r="K701" s="869">
        <v>0</v>
      </c>
      <c r="L701" s="866"/>
      <c r="M701" s="869">
        <v>0</v>
      </c>
      <c r="N701" s="866"/>
      <c r="O701" s="866"/>
      <c r="P701" s="866"/>
      <c r="Q701" s="866"/>
      <c r="R701" s="866"/>
      <c r="S701" s="866"/>
      <c r="T701" s="866"/>
      <c r="U701" s="869">
        <v>0</v>
      </c>
      <c r="V701" s="866"/>
      <c r="W701" s="869">
        <v>0</v>
      </c>
      <c r="X701" s="784"/>
    </row>
    <row r="702" spans="1:24" x14ac:dyDescent="0.2">
      <c r="A702" s="873" t="s">
        <v>812</v>
      </c>
      <c r="B702" s="866"/>
      <c r="C702" s="866"/>
      <c r="D702" s="866"/>
      <c r="E702" s="866"/>
      <c r="F702" s="866"/>
      <c r="G702" s="866"/>
      <c r="H702" s="866"/>
      <c r="I702" s="866"/>
      <c r="J702" s="866"/>
      <c r="K702" s="869">
        <v>0</v>
      </c>
      <c r="L702" s="866"/>
      <c r="M702" s="869">
        <v>0</v>
      </c>
      <c r="N702" s="866"/>
      <c r="O702" s="866"/>
      <c r="P702" s="866"/>
      <c r="Q702" s="866"/>
      <c r="R702" s="866"/>
      <c r="S702" s="866"/>
      <c r="T702" s="866"/>
      <c r="U702" s="869">
        <v>0</v>
      </c>
      <c r="V702" s="866"/>
      <c r="W702" s="869">
        <v>0</v>
      </c>
      <c r="X702" s="784"/>
    </row>
    <row r="703" spans="1:24" x14ac:dyDescent="0.2">
      <c r="A703" s="867" t="s">
        <v>22</v>
      </c>
      <c r="B703" s="866"/>
      <c r="C703" s="866"/>
      <c r="D703" s="866"/>
      <c r="E703" s="866"/>
      <c r="F703" s="866"/>
      <c r="G703" s="866"/>
      <c r="H703" s="866"/>
      <c r="I703" s="866"/>
      <c r="J703" s="866"/>
      <c r="K703" s="869">
        <v>0</v>
      </c>
      <c r="L703" s="866"/>
      <c r="M703" s="869">
        <v>0</v>
      </c>
      <c r="N703" s="866"/>
      <c r="O703" s="866"/>
      <c r="P703" s="866"/>
      <c r="Q703" s="866"/>
      <c r="R703" s="866"/>
      <c r="S703" s="866"/>
      <c r="T703" s="866"/>
      <c r="U703" s="869">
        <v>0</v>
      </c>
      <c r="V703" s="866"/>
      <c r="W703" s="869">
        <v>0</v>
      </c>
      <c r="X703" s="784"/>
    </row>
    <row r="704" spans="1:24" x14ac:dyDescent="0.2">
      <c r="A704" s="873" t="s">
        <v>813</v>
      </c>
      <c r="B704" s="866"/>
      <c r="C704" s="866"/>
      <c r="D704" s="866"/>
      <c r="E704" s="866"/>
      <c r="F704" s="866"/>
      <c r="G704" s="866"/>
      <c r="H704" s="866"/>
      <c r="I704" s="866"/>
      <c r="J704" s="866"/>
      <c r="K704" s="869">
        <v>0</v>
      </c>
      <c r="L704" s="866"/>
      <c r="M704" s="869">
        <v>0</v>
      </c>
      <c r="N704" s="866"/>
      <c r="O704" s="866"/>
      <c r="P704" s="866"/>
      <c r="Q704" s="866"/>
      <c r="R704" s="866"/>
      <c r="S704" s="866"/>
      <c r="T704" s="866"/>
      <c r="U704" s="869">
        <v>0</v>
      </c>
      <c r="V704" s="866"/>
      <c r="W704" s="869">
        <v>0</v>
      </c>
      <c r="X704" s="784"/>
    </row>
    <row r="705" spans="1:24" x14ac:dyDescent="0.2">
      <c r="A705" s="873" t="s">
        <v>814</v>
      </c>
      <c r="B705" s="866"/>
      <c r="C705" s="866"/>
      <c r="D705" s="866"/>
      <c r="E705" s="866"/>
      <c r="F705" s="866"/>
      <c r="G705" s="866"/>
      <c r="H705" s="866"/>
      <c r="I705" s="866"/>
      <c r="J705" s="866"/>
      <c r="K705" s="869">
        <v>0</v>
      </c>
      <c r="L705" s="866"/>
      <c r="M705" s="869">
        <v>0</v>
      </c>
      <c r="N705" s="866"/>
      <c r="O705" s="866"/>
      <c r="P705" s="866"/>
      <c r="Q705" s="866"/>
      <c r="R705" s="866"/>
      <c r="S705" s="866"/>
      <c r="T705" s="866"/>
      <c r="U705" s="869">
        <v>0</v>
      </c>
      <c r="V705" s="866"/>
      <c r="W705" s="869">
        <v>0</v>
      </c>
      <c r="X705" s="784"/>
    </row>
    <row r="706" spans="1:24" x14ac:dyDescent="0.2">
      <c r="A706" s="873" t="s">
        <v>815</v>
      </c>
      <c r="B706" s="866"/>
      <c r="C706" s="866"/>
      <c r="D706" s="866"/>
      <c r="E706" s="866"/>
      <c r="F706" s="866"/>
      <c r="G706" s="866"/>
      <c r="H706" s="866"/>
      <c r="I706" s="866"/>
      <c r="J706" s="866"/>
      <c r="K706" s="869">
        <v>0</v>
      </c>
      <c r="L706" s="866"/>
      <c r="M706" s="869">
        <v>0</v>
      </c>
      <c r="N706" s="866"/>
      <c r="O706" s="866"/>
      <c r="P706" s="866"/>
      <c r="Q706" s="866"/>
      <c r="R706" s="866"/>
      <c r="S706" s="866"/>
      <c r="T706" s="866"/>
      <c r="U706" s="869">
        <v>0</v>
      </c>
      <c r="V706" s="866"/>
      <c r="W706" s="869">
        <v>0</v>
      </c>
      <c r="X706" s="784"/>
    </row>
    <row r="707" spans="1:24" x14ac:dyDescent="0.2">
      <c r="A707" s="873" t="s">
        <v>816</v>
      </c>
      <c r="B707" s="866"/>
      <c r="C707" s="866"/>
      <c r="D707" s="866"/>
      <c r="E707" s="866"/>
      <c r="F707" s="866"/>
      <c r="G707" s="866"/>
      <c r="H707" s="866"/>
      <c r="I707" s="866"/>
      <c r="J707" s="866"/>
      <c r="K707" s="869">
        <v>0</v>
      </c>
      <c r="L707" s="866"/>
      <c r="M707" s="869">
        <v>0</v>
      </c>
      <c r="N707" s="866"/>
      <c r="O707" s="866"/>
      <c r="P707" s="866"/>
      <c r="Q707" s="866"/>
      <c r="R707" s="866"/>
      <c r="S707" s="866"/>
      <c r="T707" s="866"/>
      <c r="U707" s="869">
        <v>0</v>
      </c>
      <c r="V707" s="866"/>
      <c r="W707" s="869">
        <v>0</v>
      </c>
      <c r="X707" s="784"/>
    </row>
    <row r="708" spans="1:24" x14ac:dyDescent="0.2">
      <c r="A708" s="873" t="s">
        <v>817</v>
      </c>
      <c r="B708" s="866"/>
      <c r="C708" s="866"/>
      <c r="D708" s="866"/>
      <c r="E708" s="866"/>
      <c r="F708" s="866"/>
      <c r="G708" s="866"/>
      <c r="H708" s="866"/>
      <c r="I708" s="866"/>
      <c r="J708" s="866"/>
      <c r="K708" s="869">
        <v>0</v>
      </c>
      <c r="L708" s="866"/>
      <c r="M708" s="869">
        <v>0</v>
      </c>
      <c r="N708" s="866"/>
      <c r="O708" s="866"/>
      <c r="P708" s="866"/>
      <c r="Q708" s="866"/>
      <c r="R708" s="866"/>
      <c r="S708" s="866"/>
      <c r="T708" s="866"/>
      <c r="U708" s="869">
        <v>0</v>
      </c>
      <c r="V708" s="866"/>
      <c r="W708" s="869">
        <v>0</v>
      </c>
      <c r="X708" s="784"/>
    </row>
    <row r="709" spans="1:24" x14ac:dyDescent="0.2">
      <c r="A709" s="873" t="s">
        <v>818</v>
      </c>
      <c r="B709" s="866"/>
      <c r="C709" s="866"/>
      <c r="D709" s="866"/>
      <c r="E709" s="866"/>
      <c r="F709" s="866"/>
      <c r="G709" s="866"/>
      <c r="H709" s="866"/>
      <c r="I709" s="866"/>
      <c r="J709" s="866"/>
      <c r="K709" s="869">
        <v>0</v>
      </c>
      <c r="L709" s="866"/>
      <c r="M709" s="869">
        <v>0</v>
      </c>
      <c r="N709" s="866"/>
      <c r="O709" s="866"/>
      <c r="P709" s="866"/>
      <c r="Q709" s="866"/>
      <c r="R709" s="866"/>
      <c r="S709" s="866"/>
      <c r="T709" s="866"/>
      <c r="U709" s="869">
        <v>0</v>
      </c>
      <c r="V709" s="866"/>
      <c r="W709" s="869">
        <v>0</v>
      </c>
      <c r="X709" s="784"/>
    </row>
    <row r="710" spans="1:24" x14ac:dyDescent="0.2">
      <c r="A710" s="873" t="s">
        <v>819</v>
      </c>
      <c r="B710" s="866"/>
      <c r="C710" s="866"/>
      <c r="D710" s="866"/>
      <c r="E710" s="866"/>
      <c r="F710" s="866"/>
      <c r="G710" s="866"/>
      <c r="H710" s="866"/>
      <c r="I710" s="866"/>
      <c r="J710" s="866"/>
      <c r="K710" s="869">
        <v>0</v>
      </c>
      <c r="L710" s="866"/>
      <c r="M710" s="869">
        <v>0</v>
      </c>
      <c r="N710" s="866"/>
      <c r="O710" s="866"/>
      <c r="P710" s="866"/>
      <c r="Q710" s="866"/>
      <c r="R710" s="866"/>
      <c r="S710" s="866"/>
      <c r="T710" s="866"/>
      <c r="U710" s="869">
        <v>0</v>
      </c>
      <c r="V710" s="866"/>
      <c r="W710" s="869">
        <v>0</v>
      </c>
      <c r="X710" s="784"/>
    </row>
    <row r="711" spans="1:24" x14ac:dyDescent="0.2">
      <c r="A711" s="873" t="s">
        <v>820</v>
      </c>
      <c r="B711" s="866"/>
      <c r="C711" s="866"/>
      <c r="D711" s="869">
        <v>171</v>
      </c>
      <c r="E711" s="866"/>
      <c r="F711" s="866"/>
      <c r="G711" s="866"/>
      <c r="H711" s="866"/>
      <c r="I711" s="866"/>
      <c r="J711" s="866"/>
      <c r="K711" s="869">
        <v>171</v>
      </c>
      <c r="L711" s="871">
        <v>858683</v>
      </c>
      <c r="M711" s="869">
        <v>0</v>
      </c>
      <c r="N711" s="866"/>
      <c r="O711" s="869">
        <v>190</v>
      </c>
      <c r="P711" s="866"/>
      <c r="Q711" s="866"/>
      <c r="R711" s="866"/>
      <c r="S711" s="866"/>
      <c r="T711" s="866"/>
      <c r="U711" s="869">
        <v>0</v>
      </c>
      <c r="V711" s="866"/>
      <c r="W711" s="871">
        <v>1200000</v>
      </c>
      <c r="X711" s="784"/>
    </row>
    <row r="712" spans="1:24" x14ac:dyDescent="0.2">
      <c r="A712" s="875" t="s">
        <v>21</v>
      </c>
      <c r="B712" s="876">
        <v>548</v>
      </c>
      <c r="C712" s="868"/>
      <c r="D712" s="868"/>
      <c r="E712" s="868"/>
      <c r="F712" s="868"/>
      <c r="G712" s="868"/>
      <c r="H712" s="868"/>
      <c r="I712" s="868"/>
      <c r="J712" s="868"/>
      <c r="K712" s="876">
        <v>719</v>
      </c>
      <c r="L712" s="877">
        <v>27882920.719999999</v>
      </c>
      <c r="M712" s="876">
        <v>548</v>
      </c>
      <c r="N712" s="868"/>
      <c r="O712" s="876">
        <v>190</v>
      </c>
      <c r="P712" s="868"/>
      <c r="Q712" s="868"/>
      <c r="R712" s="868"/>
      <c r="S712" s="868"/>
      <c r="T712" s="868"/>
      <c r="U712" s="876">
        <v>548</v>
      </c>
      <c r="V712" s="868"/>
      <c r="W712" s="877">
        <v>28224237.719999999</v>
      </c>
      <c r="X712" s="784"/>
    </row>
    <row r="713" spans="1:24" x14ac:dyDescent="0.2">
      <c r="A713" s="1357" t="s">
        <v>279</v>
      </c>
      <c r="B713" s="1358"/>
      <c r="C713" s="1358"/>
      <c r="D713" s="1358"/>
      <c r="E713" s="1358"/>
      <c r="F713" s="1358"/>
      <c r="G713" s="1358"/>
      <c r="H713" s="1358"/>
      <c r="I713" s="1358"/>
      <c r="J713" s="10"/>
      <c r="K713" s="10"/>
      <c r="L713" s="10"/>
      <c r="M713" s="10"/>
      <c r="N713" s="10"/>
      <c r="O713" s="10"/>
      <c r="P713" s="85"/>
      <c r="Q713" s="85"/>
      <c r="R713" s="232"/>
      <c r="S713" s="232"/>
      <c r="T713" s="85"/>
      <c r="U713" s="85"/>
      <c r="V713" s="85"/>
      <c r="W713" s="85"/>
      <c r="X713" s="784"/>
    </row>
    <row r="714" spans="1:24" x14ac:dyDescent="0.2">
      <c r="A714" s="1359" t="s">
        <v>273</v>
      </c>
      <c r="B714" s="1358"/>
      <c r="C714" s="1358"/>
      <c r="D714" s="1358"/>
      <c r="E714" s="1358"/>
      <c r="F714" s="1358"/>
      <c r="G714" s="1358"/>
      <c r="H714" s="1358"/>
      <c r="I714" s="85"/>
      <c r="J714" s="85"/>
      <c r="K714" s="85"/>
      <c r="L714" s="85"/>
      <c r="M714" s="85"/>
      <c r="N714" s="85"/>
      <c r="O714" s="85"/>
      <c r="P714" s="85"/>
      <c r="Q714" s="85"/>
      <c r="R714" s="232"/>
      <c r="S714" s="232"/>
      <c r="T714" s="232"/>
      <c r="U714" s="232"/>
      <c r="V714" s="85"/>
      <c r="W714" s="85"/>
      <c r="X714" s="784"/>
    </row>
    <row r="715" spans="1:24" x14ac:dyDescent="0.2">
      <c r="A715" s="85" t="s">
        <v>857</v>
      </c>
      <c r="B715" s="85"/>
      <c r="C715" s="85"/>
      <c r="D715" s="85"/>
      <c r="E715" s="85"/>
      <c r="F715" s="85"/>
      <c r="G715" s="85"/>
      <c r="H715" s="85"/>
      <c r="I715" s="85"/>
      <c r="J715" s="85"/>
      <c r="K715" s="85"/>
      <c r="L715" s="85"/>
      <c r="M715" s="85"/>
      <c r="N715" s="85"/>
      <c r="O715" s="85"/>
      <c r="P715" s="85"/>
      <c r="Q715" s="85"/>
      <c r="R715" s="232"/>
      <c r="S715" s="232"/>
      <c r="T715" s="232"/>
      <c r="U715" s="232"/>
      <c r="V715" s="85"/>
      <c r="W715" s="85"/>
      <c r="X715" s="784"/>
    </row>
    <row r="716" spans="1:24" x14ac:dyDescent="0.2">
      <c r="A716" s="85" t="s">
        <v>284</v>
      </c>
      <c r="B716" s="85"/>
      <c r="C716" s="85"/>
      <c r="D716" s="85"/>
      <c r="E716" s="85"/>
      <c r="F716" s="85"/>
      <c r="G716" s="85"/>
      <c r="H716" s="85"/>
      <c r="I716" s="85"/>
      <c r="J716" s="85"/>
      <c r="K716" s="85"/>
      <c r="L716" s="85"/>
      <c r="M716" s="85"/>
      <c r="N716" s="85"/>
      <c r="O716" s="85"/>
      <c r="P716" s="85"/>
      <c r="Q716" s="85"/>
      <c r="R716" s="85"/>
      <c r="S716" s="85"/>
      <c r="T716" s="85"/>
      <c r="U716" s="85"/>
      <c r="V716" s="85"/>
      <c r="W716" s="85"/>
      <c r="X716" s="784"/>
    </row>
    <row r="717" spans="1:24" x14ac:dyDescent="0.2">
      <c r="A717" s="854"/>
      <c r="B717" s="854"/>
      <c r="C717" s="854"/>
      <c r="D717" s="854"/>
      <c r="E717" s="854"/>
      <c r="F717" s="854"/>
      <c r="G717" s="854"/>
      <c r="H717" s="854"/>
      <c r="I717" s="854"/>
      <c r="J717" s="854"/>
      <c r="K717" s="854"/>
      <c r="L717" s="854"/>
      <c r="M717" s="854"/>
      <c r="N717" s="854"/>
      <c r="O717" s="854"/>
      <c r="P717" s="854"/>
      <c r="Q717" s="854"/>
      <c r="R717" s="854"/>
      <c r="S717" s="854"/>
      <c r="T717" s="854"/>
      <c r="U717" s="854"/>
      <c r="V717" s="854"/>
      <c r="W717" s="854"/>
      <c r="X717" s="784"/>
    </row>
    <row r="718" spans="1:24" ht="15.75" x14ac:dyDescent="0.2">
      <c r="A718" s="780" t="s">
        <v>376</v>
      </c>
      <c r="B718" s="781"/>
      <c r="C718" s="781"/>
      <c r="D718" s="781"/>
      <c r="E718" s="781"/>
      <c r="F718" s="781"/>
      <c r="G718" s="781"/>
      <c r="H718" s="781"/>
      <c r="I718" s="781"/>
      <c r="J718" s="781"/>
      <c r="K718" s="781"/>
      <c r="L718" s="781"/>
      <c r="M718" s="781"/>
      <c r="N718" s="781"/>
      <c r="O718" s="781"/>
      <c r="P718" s="781"/>
      <c r="Q718" s="781"/>
      <c r="R718" s="781"/>
      <c r="S718" s="781"/>
      <c r="T718" s="781"/>
      <c r="U718" s="781"/>
      <c r="V718" s="781"/>
      <c r="W718" s="781"/>
      <c r="X718" s="784"/>
    </row>
    <row r="719" spans="1:24" ht="15.75" x14ac:dyDescent="0.2">
      <c r="A719" s="780" t="s">
        <v>858</v>
      </c>
      <c r="B719" s="781"/>
      <c r="C719" s="781"/>
      <c r="D719" s="781"/>
      <c r="E719" s="781"/>
      <c r="F719" s="781"/>
      <c r="G719" s="781"/>
      <c r="H719" s="781"/>
      <c r="I719" s="781"/>
      <c r="J719" s="781"/>
      <c r="K719" s="781"/>
      <c r="L719" s="781"/>
      <c r="M719" s="781"/>
      <c r="N719" s="781"/>
      <c r="O719" s="781"/>
      <c r="P719" s="781"/>
      <c r="Q719" s="781"/>
      <c r="R719" s="781"/>
      <c r="S719" s="781"/>
      <c r="T719" s="781"/>
      <c r="U719" s="781"/>
      <c r="V719" s="781"/>
      <c r="W719" s="781"/>
      <c r="X719" s="784"/>
    </row>
    <row r="720" spans="1:24" ht="15.75" x14ac:dyDescent="0.25">
      <c r="A720" s="164" t="s">
        <v>315</v>
      </c>
      <c r="B720" s="73"/>
      <c r="C720" s="73"/>
      <c r="D720" s="73"/>
      <c r="E720" s="73"/>
      <c r="F720" s="73"/>
      <c r="G720" s="73"/>
      <c r="H720" s="73"/>
      <c r="I720" s="73"/>
      <c r="J720" s="73"/>
      <c r="K720" s="73"/>
      <c r="L720" s="73"/>
      <c r="M720" s="73"/>
      <c r="N720" s="73"/>
      <c r="O720" s="73"/>
      <c r="P720" s="73"/>
      <c r="Q720" s="73"/>
      <c r="R720" s="73"/>
      <c r="S720" s="73"/>
      <c r="T720" s="73"/>
      <c r="U720" s="73"/>
      <c r="V720" s="73"/>
      <c r="W720" s="73"/>
      <c r="X720" s="784"/>
    </row>
    <row r="721" spans="1:24" ht="13.5" thickBot="1" x14ac:dyDescent="0.25">
      <c r="L721" s="783"/>
      <c r="W721" s="783"/>
      <c r="X721" s="784"/>
    </row>
    <row r="722" spans="1:24" x14ac:dyDescent="0.2">
      <c r="A722" s="785" t="s">
        <v>10</v>
      </c>
      <c r="B722" s="1345" t="s">
        <v>419</v>
      </c>
      <c r="C722" s="1346"/>
      <c r="D722" s="1346"/>
      <c r="E722" s="1346"/>
      <c r="F722" s="1346"/>
      <c r="G722" s="1346"/>
      <c r="H722" s="1346"/>
      <c r="I722" s="1346"/>
      <c r="J722" s="1346"/>
      <c r="K722" s="1346"/>
      <c r="L722" s="1347"/>
      <c r="M722" s="1345" t="s">
        <v>420</v>
      </c>
      <c r="N722" s="1346"/>
      <c r="O722" s="1346"/>
      <c r="P722" s="1346"/>
      <c r="Q722" s="1346"/>
      <c r="R722" s="1346"/>
      <c r="S722" s="1346"/>
      <c r="T722" s="1346"/>
      <c r="U722" s="1346"/>
      <c r="V722" s="1346"/>
      <c r="W722" s="1347"/>
      <c r="X722" s="784"/>
    </row>
    <row r="723" spans="1:24" ht="105.75" x14ac:dyDescent="0.2">
      <c r="A723" s="787" t="s">
        <v>9</v>
      </c>
      <c r="B723" s="788" t="s">
        <v>316</v>
      </c>
      <c r="C723" s="788" t="s">
        <v>113</v>
      </c>
      <c r="D723" s="789" t="s">
        <v>272</v>
      </c>
      <c r="E723" s="789" t="s">
        <v>266</v>
      </c>
      <c r="F723" s="789" t="s">
        <v>274</v>
      </c>
      <c r="G723" s="789" t="s">
        <v>275</v>
      </c>
      <c r="H723" s="789" t="s">
        <v>276</v>
      </c>
      <c r="I723" s="789" t="s">
        <v>283</v>
      </c>
      <c r="J723" s="790" t="s">
        <v>278</v>
      </c>
      <c r="K723" s="791" t="s">
        <v>280</v>
      </c>
      <c r="L723" s="792" t="s">
        <v>282</v>
      </c>
      <c r="M723" s="788" t="s">
        <v>316</v>
      </c>
      <c r="N723" s="788" t="s">
        <v>113</v>
      </c>
      <c r="O723" s="789" t="s">
        <v>272</v>
      </c>
      <c r="P723" s="789" t="s">
        <v>266</v>
      </c>
      <c r="Q723" s="789" t="s">
        <v>274</v>
      </c>
      <c r="R723" s="789" t="s">
        <v>275</v>
      </c>
      <c r="S723" s="789" t="s">
        <v>276</v>
      </c>
      <c r="T723" s="789" t="s">
        <v>283</v>
      </c>
      <c r="U723" s="790" t="s">
        <v>278</v>
      </c>
      <c r="V723" s="791" t="s">
        <v>280</v>
      </c>
      <c r="W723" s="792" t="s">
        <v>281</v>
      </c>
      <c r="X723" s="784"/>
    </row>
    <row r="724" spans="1:24" x14ac:dyDescent="0.2">
      <c r="A724" s="795"/>
      <c r="L724" s="796"/>
      <c r="W724" s="796"/>
      <c r="X724" s="784"/>
    </row>
    <row r="725" spans="1:24" x14ac:dyDescent="0.2">
      <c r="A725" s="797" t="s">
        <v>7</v>
      </c>
      <c r="B725" s="835"/>
      <c r="C725" s="835"/>
      <c r="D725" s="835"/>
      <c r="E725" s="835"/>
      <c r="F725" s="835"/>
      <c r="G725" s="835"/>
      <c r="H725" s="835"/>
      <c r="I725" s="835"/>
      <c r="J725" s="835"/>
      <c r="K725" s="835"/>
      <c r="L725" s="878"/>
      <c r="M725" s="835"/>
      <c r="N725" s="835"/>
      <c r="O725" s="835"/>
      <c r="P725" s="835"/>
      <c r="Q725" s="835"/>
      <c r="R725" s="835"/>
      <c r="S725" s="835"/>
      <c r="T725" s="835"/>
      <c r="U725" s="835"/>
      <c r="V725" s="835"/>
      <c r="W725" s="878"/>
      <c r="X725" s="784"/>
    </row>
    <row r="726" spans="1:24" x14ac:dyDescent="0.2">
      <c r="A726" s="795" t="s">
        <v>3</v>
      </c>
      <c r="L726" s="796"/>
      <c r="W726" s="796"/>
      <c r="X726" s="784"/>
    </row>
    <row r="727" spans="1:24" x14ac:dyDescent="0.2">
      <c r="A727" s="795" t="s">
        <v>579</v>
      </c>
      <c r="D727" s="17">
        <v>1</v>
      </c>
      <c r="L727" s="796">
        <v>132600</v>
      </c>
      <c r="O727" s="17">
        <v>1</v>
      </c>
      <c r="W727" s="796">
        <v>132600</v>
      </c>
      <c r="X727" s="784"/>
    </row>
    <row r="728" spans="1:24" x14ac:dyDescent="0.2">
      <c r="A728" s="795" t="s">
        <v>730</v>
      </c>
      <c r="L728" s="796"/>
      <c r="W728" s="796"/>
      <c r="X728" s="784"/>
    </row>
    <row r="729" spans="1:24" x14ac:dyDescent="0.2">
      <c r="A729" s="795" t="s">
        <v>730</v>
      </c>
      <c r="L729" s="796"/>
      <c r="W729" s="796"/>
      <c r="X729" s="784"/>
    </row>
    <row r="730" spans="1:24" x14ac:dyDescent="0.2">
      <c r="A730" s="795" t="s">
        <v>730</v>
      </c>
      <c r="L730" s="796"/>
      <c r="W730" s="796"/>
      <c r="X730" s="784"/>
    </row>
    <row r="731" spans="1:24" x14ac:dyDescent="0.2">
      <c r="A731" s="795" t="s">
        <v>12</v>
      </c>
      <c r="L731" s="796"/>
      <c r="W731" s="796"/>
      <c r="X731" s="784"/>
    </row>
    <row r="732" spans="1:24" x14ac:dyDescent="0.2">
      <c r="A732" s="804"/>
      <c r="L732" s="796"/>
      <c r="W732" s="796"/>
      <c r="X732" s="784"/>
    </row>
    <row r="733" spans="1:24" x14ac:dyDescent="0.2">
      <c r="A733" s="797" t="s">
        <v>4</v>
      </c>
      <c r="B733" s="835"/>
      <c r="C733" s="835"/>
      <c r="D733" s="835"/>
      <c r="E733" s="835"/>
      <c r="F733" s="835"/>
      <c r="G733" s="835"/>
      <c r="H733" s="835"/>
      <c r="I733" s="835"/>
      <c r="J733" s="835"/>
      <c r="K733" s="835"/>
      <c r="L733" s="878"/>
      <c r="M733" s="835"/>
      <c r="N733" s="835"/>
      <c r="O733" s="835"/>
      <c r="P733" s="835"/>
      <c r="Q733" s="835"/>
      <c r="R733" s="835"/>
      <c r="S733" s="835"/>
      <c r="T733" s="835"/>
      <c r="U733" s="835"/>
      <c r="V733" s="835"/>
      <c r="W733" s="878"/>
      <c r="X733" s="784"/>
    </row>
    <row r="734" spans="1:24" x14ac:dyDescent="0.2">
      <c r="A734" s="795" t="s">
        <v>13</v>
      </c>
      <c r="L734" s="796"/>
      <c r="W734" s="796"/>
      <c r="X734" s="784"/>
    </row>
    <row r="735" spans="1:24" x14ac:dyDescent="0.2">
      <c r="A735" s="795" t="s">
        <v>859</v>
      </c>
      <c r="B735" s="17">
        <v>8</v>
      </c>
      <c r="L735" s="796">
        <v>775930.52</v>
      </c>
      <c r="M735" s="17">
        <f>8+6</f>
        <v>14</v>
      </c>
      <c r="W735" s="796">
        <f>775930.52+427604.78</f>
        <v>1203535.3</v>
      </c>
      <c r="X735" s="784"/>
    </row>
    <row r="736" spans="1:24" x14ac:dyDescent="0.2">
      <c r="A736" s="795" t="s">
        <v>860</v>
      </c>
      <c r="B736" s="17">
        <v>3</v>
      </c>
      <c r="L736" s="796">
        <v>181104.36</v>
      </c>
      <c r="M736" s="17">
        <v>3</v>
      </c>
      <c r="W736" s="796">
        <v>181104.36</v>
      </c>
      <c r="X736" s="784"/>
    </row>
    <row r="737" spans="1:24" x14ac:dyDescent="0.2">
      <c r="A737" s="795" t="s">
        <v>769</v>
      </c>
      <c r="B737" s="17">
        <v>23</v>
      </c>
      <c r="L737" s="796">
        <v>1360859.36</v>
      </c>
      <c r="M737" s="17">
        <f>23+4</f>
        <v>27</v>
      </c>
      <c r="W737" s="796">
        <f>1360859.36+173901.76</f>
        <v>1534761.12</v>
      </c>
      <c r="X737" s="784"/>
    </row>
    <row r="738" spans="1:24" x14ac:dyDescent="0.2">
      <c r="A738" s="795" t="s">
        <v>773</v>
      </c>
      <c r="B738" s="17">
        <v>11</v>
      </c>
      <c r="L738" s="796">
        <v>627399.07999999996</v>
      </c>
      <c r="M738" s="17">
        <f>11+2</f>
        <v>13</v>
      </c>
      <c r="W738" s="796">
        <f>627399.08+86950.88</f>
        <v>714349.96</v>
      </c>
      <c r="X738" s="784"/>
    </row>
    <row r="739" spans="1:24" x14ac:dyDescent="0.2">
      <c r="A739" s="795" t="s">
        <v>861</v>
      </c>
      <c r="B739" s="17">
        <v>1</v>
      </c>
      <c r="L739" s="796">
        <v>53839.6</v>
      </c>
      <c r="M739" s="17">
        <v>1</v>
      </c>
      <c r="W739" s="796">
        <v>53839.6</v>
      </c>
      <c r="X739" s="784"/>
    </row>
    <row r="740" spans="1:24" x14ac:dyDescent="0.2">
      <c r="A740" s="795" t="s">
        <v>850</v>
      </c>
      <c r="B740" s="17">
        <v>12</v>
      </c>
      <c r="L740" s="796">
        <v>683143.56</v>
      </c>
      <c r="M740" s="17">
        <v>12</v>
      </c>
      <c r="W740" s="796">
        <v>683143.56</v>
      </c>
      <c r="X740" s="784"/>
    </row>
    <row r="741" spans="1:24" x14ac:dyDescent="0.2">
      <c r="A741" s="795" t="s">
        <v>862</v>
      </c>
      <c r="L741" s="796"/>
      <c r="W741" s="796"/>
      <c r="X741" s="784"/>
    </row>
    <row r="742" spans="1:24" x14ac:dyDescent="0.2">
      <c r="A742" s="795" t="s">
        <v>14</v>
      </c>
      <c r="L742" s="796"/>
      <c r="W742" s="796"/>
      <c r="X742" s="784"/>
    </row>
    <row r="743" spans="1:24" x14ac:dyDescent="0.2">
      <c r="A743" s="795"/>
      <c r="L743" s="796"/>
      <c r="W743" s="796"/>
      <c r="X743" s="784"/>
    </row>
    <row r="744" spans="1:24" x14ac:dyDescent="0.2">
      <c r="A744" s="797" t="s">
        <v>5</v>
      </c>
      <c r="B744" s="835"/>
      <c r="C744" s="835"/>
      <c r="D744" s="835"/>
      <c r="E744" s="835"/>
      <c r="F744" s="835"/>
      <c r="G744" s="835"/>
      <c r="H744" s="835"/>
      <c r="I744" s="835"/>
      <c r="J744" s="835"/>
      <c r="K744" s="835"/>
      <c r="L744" s="878"/>
      <c r="M744" s="835"/>
      <c r="N744" s="835"/>
      <c r="O744" s="835"/>
      <c r="P744" s="835"/>
      <c r="Q744" s="835"/>
      <c r="R744" s="835"/>
      <c r="S744" s="835"/>
      <c r="T744" s="835"/>
      <c r="U744" s="835"/>
      <c r="V744" s="835"/>
      <c r="W744" s="878"/>
      <c r="X744" s="784"/>
    </row>
    <row r="745" spans="1:24" x14ac:dyDescent="0.2">
      <c r="A745" s="795" t="s">
        <v>15</v>
      </c>
      <c r="L745" s="796"/>
      <c r="W745" s="796"/>
      <c r="X745" s="784"/>
    </row>
    <row r="746" spans="1:24" x14ac:dyDescent="0.2">
      <c r="A746" s="795" t="s">
        <v>589</v>
      </c>
      <c r="B746" s="17">
        <v>40</v>
      </c>
      <c r="L746" s="796">
        <v>1314416.32</v>
      </c>
      <c r="M746" s="17">
        <f>40+1</f>
        <v>41</v>
      </c>
      <c r="W746" s="796">
        <f>1314416.32+27267.76</f>
        <v>1341684.08</v>
      </c>
      <c r="X746" s="784"/>
    </row>
    <row r="747" spans="1:24" x14ac:dyDescent="0.2">
      <c r="A747" s="795" t="s">
        <v>730</v>
      </c>
      <c r="L747" s="796"/>
      <c r="W747" s="796"/>
      <c r="X747" s="784"/>
    </row>
    <row r="748" spans="1:24" x14ac:dyDescent="0.2">
      <c r="A748" s="795" t="s">
        <v>643</v>
      </c>
      <c r="L748" s="796"/>
      <c r="W748" s="796"/>
      <c r="X748" s="784"/>
    </row>
    <row r="749" spans="1:24" x14ac:dyDescent="0.2">
      <c r="A749" s="795"/>
      <c r="L749" s="796"/>
      <c r="W749" s="796"/>
      <c r="X749" s="784"/>
    </row>
    <row r="750" spans="1:24" x14ac:dyDescent="0.2">
      <c r="A750" s="797" t="s">
        <v>6</v>
      </c>
      <c r="B750" s="835"/>
      <c r="C750" s="835"/>
      <c r="D750" s="835"/>
      <c r="E750" s="835"/>
      <c r="F750" s="835"/>
      <c r="G750" s="835"/>
      <c r="H750" s="835"/>
      <c r="I750" s="835"/>
      <c r="J750" s="835"/>
      <c r="K750" s="835"/>
      <c r="L750" s="878"/>
      <c r="M750" s="835"/>
      <c r="N750" s="835"/>
      <c r="O750" s="835"/>
      <c r="P750" s="835"/>
      <c r="Q750" s="835"/>
      <c r="R750" s="835"/>
      <c r="S750" s="835"/>
      <c r="T750" s="835"/>
      <c r="U750" s="835"/>
      <c r="V750" s="835"/>
      <c r="W750" s="878"/>
      <c r="X750" s="784"/>
    </row>
    <row r="751" spans="1:24" x14ac:dyDescent="0.2">
      <c r="A751" s="795" t="s">
        <v>16</v>
      </c>
      <c r="L751" s="796"/>
      <c r="W751" s="796"/>
      <c r="X751" s="784"/>
    </row>
    <row r="752" spans="1:24" x14ac:dyDescent="0.2">
      <c r="A752" s="795" t="s">
        <v>646</v>
      </c>
      <c r="B752" s="17">
        <v>4</v>
      </c>
      <c r="L752" s="796">
        <v>130911.03999999999</v>
      </c>
      <c r="M752" s="17">
        <f>4+1</f>
        <v>5</v>
      </c>
      <c r="W752" s="796">
        <f>130911.04+26924.8</f>
        <v>157835.84</v>
      </c>
      <c r="X752" s="784"/>
    </row>
    <row r="753" spans="1:24" x14ac:dyDescent="0.2">
      <c r="A753" s="795" t="s">
        <v>730</v>
      </c>
      <c r="L753" s="796"/>
      <c r="W753" s="796"/>
      <c r="X753" s="784"/>
    </row>
    <row r="754" spans="1:24" x14ac:dyDescent="0.2">
      <c r="A754" s="795" t="s">
        <v>645</v>
      </c>
      <c r="L754" s="796"/>
      <c r="W754" s="796"/>
      <c r="X754" s="784"/>
    </row>
    <row r="755" spans="1:24" x14ac:dyDescent="0.2">
      <c r="A755" s="795"/>
      <c r="L755" s="796"/>
      <c r="W755" s="796"/>
      <c r="X755" s="784"/>
    </row>
    <row r="756" spans="1:24" ht="13.5" thickBot="1" x14ac:dyDescent="0.25">
      <c r="A756" s="797" t="s">
        <v>80</v>
      </c>
      <c r="B756" s="835"/>
      <c r="C756" s="835"/>
      <c r="D756" s="835">
        <v>314</v>
      </c>
      <c r="E756" s="835"/>
      <c r="F756" s="835"/>
      <c r="G756" s="835"/>
      <c r="H756" s="835"/>
      <c r="I756" s="835"/>
      <c r="J756" s="835"/>
      <c r="K756" s="835"/>
      <c r="L756" s="878">
        <v>10566217.614000002</v>
      </c>
      <c r="M756" s="835"/>
      <c r="N756" s="835"/>
      <c r="O756" s="835">
        <v>325</v>
      </c>
      <c r="P756" s="835"/>
      <c r="Q756" s="835"/>
      <c r="R756" s="835"/>
      <c r="S756" s="835"/>
      <c r="T756" s="835"/>
      <c r="U756" s="835"/>
      <c r="V756" s="835"/>
      <c r="W756" s="878">
        <v>10796425.614000002</v>
      </c>
      <c r="X756" s="784"/>
    </row>
    <row r="757" spans="1:24" ht="13.5" thickBot="1" x14ac:dyDescent="0.25">
      <c r="A757" s="815" t="s">
        <v>21</v>
      </c>
      <c r="B757" s="843">
        <f>SUM(B724:B756)</f>
        <v>102</v>
      </c>
      <c r="C757" s="843">
        <f t="shared" ref="C757:W757" si="65">SUM(C724:C756)</f>
        <v>0</v>
      </c>
      <c r="D757" s="843">
        <f t="shared" si="65"/>
        <v>315</v>
      </c>
      <c r="E757" s="843">
        <f t="shared" si="65"/>
        <v>0</v>
      </c>
      <c r="F757" s="843">
        <f t="shared" si="65"/>
        <v>0</v>
      </c>
      <c r="G757" s="843">
        <f t="shared" si="65"/>
        <v>0</v>
      </c>
      <c r="H757" s="843">
        <f t="shared" si="65"/>
        <v>0</v>
      </c>
      <c r="I757" s="843">
        <f t="shared" si="65"/>
        <v>0</v>
      </c>
      <c r="J757" s="843">
        <f t="shared" si="65"/>
        <v>0</v>
      </c>
      <c r="K757" s="843">
        <f t="shared" si="65"/>
        <v>0</v>
      </c>
      <c r="L757" s="843">
        <f t="shared" si="65"/>
        <v>15826421.454000004</v>
      </c>
      <c r="M757" s="843">
        <f t="shared" si="65"/>
        <v>116</v>
      </c>
      <c r="N757" s="843">
        <f t="shared" si="65"/>
        <v>0</v>
      </c>
      <c r="O757" s="843">
        <f t="shared" si="65"/>
        <v>326</v>
      </c>
      <c r="P757" s="843">
        <f t="shared" si="65"/>
        <v>0</v>
      </c>
      <c r="Q757" s="843">
        <f t="shared" si="65"/>
        <v>0</v>
      </c>
      <c r="R757" s="843">
        <f t="shared" si="65"/>
        <v>0</v>
      </c>
      <c r="S757" s="843">
        <f t="shared" si="65"/>
        <v>0</v>
      </c>
      <c r="T757" s="843">
        <f t="shared" si="65"/>
        <v>0</v>
      </c>
      <c r="U757" s="843">
        <f t="shared" si="65"/>
        <v>0</v>
      </c>
      <c r="V757" s="843">
        <f t="shared" si="65"/>
        <v>0</v>
      </c>
      <c r="W757" s="845">
        <f t="shared" si="65"/>
        <v>16799279.434</v>
      </c>
      <c r="X757" s="784"/>
    </row>
    <row r="758" spans="1:24" x14ac:dyDescent="0.2">
      <c r="A758" s="816" t="s">
        <v>279</v>
      </c>
      <c r="B758" s="817"/>
      <c r="C758" s="817"/>
      <c r="D758" s="817"/>
      <c r="E758" s="817"/>
      <c r="F758" s="817"/>
      <c r="G758" s="817"/>
      <c r="H758" s="817"/>
      <c r="I758" s="817"/>
      <c r="J758" s="817"/>
      <c r="K758" s="817"/>
      <c r="L758" s="817"/>
      <c r="M758" s="817"/>
      <c r="N758" s="817"/>
      <c r="O758" s="817"/>
      <c r="P758" s="85"/>
      <c r="Q758" s="784"/>
      <c r="R758"/>
      <c r="S758"/>
      <c r="T758" s="85"/>
      <c r="U758" s="85"/>
      <c r="V758" s="85"/>
      <c r="W758" s="85"/>
      <c r="X758" s="784"/>
    </row>
    <row r="759" spans="1:24" x14ac:dyDescent="0.2">
      <c r="A759" s="17" t="s">
        <v>273</v>
      </c>
      <c r="P759" s="85"/>
      <c r="Q759" s="784"/>
      <c r="R759"/>
      <c r="S759"/>
      <c r="T759"/>
      <c r="U759"/>
      <c r="V759" s="85"/>
      <c r="W759" s="85"/>
      <c r="X759" s="784"/>
    </row>
    <row r="760" spans="1:24" x14ac:dyDescent="0.2">
      <c r="A760" s="17" t="s">
        <v>277</v>
      </c>
      <c r="P760" s="85"/>
      <c r="Q760" s="784"/>
      <c r="R760"/>
      <c r="S760"/>
      <c r="T760"/>
      <c r="U760"/>
      <c r="V760" s="85"/>
      <c r="W760" s="85"/>
      <c r="X760" s="784"/>
    </row>
    <row r="761" spans="1:24" x14ac:dyDescent="0.2">
      <c r="A761" s="17" t="s">
        <v>284</v>
      </c>
      <c r="X761" s="784"/>
    </row>
    <row r="762" spans="1:24" x14ac:dyDescent="0.2">
      <c r="X762" s="784"/>
    </row>
    <row r="763" spans="1:24" ht="15.75" x14ac:dyDescent="0.2">
      <c r="A763" s="780" t="s">
        <v>376</v>
      </c>
      <c r="B763" s="781"/>
      <c r="C763" s="781"/>
      <c r="D763" s="781"/>
      <c r="E763" s="781"/>
      <c r="F763" s="781"/>
      <c r="G763" s="781"/>
      <c r="H763" s="781"/>
      <c r="I763" s="781"/>
      <c r="J763" s="781"/>
      <c r="K763" s="781"/>
      <c r="L763" s="781"/>
      <c r="M763" s="781"/>
      <c r="N763" s="781"/>
      <c r="O763" s="781"/>
      <c r="P763" s="781"/>
      <c r="Q763" s="781"/>
      <c r="R763" s="781"/>
      <c r="S763" s="781"/>
      <c r="T763" s="781"/>
      <c r="U763" s="781"/>
      <c r="V763" s="781"/>
      <c r="W763" s="879"/>
    </row>
    <row r="764" spans="1:24" ht="15.75" x14ac:dyDescent="0.2">
      <c r="A764" s="780" t="s">
        <v>313</v>
      </c>
      <c r="B764" s="780" t="s">
        <v>863</v>
      </c>
      <c r="C764" s="781"/>
      <c r="D764" s="781"/>
      <c r="E764" s="781"/>
      <c r="F764" s="781"/>
      <c r="G764" s="781"/>
      <c r="H764" s="781"/>
      <c r="I764" s="781"/>
      <c r="J764" s="781"/>
      <c r="K764" s="781"/>
      <c r="L764" s="781"/>
      <c r="M764" s="781"/>
      <c r="N764" s="781"/>
      <c r="O764" s="781"/>
      <c r="P764" s="781"/>
      <c r="Q764" s="781"/>
      <c r="R764" s="781"/>
      <c r="S764" s="781"/>
      <c r="T764" s="781"/>
      <c r="U764" s="781"/>
      <c r="V764" s="781"/>
      <c r="W764" s="879"/>
    </row>
    <row r="765" spans="1:24" ht="15.75" x14ac:dyDescent="0.25">
      <c r="A765" s="880" t="s">
        <v>315</v>
      </c>
      <c r="B765" s="881" t="s">
        <v>864</v>
      </c>
      <c r="C765" s="882"/>
      <c r="D765" s="882"/>
      <c r="E765" s="882"/>
      <c r="F765" s="882"/>
      <c r="G765" s="882"/>
      <c r="H765" s="882"/>
      <c r="I765" s="882"/>
      <c r="J765" s="882"/>
      <c r="K765" s="882"/>
      <c r="L765" s="882"/>
      <c r="M765" s="882"/>
      <c r="N765" s="882"/>
      <c r="O765" s="882"/>
      <c r="P765" s="882"/>
      <c r="Q765" s="882"/>
      <c r="R765" s="882"/>
      <c r="S765" s="882"/>
      <c r="T765" s="882"/>
      <c r="U765" s="882"/>
      <c r="V765" s="882"/>
      <c r="W765" s="883"/>
    </row>
    <row r="766" spans="1:24" ht="13.5" thickBot="1" x14ac:dyDescent="0.25">
      <c r="L766" s="783"/>
      <c r="W766" s="884"/>
    </row>
    <row r="767" spans="1:24" x14ac:dyDescent="0.2">
      <c r="A767" s="785" t="s">
        <v>10</v>
      </c>
      <c r="B767" s="1345" t="s">
        <v>419</v>
      </c>
      <c r="C767" s="1346"/>
      <c r="D767" s="1346"/>
      <c r="E767" s="1346"/>
      <c r="F767" s="1346"/>
      <c r="G767" s="1346"/>
      <c r="H767" s="1346"/>
      <c r="I767" s="1346"/>
      <c r="J767" s="1346"/>
      <c r="K767" s="1346"/>
      <c r="L767" s="1347"/>
      <c r="M767" s="1346" t="s">
        <v>420</v>
      </c>
      <c r="N767" s="1346"/>
      <c r="O767" s="1346"/>
      <c r="P767" s="1346"/>
      <c r="Q767" s="1346"/>
      <c r="R767" s="1346"/>
      <c r="S767" s="1346"/>
      <c r="T767" s="1346"/>
      <c r="U767" s="1346"/>
      <c r="V767" s="1346"/>
      <c r="W767" s="1347"/>
    </row>
    <row r="768" spans="1:24" ht="98.25" x14ac:dyDescent="0.2">
      <c r="A768" s="787" t="s">
        <v>9</v>
      </c>
      <c r="B768" s="885" t="s">
        <v>316</v>
      </c>
      <c r="C768" s="788" t="s">
        <v>113</v>
      </c>
      <c r="D768" s="789" t="s">
        <v>272</v>
      </c>
      <c r="E768" s="789" t="s">
        <v>266</v>
      </c>
      <c r="F768" s="789" t="s">
        <v>274</v>
      </c>
      <c r="G768" s="789" t="s">
        <v>275</v>
      </c>
      <c r="H768" s="789" t="s">
        <v>276</v>
      </c>
      <c r="I768" s="789" t="s">
        <v>283</v>
      </c>
      <c r="J768" s="790" t="s">
        <v>278</v>
      </c>
      <c r="K768" s="791" t="s">
        <v>280</v>
      </c>
      <c r="L768" s="792" t="s">
        <v>282</v>
      </c>
      <c r="M768" s="788" t="s">
        <v>316</v>
      </c>
      <c r="N768" s="788" t="s">
        <v>113</v>
      </c>
      <c r="O768" s="789" t="s">
        <v>272</v>
      </c>
      <c r="P768" s="789" t="s">
        <v>266</v>
      </c>
      <c r="Q768" s="789" t="s">
        <v>274</v>
      </c>
      <c r="R768" s="789" t="s">
        <v>275</v>
      </c>
      <c r="S768" s="789" t="s">
        <v>276</v>
      </c>
      <c r="T768" s="789" t="s">
        <v>283</v>
      </c>
      <c r="U768" s="790" t="s">
        <v>278</v>
      </c>
      <c r="V768" s="791" t="s">
        <v>280</v>
      </c>
      <c r="W768" s="886" t="s">
        <v>281</v>
      </c>
    </row>
    <row r="769" spans="1:23" x14ac:dyDescent="0.2">
      <c r="A769" s="795"/>
      <c r="B769" s="887"/>
      <c r="L769" s="824"/>
      <c r="W769" s="801"/>
    </row>
    <row r="770" spans="1:23" x14ac:dyDescent="0.2">
      <c r="A770" s="797" t="s">
        <v>7</v>
      </c>
      <c r="B770" s="888">
        <f>SUM(B771:B775)</f>
        <v>41</v>
      </c>
      <c r="C770" s="835"/>
      <c r="D770" s="835"/>
      <c r="E770" s="835"/>
      <c r="F770" s="835"/>
      <c r="G770" s="835"/>
      <c r="H770" s="835"/>
      <c r="I770" s="835"/>
      <c r="J770" s="835"/>
      <c r="K770" s="835">
        <f t="shared" ref="K770:K775" si="66">SUM(B770:J770)</f>
        <v>41</v>
      </c>
      <c r="L770" s="889">
        <f>SUM(L771:L777)</f>
        <v>1504602.7999999998</v>
      </c>
      <c r="M770" s="888">
        <f>SUM(M771:M775)</f>
        <v>41</v>
      </c>
      <c r="N770" s="835"/>
      <c r="O770" s="835"/>
      <c r="P770" s="835"/>
      <c r="Q770" s="835"/>
      <c r="R770" s="835"/>
      <c r="S770" s="835"/>
      <c r="T770" s="835"/>
      <c r="U770" s="835"/>
      <c r="V770" s="835">
        <f t="shared" ref="V770:V775" si="67">SUM(M770:U770)</f>
        <v>41</v>
      </c>
      <c r="W770" s="889">
        <f>SUM(W771:W777)</f>
        <v>1775716.18</v>
      </c>
    </row>
    <row r="771" spans="1:23" x14ac:dyDescent="0.2">
      <c r="A771" s="795" t="s">
        <v>578</v>
      </c>
      <c r="B771" s="887">
        <v>1</v>
      </c>
      <c r="K771" s="17">
        <f t="shared" si="66"/>
        <v>1</v>
      </c>
      <c r="L771" s="890">
        <v>29460.52</v>
      </c>
      <c r="M771" s="887">
        <v>1</v>
      </c>
      <c r="V771" s="17">
        <f t="shared" si="67"/>
        <v>1</v>
      </c>
      <c r="W771" s="801">
        <v>33862.480000000003</v>
      </c>
    </row>
    <row r="772" spans="1:23" x14ac:dyDescent="0.2">
      <c r="A772" s="795" t="s">
        <v>579</v>
      </c>
      <c r="B772" s="887">
        <v>2</v>
      </c>
      <c r="K772" s="17">
        <f t="shared" si="66"/>
        <v>2</v>
      </c>
      <c r="L772" s="890">
        <v>57121.04</v>
      </c>
      <c r="M772" s="887">
        <v>2</v>
      </c>
      <c r="V772" s="17">
        <f t="shared" si="67"/>
        <v>2</v>
      </c>
      <c r="W772" s="801">
        <v>65924.960000000006</v>
      </c>
    </row>
    <row r="773" spans="1:23" x14ac:dyDescent="0.2">
      <c r="A773" s="795" t="s">
        <v>580</v>
      </c>
      <c r="B773" s="887">
        <v>10</v>
      </c>
      <c r="K773" s="17">
        <f t="shared" si="66"/>
        <v>10</v>
      </c>
      <c r="L773" s="890">
        <v>278915.20000000001</v>
      </c>
      <c r="M773" s="887">
        <v>10</v>
      </c>
      <c r="V773" s="17">
        <f t="shared" si="67"/>
        <v>10</v>
      </c>
      <c r="W773" s="801">
        <v>322933.5</v>
      </c>
    </row>
    <row r="774" spans="1:23" x14ac:dyDescent="0.2">
      <c r="A774" s="795" t="s">
        <v>581</v>
      </c>
      <c r="B774" s="887">
        <v>8</v>
      </c>
      <c r="K774" s="17">
        <f t="shared" si="66"/>
        <v>8</v>
      </c>
      <c r="L774" s="890">
        <v>211204.16</v>
      </c>
      <c r="M774" s="887">
        <v>8</v>
      </c>
      <c r="V774" s="17">
        <f t="shared" si="67"/>
        <v>8</v>
      </c>
      <c r="W774" s="801">
        <v>246419.68000000002</v>
      </c>
    </row>
    <row r="775" spans="1:23" x14ac:dyDescent="0.2">
      <c r="A775" s="795" t="s">
        <v>12</v>
      </c>
      <c r="B775" s="887">
        <v>20</v>
      </c>
      <c r="K775" s="17">
        <f t="shared" si="66"/>
        <v>20</v>
      </c>
      <c r="L775" s="890">
        <v>521863.99999999994</v>
      </c>
      <c r="M775" s="887">
        <v>20</v>
      </c>
      <c r="V775" s="17">
        <f t="shared" si="67"/>
        <v>20</v>
      </c>
      <c r="W775" s="801">
        <v>609905.39999999991</v>
      </c>
    </row>
    <row r="776" spans="1:23" x14ac:dyDescent="0.2">
      <c r="A776" s="804"/>
      <c r="B776" s="887"/>
      <c r="L776" s="801"/>
      <c r="M776" s="887"/>
      <c r="W776" s="801"/>
    </row>
    <row r="777" spans="1:23" x14ac:dyDescent="0.2">
      <c r="A777" s="797" t="s">
        <v>4</v>
      </c>
      <c r="B777" s="888">
        <f>SUM(B778:B783)</f>
        <v>21</v>
      </c>
      <c r="C777" s="835"/>
      <c r="D777" s="835"/>
      <c r="E777" s="835"/>
      <c r="F777" s="835"/>
      <c r="G777" s="835"/>
      <c r="H777" s="835"/>
      <c r="I777" s="835"/>
      <c r="J777" s="835"/>
      <c r="K777" s="835">
        <f t="shared" ref="K777:K782" si="68">SUM(B777:J777)</f>
        <v>21</v>
      </c>
      <c r="L777" s="889">
        <f>SUM(L778:L783)</f>
        <v>406037.88</v>
      </c>
      <c r="M777" s="888">
        <f>SUM(M778:M783)</f>
        <v>21</v>
      </c>
      <c r="N777" s="835"/>
      <c r="O777" s="835"/>
      <c r="P777" s="835"/>
      <c r="Q777" s="835"/>
      <c r="R777" s="835"/>
      <c r="S777" s="835"/>
      <c r="T777" s="835"/>
      <c r="U777" s="835"/>
      <c r="V777" s="835">
        <f t="shared" ref="V777:V782" si="69">SUM(M777:U777)</f>
        <v>21</v>
      </c>
      <c r="W777" s="889">
        <f>SUM(W778:W783)</f>
        <v>496670.16</v>
      </c>
    </row>
    <row r="778" spans="1:23" x14ac:dyDescent="0.2">
      <c r="A778" s="795" t="s">
        <v>13</v>
      </c>
      <c r="B778" s="887">
        <v>2</v>
      </c>
      <c r="K778" s="17">
        <f t="shared" si="68"/>
        <v>2</v>
      </c>
      <c r="L778" s="801">
        <v>40634.959999999999</v>
      </c>
      <c r="M778" s="887">
        <v>2</v>
      </c>
      <c r="V778" s="17">
        <f t="shared" si="69"/>
        <v>2</v>
      </c>
      <c r="W778" s="801">
        <v>49268.22</v>
      </c>
    </row>
    <row r="779" spans="1:23" x14ac:dyDescent="0.2">
      <c r="A779" s="795" t="s">
        <v>582</v>
      </c>
      <c r="B779" s="887">
        <v>1</v>
      </c>
      <c r="K779" s="17">
        <f t="shared" si="68"/>
        <v>1</v>
      </c>
      <c r="L779" s="801">
        <v>19900.48</v>
      </c>
      <c r="M779" s="887">
        <v>1</v>
      </c>
      <c r="V779" s="17">
        <f t="shared" si="69"/>
        <v>1</v>
      </c>
      <c r="W779" s="801">
        <v>24222.71</v>
      </c>
    </row>
    <row r="780" spans="1:23" x14ac:dyDescent="0.2">
      <c r="A780" s="795" t="s">
        <v>583</v>
      </c>
      <c r="B780" s="887">
        <v>4</v>
      </c>
      <c r="K780" s="17">
        <f t="shared" si="68"/>
        <v>4</v>
      </c>
      <c r="L780" s="801">
        <v>78667.839999999997</v>
      </c>
      <c r="M780" s="887">
        <v>4</v>
      </c>
      <c r="V780" s="17">
        <f t="shared" si="69"/>
        <v>4</v>
      </c>
      <c r="W780" s="801">
        <v>95930.359999999986</v>
      </c>
    </row>
    <row r="781" spans="1:23" x14ac:dyDescent="0.2">
      <c r="A781" s="795" t="s">
        <v>584</v>
      </c>
      <c r="B781" s="887">
        <v>1</v>
      </c>
      <c r="K781" s="17">
        <f t="shared" si="68"/>
        <v>1</v>
      </c>
      <c r="L781" s="801">
        <v>19351</v>
      </c>
      <c r="M781" s="887">
        <v>1</v>
      </c>
      <c r="V781" s="17">
        <f t="shared" si="69"/>
        <v>1</v>
      </c>
      <c r="W781" s="801">
        <v>23666.629999999997</v>
      </c>
    </row>
    <row r="782" spans="1:23" x14ac:dyDescent="0.2">
      <c r="A782" s="795" t="s">
        <v>14</v>
      </c>
      <c r="B782" s="887">
        <v>13</v>
      </c>
      <c r="K782" s="17">
        <f t="shared" si="68"/>
        <v>13</v>
      </c>
      <c r="L782" s="801">
        <v>247483.59999999998</v>
      </c>
      <c r="M782" s="887">
        <v>13</v>
      </c>
      <c r="V782" s="17">
        <f t="shared" si="69"/>
        <v>13</v>
      </c>
      <c r="W782" s="801">
        <v>303582.24</v>
      </c>
    </row>
    <row r="783" spans="1:23" x14ac:dyDescent="0.2">
      <c r="A783" s="795"/>
      <c r="B783" s="887"/>
      <c r="L783" s="801"/>
      <c r="M783" s="887"/>
      <c r="W783" s="801"/>
    </row>
    <row r="784" spans="1:23" x14ac:dyDescent="0.2">
      <c r="A784" s="797" t="s">
        <v>5</v>
      </c>
      <c r="B784" s="888">
        <f>SUM(B785:B788)</f>
        <v>127</v>
      </c>
      <c r="C784" s="835"/>
      <c r="D784" s="835"/>
      <c r="E784" s="835"/>
      <c r="F784" s="835"/>
      <c r="G784" s="835"/>
      <c r="H784" s="835"/>
      <c r="I784" s="835"/>
      <c r="J784" s="835"/>
      <c r="K784" s="835">
        <f>SUM(B784:J784)</f>
        <v>127</v>
      </c>
      <c r="L784" s="889">
        <f>SUM(L785:L787)</f>
        <v>2275157.0499999998</v>
      </c>
      <c r="M784" s="888">
        <f>SUM(M785:M788)</f>
        <v>103</v>
      </c>
      <c r="N784" s="835"/>
      <c r="O784" s="835"/>
      <c r="P784" s="835"/>
      <c r="Q784" s="835"/>
      <c r="R784" s="835"/>
      <c r="S784" s="835"/>
      <c r="T784" s="835"/>
      <c r="U784" s="835"/>
      <c r="V784" s="835">
        <f>SUM(M784:U784)</f>
        <v>103</v>
      </c>
      <c r="W784" s="889">
        <f>SUM(W785:W787)</f>
        <v>2831688.32</v>
      </c>
    </row>
    <row r="785" spans="1:23" x14ac:dyDescent="0.2">
      <c r="A785" s="795" t="s">
        <v>15</v>
      </c>
      <c r="B785" s="887">
        <v>119</v>
      </c>
      <c r="K785" s="17">
        <f>SUM(B785:J785)</f>
        <v>119</v>
      </c>
      <c r="L785" s="801">
        <v>2132769.17</v>
      </c>
      <c r="M785" s="887">
        <v>95</v>
      </c>
      <c r="V785" s="17">
        <f>SUM(M785:U785)</f>
        <v>95</v>
      </c>
      <c r="W785" s="801">
        <v>2654242.6399999997</v>
      </c>
    </row>
    <row r="786" spans="1:23" x14ac:dyDescent="0.2">
      <c r="A786" s="795" t="s">
        <v>586</v>
      </c>
      <c r="B786" s="887">
        <v>6</v>
      </c>
      <c r="K786" s="17">
        <f>SUM(B786:J786)</f>
        <v>6</v>
      </c>
      <c r="L786" s="801">
        <v>106929.42</v>
      </c>
      <c r="M786" s="887">
        <v>6</v>
      </c>
      <c r="V786" s="17">
        <f>SUM(M786:U786)</f>
        <v>6</v>
      </c>
      <c r="W786" s="801">
        <v>133222.49999999997</v>
      </c>
    </row>
    <row r="787" spans="1:23" x14ac:dyDescent="0.2">
      <c r="A787" s="795" t="s">
        <v>587</v>
      </c>
      <c r="B787" s="887">
        <v>2</v>
      </c>
      <c r="K787" s="17">
        <f>SUM(B787:J787)</f>
        <v>2</v>
      </c>
      <c r="L787" s="801">
        <v>35458.46</v>
      </c>
      <c r="M787" s="887">
        <v>2</v>
      </c>
      <c r="V787" s="17">
        <f>SUM(M787:U787)</f>
        <v>2</v>
      </c>
      <c r="W787" s="801">
        <v>44223.179999999993</v>
      </c>
    </row>
    <row r="788" spans="1:23" x14ac:dyDescent="0.2">
      <c r="A788" s="795"/>
      <c r="B788" s="887"/>
      <c r="L788" s="801"/>
      <c r="M788" s="887"/>
      <c r="W788" s="801"/>
    </row>
    <row r="789" spans="1:23" x14ac:dyDescent="0.2">
      <c r="A789" s="797" t="s">
        <v>6</v>
      </c>
      <c r="B789" s="888">
        <f>SUM(B790:B792)</f>
        <v>2</v>
      </c>
      <c r="C789" s="835"/>
      <c r="D789" s="835"/>
      <c r="E789" s="835"/>
      <c r="F789" s="835"/>
      <c r="G789" s="835"/>
      <c r="H789" s="835"/>
      <c r="I789" s="835"/>
      <c r="J789" s="835"/>
      <c r="K789" s="835">
        <f>SUM(B789:J789)</f>
        <v>2</v>
      </c>
      <c r="L789" s="889">
        <f>SUM(L790)</f>
        <v>34949.179999999993</v>
      </c>
      <c r="M789" s="888">
        <f>SUM(M790:M792)</f>
        <v>2</v>
      </c>
      <c r="N789" s="835"/>
      <c r="O789" s="835"/>
      <c r="P789" s="835"/>
      <c r="Q789" s="835"/>
      <c r="R789" s="835"/>
      <c r="S789" s="835"/>
      <c r="T789" s="835"/>
      <c r="U789" s="835"/>
      <c r="V789" s="835">
        <f>SUM(M789:U789)</f>
        <v>2</v>
      </c>
      <c r="W789" s="889">
        <f>SUM(W790)</f>
        <v>43233.659999999996</v>
      </c>
    </row>
    <row r="790" spans="1:23" ht="13.5" thickBot="1" x14ac:dyDescent="0.25">
      <c r="A790" s="891" t="s">
        <v>16</v>
      </c>
      <c r="B790" s="892">
        <v>2</v>
      </c>
      <c r="C790" s="893"/>
      <c r="D790" s="893"/>
      <c r="E790" s="893"/>
      <c r="F790" s="893"/>
      <c r="G790" s="893"/>
      <c r="H790" s="893"/>
      <c r="I790" s="893"/>
      <c r="J790" s="893"/>
      <c r="K790" s="893">
        <f>SUM(B790:J790)</f>
        <v>2</v>
      </c>
      <c r="L790" s="894">
        <v>34949.179999999993</v>
      </c>
      <c r="M790" s="892">
        <v>2</v>
      </c>
      <c r="N790" s="893"/>
      <c r="O790" s="893"/>
      <c r="P790" s="893"/>
      <c r="Q790" s="893"/>
      <c r="R790" s="893"/>
      <c r="S790" s="893"/>
      <c r="T790" s="893"/>
      <c r="U790" s="893"/>
      <c r="V790" s="893">
        <f>SUM(M790:U790)</f>
        <v>2</v>
      </c>
      <c r="W790" s="894">
        <v>43233.659999999996</v>
      </c>
    </row>
    <row r="791" spans="1:23" x14ac:dyDescent="0.2">
      <c r="A791" s="795" t="s">
        <v>80</v>
      </c>
      <c r="B791" s="887"/>
      <c r="D791" s="17">
        <v>18</v>
      </c>
      <c r="K791" s="17">
        <f>SUM(B791:J791)</f>
        <v>18</v>
      </c>
      <c r="L791" s="801">
        <v>457322.37</v>
      </c>
      <c r="M791" s="887"/>
      <c r="O791" s="17">
        <v>36</v>
      </c>
      <c r="V791" s="17">
        <f>SUM(M791:U791)</f>
        <v>36</v>
      </c>
      <c r="W791" s="801">
        <v>920505</v>
      </c>
    </row>
    <row r="792" spans="1:23" ht="13.5" thickBot="1" x14ac:dyDescent="0.25">
      <c r="A792" s="795" t="s">
        <v>865</v>
      </c>
      <c r="B792" s="887"/>
      <c r="I792" s="17">
        <v>2</v>
      </c>
      <c r="K792" s="17">
        <f>SUM(B792:J792)</f>
        <v>2</v>
      </c>
      <c r="L792" s="801">
        <v>23615.8</v>
      </c>
      <c r="M792" s="887"/>
      <c r="T792" s="17">
        <v>3</v>
      </c>
      <c r="V792" s="17">
        <f>SUM(M792:U792)</f>
        <v>3</v>
      </c>
      <c r="W792" s="801">
        <v>60822</v>
      </c>
    </row>
    <row r="793" spans="1:23" ht="13.5" thickBot="1" x14ac:dyDescent="0.25">
      <c r="A793" s="815" t="s">
        <v>21</v>
      </c>
      <c r="B793" s="895">
        <f>B789+B784+B777+B770</f>
        <v>191</v>
      </c>
      <c r="C793" s="843">
        <f>C789+C784+C777+C770</f>
        <v>0</v>
      </c>
      <c r="D793" s="843">
        <f>D789+D784+D777+D770+D791</f>
        <v>18</v>
      </c>
      <c r="E793" s="843">
        <f>E789+E784+E777+E770</f>
        <v>0</v>
      </c>
      <c r="F793" s="843">
        <f>F789+F784+F777+F770</f>
        <v>0</v>
      </c>
      <c r="G793" s="843">
        <f>G789+G784+G777+G770</f>
        <v>0</v>
      </c>
      <c r="H793" s="843">
        <f>H789+H784+H777+H770</f>
        <v>0</v>
      </c>
      <c r="I793" s="843">
        <f>I789+I784+I777+I770+I792</f>
        <v>2</v>
      </c>
      <c r="J793" s="843">
        <f>J789+J784+J777+J770</f>
        <v>0</v>
      </c>
      <c r="K793" s="843">
        <f>K789+K784+K777+K770+K791+K792</f>
        <v>211</v>
      </c>
      <c r="L793" s="844">
        <f>L789+L784+L777+L770+L791+L792</f>
        <v>4701685.08</v>
      </c>
      <c r="M793" s="895">
        <f>M789+M784+M777+M770</f>
        <v>167</v>
      </c>
      <c r="N793" s="843">
        <f>N789+N784+N777+N770</f>
        <v>0</v>
      </c>
      <c r="O793" s="843">
        <f>O789+O784+O777+O770+O791</f>
        <v>36</v>
      </c>
      <c r="P793" s="843">
        <f>P789+P784+P777+P770</f>
        <v>0</v>
      </c>
      <c r="Q793" s="843">
        <f>Q789+Q784+Q777+Q770</f>
        <v>0</v>
      </c>
      <c r="R793" s="843">
        <f>R789+R784+R777+R770</f>
        <v>0</v>
      </c>
      <c r="S793" s="843">
        <f>S789+S784+S777+S770</f>
        <v>0</v>
      </c>
      <c r="T793" s="843">
        <f>T789+T784+T777+T770+T792</f>
        <v>3</v>
      </c>
      <c r="U793" s="843">
        <f>U789+U784+U777+U770</f>
        <v>0</v>
      </c>
      <c r="V793" s="843">
        <f>V789+V784+V777+V770</f>
        <v>167</v>
      </c>
      <c r="W793" s="896">
        <f>W789+W784+W777+W770</f>
        <v>5147308.32</v>
      </c>
    </row>
    <row r="794" spans="1:23" x14ac:dyDescent="0.2">
      <c r="A794" s="816" t="s">
        <v>279</v>
      </c>
      <c r="B794" s="817"/>
      <c r="C794" s="817"/>
      <c r="D794" s="817"/>
      <c r="E794" s="817"/>
      <c r="F794" s="817"/>
      <c r="G794" s="817"/>
      <c r="H794" s="817"/>
      <c r="I794" s="817"/>
      <c r="J794" s="817"/>
      <c r="K794" s="817"/>
      <c r="L794" s="817"/>
      <c r="M794" s="817"/>
      <c r="N794" s="817"/>
      <c r="O794" s="817"/>
      <c r="P794" s="897"/>
      <c r="Q794" s="897"/>
      <c r="R794" s="898"/>
      <c r="S794" s="898"/>
      <c r="T794" s="897"/>
      <c r="U794" s="897"/>
      <c r="V794" s="897"/>
      <c r="W794" s="899"/>
    </row>
    <row r="795" spans="1:23" x14ac:dyDescent="0.2">
      <c r="A795" s="17" t="s">
        <v>273</v>
      </c>
      <c r="P795" s="897"/>
      <c r="Q795" s="897"/>
      <c r="R795" s="898"/>
      <c r="S795" s="898"/>
      <c r="T795" s="898"/>
      <c r="U795" s="898"/>
      <c r="V795" s="897"/>
      <c r="W795" s="899"/>
    </row>
    <row r="796" spans="1:23" x14ac:dyDescent="0.2">
      <c r="A796" s="17" t="s">
        <v>277</v>
      </c>
      <c r="P796" s="897"/>
      <c r="Q796" s="897"/>
      <c r="R796" s="898"/>
      <c r="S796" s="898"/>
      <c r="T796" s="898"/>
      <c r="U796" s="898"/>
      <c r="V796" s="897"/>
      <c r="W796" s="899"/>
    </row>
    <row r="797" spans="1:23" x14ac:dyDescent="0.2">
      <c r="A797" s="17" t="s">
        <v>284</v>
      </c>
      <c r="W797" s="800"/>
    </row>
  </sheetData>
  <mergeCells count="24">
    <mergeCell ref="B767:L767"/>
    <mergeCell ref="M767:W767"/>
    <mergeCell ref="B232:L232"/>
    <mergeCell ref="M232:W232"/>
    <mergeCell ref="B6:L6"/>
    <mergeCell ref="M6:W6"/>
    <mergeCell ref="B300:L300"/>
    <mergeCell ref="M300:W300"/>
    <mergeCell ref="B48:L48"/>
    <mergeCell ref="M48:W48"/>
    <mergeCell ref="B107:L107"/>
    <mergeCell ref="M107:W107"/>
    <mergeCell ref="B143:L143"/>
    <mergeCell ref="M143:W143"/>
    <mergeCell ref="A713:I713"/>
    <mergeCell ref="A714:H714"/>
    <mergeCell ref="B722:L722"/>
    <mergeCell ref="M722:W722"/>
    <mergeCell ref="B404:L404"/>
    <mergeCell ref="M404:W404"/>
    <mergeCell ref="B477:L477"/>
    <mergeCell ref="M477:W477"/>
    <mergeCell ref="B589:L589"/>
    <mergeCell ref="M589:W589"/>
  </mergeCells>
  <conditionalFormatting sqref="A491:A496">
    <cfRule type="cellIs" dxfId="14" priority="11" stopIfTrue="1" operator="equal">
      <formula>0</formula>
    </cfRule>
  </conditionalFormatting>
  <conditionalFormatting sqref="A499:A504">
    <cfRule type="cellIs" dxfId="13" priority="10" stopIfTrue="1" operator="equal">
      <formula>0</formula>
    </cfRule>
  </conditionalFormatting>
  <conditionalFormatting sqref="A507:A512">
    <cfRule type="cellIs" dxfId="12" priority="9" stopIfTrue="1" operator="equal">
      <formula>0</formula>
    </cfRule>
  </conditionalFormatting>
  <conditionalFormatting sqref="A515">
    <cfRule type="cellIs" dxfId="11" priority="7" stopIfTrue="1" operator="equal">
      <formula>0</formula>
    </cfRule>
  </conditionalFormatting>
  <conditionalFormatting sqref="A516:A521">
    <cfRule type="cellIs" dxfId="10" priority="8" stopIfTrue="1" operator="equal">
      <formula>0</formula>
    </cfRule>
  </conditionalFormatting>
  <conditionalFormatting sqref="A523">
    <cfRule type="cellIs" dxfId="9" priority="5" stopIfTrue="1" operator="equal">
      <formula>0</formula>
    </cfRule>
  </conditionalFormatting>
  <conditionalFormatting sqref="A539:A578">
    <cfRule type="cellIs" dxfId="8" priority="3" stopIfTrue="1" operator="equal">
      <formula>0</formula>
    </cfRule>
  </conditionalFormatting>
  <conditionalFormatting sqref="A531:A538">
    <cfRule type="cellIs" dxfId="7" priority="4" stopIfTrue="1" operator="equal">
      <formula>0</formula>
    </cfRule>
  </conditionalFormatting>
  <conditionalFormatting sqref="A524:A530">
    <cfRule type="cellIs" dxfId="6" priority="6" stopIfTrue="1" operator="equal">
      <formula>0</formula>
    </cfRule>
  </conditionalFormatting>
  <conditionalFormatting sqref="A514">
    <cfRule type="cellIs" dxfId="5" priority="2" stopIfTrue="1" operator="equal">
      <formula>0</formula>
    </cfRule>
  </conditionalFormatting>
  <conditionalFormatting sqref="A513">
    <cfRule type="cellIs" dxfId="4" priority="1" stopIfTrue="1" operator="equal">
      <formula>0</formula>
    </cfRule>
  </conditionalFormatting>
  <printOptions horizontalCentered="1"/>
  <pageMargins left="0.25" right="0.25" top="0.75" bottom="0.75" header="0.3" footer="0.3"/>
  <pageSetup paperSize="9" scale="59"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39"/>
  <sheetViews>
    <sheetView showWhiteSpace="0" view="pageLayout" topLeftCell="A184" zoomScale="90" zoomScaleNormal="100" zoomScaleSheetLayoutView="100" zoomScalePageLayoutView="90" workbookViewId="0">
      <selection activeCell="A207" sqref="A207:I227"/>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85" customFormat="1" ht="12.75" x14ac:dyDescent="0.2">
      <c r="A1" s="1360" t="s">
        <v>866</v>
      </c>
      <c r="B1" s="1360"/>
      <c r="C1" s="1360"/>
      <c r="D1" s="1360"/>
      <c r="E1" s="1360"/>
      <c r="F1" s="1360"/>
      <c r="G1" s="1360"/>
      <c r="H1" s="1360"/>
      <c r="I1" s="1360"/>
    </row>
    <row r="2" spans="1:22" s="88" customFormat="1" ht="15.75" x14ac:dyDescent="0.25">
      <c r="A2" s="70" t="s">
        <v>424</v>
      </c>
      <c r="B2" s="93"/>
      <c r="C2" s="92"/>
      <c r="D2" s="92"/>
      <c r="E2" s="92"/>
      <c r="F2" s="92"/>
      <c r="H2" s="89"/>
      <c r="I2" s="89"/>
    </row>
    <row r="3" spans="1:22" s="90" customFormat="1" ht="15.75" x14ac:dyDescent="0.2">
      <c r="A3" s="86" t="s">
        <v>867</v>
      </c>
      <c r="B3" s="89"/>
      <c r="C3" s="89"/>
      <c r="D3" s="89"/>
      <c r="E3" s="89"/>
      <c r="F3" s="89"/>
      <c r="G3" s="89"/>
      <c r="H3" s="89"/>
      <c r="I3" s="89"/>
      <c r="J3" s="89"/>
      <c r="K3" s="89"/>
      <c r="L3" s="89"/>
      <c r="M3" s="89"/>
      <c r="N3" s="89"/>
      <c r="O3" s="89"/>
      <c r="P3" s="89"/>
      <c r="Q3" s="89"/>
      <c r="R3" s="89"/>
      <c r="S3" s="89"/>
      <c r="T3" s="89"/>
      <c r="U3" s="89"/>
      <c r="V3" s="89"/>
    </row>
    <row r="6" spans="1:22" ht="12.75" thickBot="1" x14ac:dyDescent="0.25"/>
    <row r="7" spans="1:22" ht="12.75" thickBot="1" x14ac:dyDescent="0.25">
      <c r="A7" s="258" t="s">
        <v>10</v>
      </c>
      <c r="B7" s="1365" t="s">
        <v>592</v>
      </c>
      <c r="C7" s="1365"/>
      <c r="D7" s="1366" t="s">
        <v>593</v>
      </c>
      <c r="E7" s="1367"/>
      <c r="F7" s="1366" t="s">
        <v>594</v>
      </c>
      <c r="G7" s="1368"/>
      <c r="H7" s="1366" t="s">
        <v>595</v>
      </c>
      <c r="I7" s="1368"/>
    </row>
    <row r="8" spans="1:22" ht="24" x14ac:dyDescent="0.2">
      <c r="A8" s="259" t="s">
        <v>9</v>
      </c>
      <c r="B8" s="260" t="s">
        <v>596</v>
      </c>
      <c r="C8" s="261" t="s">
        <v>597</v>
      </c>
      <c r="D8" s="259" t="s">
        <v>596</v>
      </c>
      <c r="E8" s="262" t="s">
        <v>597</v>
      </c>
      <c r="F8" s="259" t="s">
        <v>596</v>
      </c>
      <c r="G8" s="262" t="s">
        <v>597</v>
      </c>
      <c r="H8" s="259" t="s">
        <v>596</v>
      </c>
      <c r="I8" s="262" t="s">
        <v>597</v>
      </c>
    </row>
    <row r="9" spans="1:22" x14ac:dyDescent="0.2">
      <c r="A9" s="263" t="s">
        <v>598</v>
      </c>
      <c r="B9" s="264">
        <v>2</v>
      </c>
      <c r="C9" s="265">
        <v>336049</v>
      </c>
      <c r="D9" s="266">
        <v>2</v>
      </c>
      <c r="E9" s="267">
        <v>336049</v>
      </c>
      <c r="F9" s="266">
        <v>2</v>
      </c>
      <c r="G9" s="267">
        <v>336049</v>
      </c>
      <c r="H9" s="266">
        <f t="shared" ref="H9:I13" si="0">D9-F9</f>
        <v>0</v>
      </c>
      <c r="I9" s="268">
        <f t="shared" si="0"/>
        <v>0</v>
      </c>
    </row>
    <row r="10" spans="1:22" x14ac:dyDescent="0.2">
      <c r="A10" s="263" t="s">
        <v>599</v>
      </c>
      <c r="B10" s="264">
        <v>267</v>
      </c>
      <c r="C10" s="265">
        <v>2091249</v>
      </c>
      <c r="D10" s="266">
        <v>267</v>
      </c>
      <c r="E10" s="267">
        <v>1666849</v>
      </c>
      <c r="F10" s="266">
        <v>263</v>
      </c>
      <c r="G10" s="267">
        <v>1933030</v>
      </c>
      <c r="H10" s="266">
        <f t="shared" si="0"/>
        <v>4</v>
      </c>
      <c r="I10" s="268">
        <f t="shared" si="0"/>
        <v>-266181</v>
      </c>
    </row>
    <row r="11" spans="1:22" x14ac:dyDescent="0.2">
      <c r="A11" s="263" t="s">
        <v>600</v>
      </c>
      <c r="B11" s="264">
        <v>37</v>
      </c>
      <c r="C11" s="265">
        <v>432896</v>
      </c>
      <c r="D11" s="266">
        <v>37</v>
      </c>
      <c r="E11" s="267">
        <v>359878</v>
      </c>
      <c r="F11" s="266">
        <v>33</v>
      </c>
      <c r="G11" s="267">
        <v>259921</v>
      </c>
      <c r="H11" s="266">
        <f t="shared" si="0"/>
        <v>4</v>
      </c>
      <c r="I11" s="268">
        <f t="shared" si="0"/>
        <v>99957</v>
      </c>
    </row>
    <row r="12" spans="1:22" x14ac:dyDescent="0.2">
      <c r="A12" s="269" t="s">
        <v>601</v>
      </c>
      <c r="B12" s="264"/>
      <c r="C12" s="265">
        <v>5396057</v>
      </c>
      <c r="D12" s="266"/>
      <c r="E12" s="267">
        <v>5396057</v>
      </c>
      <c r="F12" s="266"/>
      <c r="G12" s="267">
        <v>5670731</v>
      </c>
      <c r="H12" s="266">
        <f t="shared" si="0"/>
        <v>0</v>
      </c>
      <c r="I12" s="268">
        <f t="shared" si="0"/>
        <v>-274674</v>
      </c>
    </row>
    <row r="13" spans="1:22" x14ac:dyDescent="0.2">
      <c r="A13" s="263" t="s">
        <v>602</v>
      </c>
      <c r="B13" s="264">
        <v>5</v>
      </c>
      <c r="C13" s="265">
        <v>45760</v>
      </c>
      <c r="D13" s="266">
        <v>5</v>
      </c>
      <c r="E13" s="267">
        <v>40262</v>
      </c>
      <c r="F13" s="266">
        <v>5</v>
      </c>
      <c r="G13" s="267"/>
      <c r="H13" s="266">
        <f t="shared" si="0"/>
        <v>0</v>
      </c>
      <c r="I13" s="268">
        <f t="shared" si="0"/>
        <v>40262</v>
      </c>
    </row>
    <row r="14" spans="1:22" x14ac:dyDescent="0.2">
      <c r="A14" s="269" t="s">
        <v>603</v>
      </c>
      <c r="B14" s="264"/>
      <c r="C14" s="265">
        <v>13838</v>
      </c>
      <c r="D14" s="266"/>
      <c r="E14" s="267">
        <v>13838</v>
      </c>
      <c r="F14" s="266"/>
      <c r="G14" s="267"/>
      <c r="H14" s="266"/>
      <c r="I14" s="268">
        <f t="shared" ref="I14:I25" si="1">E14-G14</f>
        <v>13838</v>
      </c>
    </row>
    <row r="15" spans="1:22" x14ac:dyDescent="0.2">
      <c r="A15" s="263" t="s">
        <v>604</v>
      </c>
      <c r="B15" s="264"/>
      <c r="C15" s="265">
        <v>199800</v>
      </c>
      <c r="D15" s="266"/>
      <c r="E15" s="267">
        <v>183200</v>
      </c>
      <c r="F15" s="266"/>
      <c r="G15" s="267">
        <v>199800</v>
      </c>
      <c r="H15" s="266"/>
      <c r="I15" s="268">
        <f t="shared" si="1"/>
        <v>-16600</v>
      </c>
    </row>
    <row r="16" spans="1:22" x14ac:dyDescent="0.2">
      <c r="A16" s="263" t="s">
        <v>605</v>
      </c>
      <c r="B16" s="264"/>
      <c r="C16" s="265">
        <v>133200</v>
      </c>
      <c r="D16" s="266"/>
      <c r="E16" s="267">
        <v>114000</v>
      </c>
      <c r="F16" s="266"/>
      <c r="G16" s="267">
        <v>133200</v>
      </c>
      <c r="H16" s="266"/>
      <c r="I16" s="268">
        <f t="shared" si="1"/>
        <v>-19200</v>
      </c>
    </row>
    <row r="17" spans="1:9" x14ac:dyDescent="0.2">
      <c r="A17" s="263" t="s">
        <v>606</v>
      </c>
      <c r="B17" s="264"/>
      <c r="C17" s="265">
        <v>112000</v>
      </c>
      <c r="D17" s="266"/>
      <c r="E17" s="267">
        <v>54125</v>
      </c>
      <c r="F17" s="266"/>
      <c r="G17" s="267">
        <v>65000</v>
      </c>
      <c r="H17" s="266"/>
      <c r="I17" s="268">
        <f t="shared" si="1"/>
        <v>-10875</v>
      </c>
    </row>
    <row r="18" spans="1:9" x14ac:dyDescent="0.2">
      <c r="A18" s="263" t="s">
        <v>607</v>
      </c>
      <c r="B18" s="264"/>
      <c r="C18" s="265">
        <v>21469</v>
      </c>
      <c r="D18" s="266"/>
      <c r="E18" s="267"/>
      <c r="F18" s="266"/>
      <c r="G18" s="267"/>
      <c r="H18" s="266"/>
      <c r="I18" s="268">
        <f t="shared" si="1"/>
        <v>0</v>
      </c>
    </row>
    <row r="19" spans="1:9" x14ac:dyDescent="0.2">
      <c r="A19" s="263" t="s">
        <v>608</v>
      </c>
      <c r="B19" s="264"/>
      <c r="C19" s="265">
        <v>34260</v>
      </c>
      <c r="D19" s="266"/>
      <c r="E19" s="267">
        <v>18662</v>
      </c>
      <c r="F19" s="266"/>
      <c r="G19" s="267">
        <v>12129</v>
      </c>
      <c r="H19" s="266"/>
      <c r="I19" s="268">
        <f t="shared" si="1"/>
        <v>6533</v>
      </c>
    </row>
    <row r="20" spans="1:9" x14ac:dyDescent="0.2">
      <c r="A20" s="263" t="s">
        <v>609</v>
      </c>
      <c r="B20" s="264"/>
      <c r="C20" s="265">
        <v>12789931</v>
      </c>
      <c r="D20" s="266"/>
      <c r="E20" s="267">
        <v>1662175</v>
      </c>
      <c r="F20" s="266"/>
      <c r="G20" s="267"/>
      <c r="H20" s="266"/>
      <c r="I20" s="268">
        <f t="shared" si="1"/>
        <v>1662175</v>
      </c>
    </row>
    <row r="21" spans="1:9" x14ac:dyDescent="0.2">
      <c r="A21" s="263" t="s">
        <v>610</v>
      </c>
      <c r="B21" s="264"/>
      <c r="C21" s="265"/>
      <c r="D21" s="266"/>
      <c r="E21" s="267"/>
      <c r="F21" s="266"/>
      <c r="G21" s="267"/>
      <c r="H21" s="266"/>
      <c r="I21" s="268">
        <f t="shared" si="1"/>
        <v>0</v>
      </c>
    </row>
    <row r="22" spans="1:9" x14ac:dyDescent="0.2">
      <c r="A22" s="263" t="s">
        <v>611</v>
      </c>
      <c r="B22" s="264">
        <v>14</v>
      </c>
      <c r="C22" s="265">
        <v>514800</v>
      </c>
      <c r="D22" s="266">
        <v>14</v>
      </c>
      <c r="E22" s="267">
        <v>514800</v>
      </c>
      <c r="F22" s="266">
        <v>14</v>
      </c>
      <c r="G22" s="267">
        <v>720720</v>
      </c>
      <c r="H22" s="266">
        <v>14</v>
      </c>
      <c r="I22" s="268">
        <f t="shared" si="1"/>
        <v>-205920</v>
      </c>
    </row>
    <row r="23" spans="1:9" x14ac:dyDescent="0.2">
      <c r="A23" s="263" t="s">
        <v>612</v>
      </c>
      <c r="B23" s="264"/>
      <c r="C23" s="265">
        <v>445000</v>
      </c>
      <c r="D23" s="266"/>
      <c r="E23" s="267">
        <v>364135</v>
      </c>
      <c r="F23" s="266"/>
      <c r="G23" s="267">
        <v>364135</v>
      </c>
      <c r="H23" s="266"/>
      <c r="I23" s="268">
        <f t="shared" si="1"/>
        <v>0</v>
      </c>
    </row>
    <row r="24" spans="1:9" x14ac:dyDescent="0.2">
      <c r="A24" s="263" t="s">
        <v>613</v>
      </c>
      <c r="B24" s="264" t="s">
        <v>77</v>
      </c>
      <c r="C24" s="265">
        <v>23916</v>
      </c>
      <c r="D24" s="266" t="s">
        <v>77</v>
      </c>
      <c r="E24" s="267">
        <v>23916</v>
      </c>
      <c r="F24" s="266"/>
      <c r="G24" s="267">
        <v>23916</v>
      </c>
      <c r="H24" s="266"/>
      <c r="I24" s="268">
        <f t="shared" si="1"/>
        <v>0</v>
      </c>
    </row>
    <row r="25" spans="1:9" ht="12.75" thickBot="1" x14ac:dyDescent="0.25">
      <c r="A25" s="263" t="s">
        <v>614</v>
      </c>
      <c r="B25" s="264"/>
      <c r="C25" s="265">
        <v>636141</v>
      </c>
      <c r="D25" s="266"/>
      <c r="E25" s="267">
        <v>646614</v>
      </c>
      <c r="F25" s="266"/>
      <c r="G25" s="267">
        <v>642696</v>
      </c>
      <c r="H25" s="266"/>
      <c r="I25" s="268">
        <f t="shared" si="1"/>
        <v>3918</v>
      </c>
    </row>
    <row r="26" spans="1:9" ht="12.75" thickBot="1" x14ac:dyDescent="0.25">
      <c r="A26" s="270" t="s">
        <v>38</v>
      </c>
      <c r="B26" s="271"/>
      <c r="C26" s="272">
        <f>SUM(C9:C25)</f>
        <v>23226366</v>
      </c>
      <c r="D26" s="273"/>
      <c r="E26" s="272">
        <f>SUM(E9:E25)</f>
        <v>11394560</v>
      </c>
      <c r="F26" s="273"/>
      <c r="G26" s="272">
        <f>SUM(G9:G25)</f>
        <v>10361327</v>
      </c>
      <c r="H26" s="273"/>
      <c r="I26" s="272">
        <f>SUM(I9:I25)</f>
        <v>1033233</v>
      </c>
    </row>
    <row r="27" spans="1:9" x14ac:dyDescent="0.2">
      <c r="A27" s="255" t="s">
        <v>615</v>
      </c>
      <c r="B27" s="256"/>
      <c r="C27" s="256"/>
      <c r="D27" s="256"/>
      <c r="E27" s="256"/>
      <c r="F27" s="256"/>
      <c r="G27" s="256"/>
      <c r="H27" s="256"/>
      <c r="I27" s="256"/>
    </row>
    <row r="28" spans="1:9" x14ac:dyDescent="0.2">
      <c r="A28" s="255" t="s">
        <v>616</v>
      </c>
      <c r="B28" s="256"/>
      <c r="C28" s="256"/>
      <c r="D28" s="256"/>
      <c r="E28" s="256"/>
      <c r="F28" s="256"/>
      <c r="G28" s="256"/>
      <c r="H28" s="256"/>
      <c r="I28" s="256"/>
    </row>
    <row r="30" spans="1:9" ht="16.5" thickBot="1" x14ac:dyDescent="0.25">
      <c r="A30" s="256" t="s">
        <v>868</v>
      </c>
      <c r="B30" s="320"/>
      <c r="C30" s="320"/>
      <c r="D30" s="320"/>
      <c r="E30" s="320"/>
      <c r="F30" s="320"/>
      <c r="G30" s="320"/>
      <c r="H30" s="320"/>
      <c r="I30" s="320"/>
    </row>
    <row r="31" spans="1:9" ht="12.75" thickBot="1" x14ac:dyDescent="0.25">
      <c r="A31" s="321" t="s">
        <v>10</v>
      </c>
      <c r="B31" s="1361" t="s">
        <v>592</v>
      </c>
      <c r="C31" s="1361"/>
      <c r="D31" s="1362" t="s">
        <v>593</v>
      </c>
      <c r="E31" s="1363"/>
      <c r="F31" s="1362" t="s">
        <v>594</v>
      </c>
      <c r="G31" s="1364"/>
      <c r="H31" s="1362" t="s">
        <v>595</v>
      </c>
      <c r="I31" s="1364"/>
    </row>
    <row r="32" spans="1:9" ht="24" x14ac:dyDescent="0.2">
      <c r="A32" s="322" t="s">
        <v>9</v>
      </c>
      <c r="B32" s="323" t="s">
        <v>596</v>
      </c>
      <c r="C32" s="324" t="s">
        <v>597</v>
      </c>
      <c r="D32" s="322" t="s">
        <v>596</v>
      </c>
      <c r="E32" s="325" t="s">
        <v>597</v>
      </c>
      <c r="F32" s="322" t="s">
        <v>596</v>
      </c>
      <c r="G32" s="325" t="s">
        <v>597</v>
      </c>
      <c r="H32" s="322" t="s">
        <v>596</v>
      </c>
      <c r="I32" s="325" t="s">
        <v>597</v>
      </c>
    </row>
    <row r="33" spans="1:9" ht="15" x14ac:dyDescent="0.2">
      <c r="A33" s="319"/>
      <c r="B33" s="326">
        <v>849</v>
      </c>
      <c r="C33" s="327">
        <v>26438958</v>
      </c>
      <c r="D33" s="328">
        <v>883</v>
      </c>
      <c r="E33" s="329">
        <v>26751877</v>
      </c>
      <c r="F33" s="328">
        <v>884</v>
      </c>
      <c r="G33" s="329">
        <v>25224517</v>
      </c>
      <c r="H33" s="330">
        <f>(B33-D33)</f>
        <v>-34</v>
      </c>
      <c r="I33" s="331">
        <f>E33*100/C33-100</f>
        <v>1.1835526952310289</v>
      </c>
    </row>
    <row r="34" spans="1:9" x14ac:dyDescent="0.2">
      <c r="A34" s="332" t="s">
        <v>621</v>
      </c>
      <c r="B34" s="333"/>
      <c r="C34" s="334"/>
      <c r="D34" s="330"/>
      <c r="E34" s="335"/>
      <c r="F34" s="330"/>
      <c r="G34" s="335"/>
      <c r="H34" s="330"/>
      <c r="I34" s="336"/>
    </row>
    <row r="35" spans="1:9" x14ac:dyDescent="0.2">
      <c r="A35" s="332" t="s">
        <v>622</v>
      </c>
      <c r="B35" s="333"/>
      <c r="C35" s="334"/>
      <c r="D35" s="330"/>
      <c r="E35" s="335"/>
      <c r="F35" s="330"/>
      <c r="G35" s="335"/>
      <c r="H35" s="330"/>
      <c r="I35" s="336"/>
    </row>
    <row r="36" spans="1:9" x14ac:dyDescent="0.2">
      <c r="A36" s="337" t="s">
        <v>623</v>
      </c>
      <c r="B36" s="333"/>
      <c r="C36" s="334"/>
      <c r="D36" s="330"/>
      <c r="E36" s="335"/>
      <c r="F36" s="330"/>
      <c r="G36" s="335"/>
      <c r="H36" s="330"/>
      <c r="I36" s="336"/>
    </row>
    <row r="37" spans="1:9" x14ac:dyDescent="0.2">
      <c r="A37" s="332" t="s">
        <v>624</v>
      </c>
      <c r="B37" s="333"/>
      <c r="C37" s="334"/>
      <c r="D37" s="330"/>
      <c r="E37" s="335"/>
      <c r="F37" s="330"/>
      <c r="G37" s="335"/>
      <c r="H37" s="330"/>
      <c r="I37" s="336"/>
    </row>
    <row r="38" spans="1:9" x14ac:dyDescent="0.2">
      <c r="A38" s="337" t="s">
        <v>625</v>
      </c>
      <c r="B38" s="333">
        <v>849</v>
      </c>
      <c r="C38" s="334">
        <v>821224</v>
      </c>
      <c r="D38" s="330">
        <v>883</v>
      </c>
      <c r="E38" s="335">
        <v>882961</v>
      </c>
      <c r="F38" s="330">
        <v>884</v>
      </c>
      <c r="G38" s="335">
        <v>914724</v>
      </c>
      <c r="H38" s="330">
        <f>(B38-D38)</f>
        <v>-34</v>
      </c>
      <c r="I38" s="331">
        <f>E38*100/C38-100</f>
        <v>7.5176809250582011</v>
      </c>
    </row>
    <row r="39" spans="1:9" x14ac:dyDescent="0.2">
      <c r="A39" s="332" t="s">
        <v>626</v>
      </c>
      <c r="B39" s="333"/>
      <c r="C39" s="334"/>
      <c r="D39" s="330"/>
      <c r="E39" s="335"/>
      <c r="F39" s="330"/>
      <c r="G39" s="335"/>
      <c r="H39" s="330"/>
      <c r="I39" s="336"/>
    </row>
    <row r="40" spans="1:9" x14ac:dyDescent="0.2">
      <c r="A40" s="332" t="s">
        <v>627</v>
      </c>
      <c r="B40" s="333"/>
      <c r="C40" s="334">
        <v>389749</v>
      </c>
      <c r="D40" s="330"/>
      <c r="E40" s="335">
        <v>90000</v>
      </c>
      <c r="F40" s="330"/>
      <c r="G40" s="335">
        <v>18585</v>
      </c>
      <c r="H40" s="330">
        <f>(B40-D40)</f>
        <v>0</v>
      </c>
      <c r="I40" s="331">
        <f>E40*100/C40-100</f>
        <v>-76.908215287274629</v>
      </c>
    </row>
    <row r="41" spans="1:9" x14ac:dyDescent="0.2">
      <c r="A41" s="332" t="s">
        <v>628</v>
      </c>
      <c r="B41" s="333"/>
      <c r="C41" s="334"/>
      <c r="D41" s="330"/>
      <c r="E41" s="335"/>
      <c r="F41" s="330"/>
      <c r="G41" s="335"/>
      <c r="H41" s="330"/>
      <c r="I41" s="336"/>
    </row>
    <row r="42" spans="1:9" x14ac:dyDescent="0.2">
      <c r="A42" s="332" t="s">
        <v>629</v>
      </c>
      <c r="B42" s="333">
        <v>849</v>
      </c>
      <c r="C42" s="334">
        <v>3249767</v>
      </c>
      <c r="D42" s="330">
        <v>883</v>
      </c>
      <c r="E42" s="335">
        <v>3368127</v>
      </c>
      <c r="F42" s="330">
        <v>884</v>
      </c>
      <c r="G42" s="335">
        <v>3482567</v>
      </c>
      <c r="H42" s="330">
        <f>(B42-D42)</f>
        <v>-34</v>
      </c>
      <c r="I42" s="331">
        <f>E42*100/C42-100</f>
        <v>3.6421072649208384</v>
      </c>
    </row>
    <row r="43" spans="1:9" x14ac:dyDescent="0.2">
      <c r="A43" s="332" t="s">
        <v>630</v>
      </c>
      <c r="B43" s="333"/>
      <c r="C43" s="334"/>
      <c r="D43" s="330"/>
      <c r="E43" s="335"/>
      <c r="F43" s="330"/>
      <c r="G43" s="335"/>
      <c r="H43" s="330"/>
      <c r="I43" s="336"/>
    </row>
    <row r="44" spans="1:9" x14ac:dyDescent="0.2">
      <c r="A44" s="332" t="s">
        <v>631</v>
      </c>
      <c r="B44" s="333"/>
      <c r="C44" s="334"/>
      <c r="D44" s="330"/>
      <c r="E44" s="335"/>
      <c r="F44" s="330"/>
      <c r="G44" s="335"/>
      <c r="H44" s="330"/>
      <c r="I44" s="336"/>
    </row>
    <row r="45" spans="1:9" x14ac:dyDescent="0.2">
      <c r="A45" s="332" t="s">
        <v>632</v>
      </c>
      <c r="B45" s="333"/>
      <c r="C45" s="338"/>
      <c r="D45" s="330"/>
      <c r="E45" s="335"/>
      <c r="F45" s="330"/>
      <c r="G45" s="335"/>
      <c r="H45" s="330"/>
      <c r="I45" s="336"/>
    </row>
    <row r="46" spans="1:9" x14ac:dyDescent="0.2">
      <c r="A46" s="332" t="s">
        <v>633</v>
      </c>
      <c r="B46" s="333">
        <v>212</v>
      </c>
      <c r="C46" s="339">
        <v>3405965</v>
      </c>
      <c r="D46" s="330">
        <v>234</v>
      </c>
      <c r="E46" s="335">
        <v>3428521</v>
      </c>
      <c r="F46" s="330">
        <v>235</v>
      </c>
      <c r="G46" s="335">
        <v>3722556</v>
      </c>
      <c r="H46" s="330">
        <f>(B46-D46)</f>
        <v>-22</v>
      </c>
      <c r="I46" s="331">
        <f>E46*100/C46-100</f>
        <v>0.66224990568018427</v>
      </c>
    </row>
    <row r="47" spans="1:9" x14ac:dyDescent="0.2">
      <c r="A47" s="332" t="s">
        <v>634</v>
      </c>
      <c r="B47" s="333">
        <v>110</v>
      </c>
      <c r="C47" s="334">
        <v>150000</v>
      </c>
      <c r="D47" s="330">
        <v>120</v>
      </c>
      <c r="E47" s="335">
        <v>150000</v>
      </c>
      <c r="F47" s="330">
        <v>120</v>
      </c>
      <c r="G47" s="335">
        <v>150000</v>
      </c>
      <c r="H47" s="330"/>
      <c r="I47" s="331">
        <f>E47*100/C47-100</f>
        <v>0</v>
      </c>
    </row>
    <row r="48" spans="1:9" ht="12.75" thickBot="1" x14ac:dyDescent="0.25">
      <c r="A48" s="332" t="s">
        <v>635</v>
      </c>
      <c r="B48" s="333"/>
      <c r="C48" s="334"/>
      <c r="D48" s="330"/>
      <c r="E48" s="335"/>
      <c r="F48" s="330"/>
      <c r="G48" s="335"/>
      <c r="H48" s="330"/>
      <c r="I48" s="336"/>
    </row>
    <row r="49" spans="1:9" ht="12.75" thickBot="1" x14ac:dyDescent="0.25">
      <c r="A49" s="340" t="s">
        <v>38</v>
      </c>
      <c r="B49" s="341"/>
      <c r="C49" s="342">
        <f>SUM(C33:C48)</f>
        <v>34455663</v>
      </c>
      <c r="D49" s="341"/>
      <c r="E49" s="342">
        <f>SUM(E33:E48)</f>
        <v>34671486</v>
      </c>
      <c r="F49" s="341"/>
      <c r="G49" s="342">
        <f>SUM(G33:G48)</f>
        <v>33512949</v>
      </c>
      <c r="H49" s="341"/>
      <c r="I49" s="343">
        <f>E49*100/C49-100</f>
        <v>0.62637889162080285</v>
      </c>
    </row>
    <row r="50" spans="1:9" ht="15.75" x14ac:dyDescent="0.2">
      <c r="A50" s="235"/>
      <c r="B50" s="320"/>
      <c r="C50" s="320"/>
      <c r="D50" s="320"/>
      <c r="E50" s="320"/>
      <c r="F50" s="320"/>
      <c r="G50" s="320"/>
      <c r="H50" s="320"/>
      <c r="I50" s="320"/>
    </row>
    <row r="51" spans="1:9" ht="16.5" thickBot="1" x14ac:dyDescent="0.25">
      <c r="A51" s="256" t="s">
        <v>636</v>
      </c>
      <c r="B51" s="320"/>
      <c r="C51" s="320"/>
      <c r="D51" s="320"/>
      <c r="E51" s="320"/>
      <c r="F51" s="320"/>
      <c r="G51" s="320"/>
      <c r="H51" s="320"/>
      <c r="I51" s="320"/>
    </row>
    <row r="52" spans="1:9" ht="12.75" thickBot="1" x14ac:dyDescent="0.25">
      <c r="A52" s="321" t="s">
        <v>10</v>
      </c>
      <c r="B52" s="1361" t="s">
        <v>592</v>
      </c>
      <c r="C52" s="1361"/>
      <c r="D52" s="1362" t="s">
        <v>593</v>
      </c>
      <c r="E52" s="1363"/>
      <c r="F52" s="1362" t="s">
        <v>594</v>
      </c>
      <c r="G52" s="1364"/>
      <c r="H52" s="1362" t="s">
        <v>595</v>
      </c>
      <c r="I52" s="1364"/>
    </row>
    <row r="53" spans="1:9" ht="24" x14ac:dyDescent="0.2">
      <c r="A53" s="322" t="s">
        <v>9</v>
      </c>
      <c r="B53" s="323" t="s">
        <v>596</v>
      </c>
      <c r="C53" s="324" t="s">
        <v>597</v>
      </c>
      <c r="D53" s="322" t="s">
        <v>596</v>
      </c>
      <c r="E53" s="325" t="s">
        <v>597</v>
      </c>
      <c r="F53" s="322" t="s">
        <v>596</v>
      </c>
      <c r="G53" s="325" t="s">
        <v>597</v>
      </c>
      <c r="H53" s="322" t="s">
        <v>596</v>
      </c>
      <c r="I53" s="325" t="s">
        <v>597</v>
      </c>
    </row>
    <row r="54" spans="1:9" x14ac:dyDescent="0.2">
      <c r="A54" s="332" t="s">
        <v>637</v>
      </c>
      <c r="B54" s="344">
        <v>171</v>
      </c>
      <c r="C54" s="345">
        <v>2485934</v>
      </c>
      <c r="D54" s="344">
        <v>171</v>
      </c>
      <c r="E54" s="345">
        <v>2947012</v>
      </c>
      <c r="F54" s="344">
        <v>171</v>
      </c>
      <c r="G54" s="345">
        <v>3070536</v>
      </c>
      <c r="H54" s="346">
        <f>+B54-D54</f>
        <v>0</v>
      </c>
      <c r="I54" s="331">
        <f>E54*100/C54-100</f>
        <v>18.547475516244603</v>
      </c>
    </row>
    <row r="55" spans="1:9" x14ac:dyDescent="0.2">
      <c r="A55" s="332" t="s">
        <v>621</v>
      </c>
      <c r="B55" s="344"/>
      <c r="C55" s="345"/>
      <c r="D55" s="344"/>
      <c r="E55" s="345"/>
      <c r="F55" s="344"/>
      <c r="G55" s="345"/>
      <c r="H55" s="346"/>
      <c r="I55" s="331"/>
    </row>
    <row r="56" spans="1:9" x14ac:dyDescent="0.2">
      <c r="A56" s="332" t="s">
        <v>622</v>
      </c>
      <c r="B56" s="344"/>
      <c r="C56" s="345"/>
      <c r="D56" s="344"/>
      <c r="E56" s="345"/>
      <c r="F56" s="344"/>
      <c r="G56" s="345"/>
      <c r="H56" s="346"/>
      <c r="I56" s="331"/>
    </row>
    <row r="57" spans="1:9" x14ac:dyDescent="0.2">
      <c r="A57" s="337" t="s">
        <v>623</v>
      </c>
      <c r="B57" s="344"/>
      <c r="C57" s="345"/>
      <c r="D57" s="344"/>
      <c r="E57" s="345"/>
      <c r="F57" s="344"/>
      <c r="G57" s="345"/>
      <c r="H57" s="346"/>
      <c r="I57" s="331"/>
    </row>
    <row r="58" spans="1:9" x14ac:dyDescent="0.2">
      <c r="A58" s="332" t="s">
        <v>624</v>
      </c>
      <c r="B58" s="344"/>
      <c r="C58" s="345"/>
      <c r="D58" s="344"/>
      <c r="E58" s="345"/>
      <c r="F58" s="344"/>
      <c r="G58" s="345"/>
      <c r="H58" s="346"/>
      <c r="I58" s="331"/>
    </row>
    <row r="59" spans="1:9" x14ac:dyDescent="0.2">
      <c r="A59" s="337" t="s">
        <v>625</v>
      </c>
      <c r="B59" s="344">
        <v>171</v>
      </c>
      <c r="C59" s="345">
        <v>166200</v>
      </c>
      <c r="D59" s="344">
        <v>171</v>
      </c>
      <c r="E59" s="345">
        <v>166200</v>
      </c>
      <c r="F59" s="344">
        <v>171</v>
      </c>
      <c r="G59" s="345">
        <v>163400</v>
      </c>
      <c r="H59" s="346">
        <f>+B59-D59</f>
        <v>0</v>
      </c>
      <c r="I59" s="331">
        <f>E59*100/C59-100</f>
        <v>0</v>
      </c>
    </row>
    <row r="60" spans="1:9" x14ac:dyDescent="0.2">
      <c r="A60" s="332" t="s">
        <v>626</v>
      </c>
      <c r="B60" s="344"/>
      <c r="C60" s="345"/>
      <c r="D60" s="344"/>
      <c r="E60" s="345"/>
      <c r="F60" s="344"/>
      <c r="G60" s="345"/>
      <c r="H60" s="346"/>
      <c r="I60" s="331"/>
    </row>
    <row r="61" spans="1:9" x14ac:dyDescent="0.2">
      <c r="A61" s="332" t="s">
        <v>627</v>
      </c>
      <c r="B61" s="344"/>
      <c r="C61" s="345"/>
      <c r="D61" s="344">
        <v>36</v>
      </c>
      <c r="E61" s="345">
        <v>18723</v>
      </c>
      <c r="F61" s="344"/>
      <c r="G61" s="345"/>
      <c r="H61" s="346"/>
      <c r="I61" s="331"/>
    </row>
    <row r="62" spans="1:9" x14ac:dyDescent="0.2">
      <c r="A62" s="332" t="s">
        <v>628</v>
      </c>
      <c r="B62" s="344"/>
      <c r="C62" s="345"/>
      <c r="D62" s="344"/>
      <c r="E62" s="345"/>
      <c r="F62" s="344"/>
      <c r="G62" s="345"/>
      <c r="H62" s="346"/>
      <c r="I62" s="331"/>
    </row>
    <row r="63" spans="1:9" x14ac:dyDescent="0.2">
      <c r="A63" s="332" t="s">
        <v>629</v>
      </c>
      <c r="B63" s="344">
        <v>171</v>
      </c>
      <c r="C63" s="345">
        <v>206886</v>
      </c>
      <c r="D63" s="344">
        <v>171</v>
      </c>
      <c r="E63" s="345">
        <v>219001</v>
      </c>
      <c r="F63" s="344">
        <v>171</v>
      </c>
      <c r="G63" s="345">
        <v>228423</v>
      </c>
      <c r="H63" s="346">
        <f>+B63-D63</f>
        <v>0</v>
      </c>
      <c r="I63" s="331">
        <f>E63*100/C63-100</f>
        <v>5.8558819833144753</v>
      </c>
    </row>
    <row r="64" spans="1:9" x14ac:dyDescent="0.2">
      <c r="A64" s="332" t="s">
        <v>630</v>
      </c>
      <c r="B64" s="344"/>
      <c r="C64" s="345"/>
      <c r="D64" s="344"/>
      <c r="E64" s="345"/>
      <c r="F64" s="344"/>
      <c r="G64" s="345"/>
      <c r="H64" s="346"/>
      <c r="I64" s="331"/>
    </row>
    <row r="65" spans="1:9" x14ac:dyDescent="0.2">
      <c r="A65" s="332" t="s">
        <v>631</v>
      </c>
      <c r="B65" s="344"/>
      <c r="C65" s="345"/>
      <c r="D65" s="344"/>
      <c r="E65" s="345"/>
      <c r="F65" s="344"/>
      <c r="G65" s="345"/>
      <c r="H65" s="346"/>
      <c r="I65" s="331"/>
    </row>
    <row r="66" spans="1:9" x14ac:dyDescent="0.2">
      <c r="A66" s="332" t="s">
        <v>632</v>
      </c>
      <c r="B66" s="344"/>
      <c r="C66" s="345"/>
      <c r="D66" s="344"/>
      <c r="E66" s="345"/>
      <c r="F66" s="344"/>
      <c r="G66" s="345"/>
      <c r="H66" s="346"/>
      <c r="I66" s="331"/>
    </row>
    <row r="67" spans="1:9" x14ac:dyDescent="0.2">
      <c r="A67" s="332" t="s">
        <v>633</v>
      </c>
      <c r="B67" s="344">
        <v>123</v>
      </c>
      <c r="C67" s="345">
        <v>1572600</v>
      </c>
      <c r="D67" s="344">
        <v>123</v>
      </c>
      <c r="E67" s="345">
        <v>1426200</v>
      </c>
      <c r="F67" s="344">
        <v>123</v>
      </c>
      <c r="G67" s="345">
        <v>1587000</v>
      </c>
      <c r="H67" s="346">
        <f>+B67-D67</f>
        <v>0</v>
      </c>
      <c r="I67" s="331">
        <f>E67*100/C67-100</f>
        <v>-9.3094238840137393</v>
      </c>
    </row>
    <row r="68" spans="1:9" x14ac:dyDescent="0.2">
      <c r="A68" s="332" t="s">
        <v>634</v>
      </c>
      <c r="B68" s="344">
        <v>123</v>
      </c>
      <c r="C68" s="345">
        <v>73800</v>
      </c>
      <c r="D68" s="344">
        <v>123</v>
      </c>
      <c r="E68" s="345">
        <v>69741</v>
      </c>
      <c r="F68" s="344">
        <v>123</v>
      </c>
      <c r="G68" s="345">
        <v>69741</v>
      </c>
      <c r="H68" s="346">
        <f>+B68-D68</f>
        <v>0</v>
      </c>
      <c r="I68" s="331">
        <f>E68*100/C68-100</f>
        <v>-5.5</v>
      </c>
    </row>
    <row r="69" spans="1:9" ht="12.75" thickBot="1" x14ac:dyDescent="0.25">
      <c r="A69" s="332" t="s">
        <v>635</v>
      </c>
      <c r="B69" s="344"/>
      <c r="C69" s="345"/>
      <c r="D69" s="344"/>
      <c r="E69" s="345"/>
      <c r="F69" s="344"/>
      <c r="G69" s="345"/>
      <c r="H69" s="346"/>
      <c r="I69" s="347"/>
    </row>
    <row r="70" spans="1:9" ht="12.75" thickBot="1" x14ac:dyDescent="0.25">
      <c r="A70" s="340" t="s">
        <v>38</v>
      </c>
      <c r="B70" s="348"/>
      <c r="C70" s="349">
        <f>SUM(C54:C69)</f>
        <v>4505420</v>
      </c>
      <c r="D70" s="350"/>
      <c r="E70" s="351">
        <f>SUM(E54:E69)</f>
        <v>4846877</v>
      </c>
      <c r="F70" s="350"/>
      <c r="G70" s="351">
        <f>SUM(G54:G69)</f>
        <v>5119100</v>
      </c>
      <c r="H70" s="350">
        <v>0</v>
      </c>
      <c r="I70" s="352">
        <f>SUM(I54:I69)</f>
        <v>9.593933615545339</v>
      </c>
    </row>
    <row r="71" spans="1:9" x14ac:dyDescent="0.2">
      <c r="A71" s="255"/>
      <c r="B71" s="256"/>
      <c r="C71" s="256"/>
      <c r="D71" s="256"/>
      <c r="E71" s="256"/>
      <c r="F71" s="256"/>
      <c r="G71" s="256"/>
      <c r="H71" s="256"/>
      <c r="I71" s="256"/>
    </row>
    <row r="72" spans="1:9" x14ac:dyDescent="0.2">
      <c r="A72" s="255"/>
      <c r="B72" s="256"/>
      <c r="C72" s="256"/>
      <c r="D72" s="256"/>
      <c r="E72" s="256"/>
      <c r="F72" s="256"/>
      <c r="G72" s="256"/>
      <c r="H72" s="256"/>
      <c r="I72" s="256"/>
    </row>
    <row r="73" spans="1:9" x14ac:dyDescent="0.2">
      <c r="A73" s="255"/>
      <c r="B73" s="256"/>
      <c r="C73" s="256"/>
      <c r="D73" s="256"/>
      <c r="E73" s="256"/>
      <c r="F73" s="256"/>
      <c r="G73" s="256"/>
      <c r="H73" s="256"/>
      <c r="I73" s="256"/>
    </row>
    <row r="74" spans="1:9" ht="16.5" thickBot="1" x14ac:dyDescent="0.25">
      <c r="A74" s="256" t="s">
        <v>638</v>
      </c>
      <c r="B74" s="320"/>
      <c r="C74" s="320"/>
      <c r="D74" s="320"/>
      <c r="E74" s="320"/>
      <c r="F74" s="320"/>
      <c r="G74" s="320"/>
      <c r="H74" s="320"/>
      <c r="I74" s="320"/>
    </row>
    <row r="75" spans="1:9" ht="12.75" thickBot="1" x14ac:dyDescent="0.25">
      <c r="A75" s="321" t="s">
        <v>10</v>
      </c>
      <c r="B75" s="1361" t="s">
        <v>592</v>
      </c>
      <c r="C75" s="1361"/>
      <c r="D75" s="1362" t="s">
        <v>593</v>
      </c>
      <c r="E75" s="1363"/>
      <c r="F75" s="1362" t="s">
        <v>594</v>
      </c>
      <c r="G75" s="1364"/>
      <c r="H75" s="1362" t="s">
        <v>595</v>
      </c>
      <c r="I75" s="1364"/>
    </row>
    <row r="76" spans="1:9" ht="24" x14ac:dyDescent="0.2">
      <c r="A76" s="322" t="s">
        <v>9</v>
      </c>
      <c r="B76" s="323" t="s">
        <v>596</v>
      </c>
      <c r="C76" s="324" t="s">
        <v>597</v>
      </c>
      <c r="D76" s="322" t="s">
        <v>596</v>
      </c>
      <c r="E76" s="325" t="s">
        <v>597</v>
      </c>
      <c r="F76" s="322" t="s">
        <v>596</v>
      </c>
      <c r="G76" s="325" t="s">
        <v>597</v>
      </c>
      <c r="H76" s="322" t="s">
        <v>596</v>
      </c>
      <c r="I76" s="325" t="s">
        <v>597</v>
      </c>
    </row>
    <row r="77" spans="1:9" x14ac:dyDescent="0.2">
      <c r="A77" s="332" t="s">
        <v>637</v>
      </c>
      <c r="B77" s="353">
        <v>4613</v>
      </c>
      <c r="C77" s="354">
        <v>124436013</v>
      </c>
      <c r="D77" s="355">
        <v>4782</v>
      </c>
      <c r="E77" s="356">
        <v>146795771</v>
      </c>
      <c r="F77" s="355">
        <v>4782</v>
      </c>
      <c r="G77" s="356">
        <v>143204478</v>
      </c>
      <c r="H77" s="330">
        <f>D77-B77</f>
        <v>169</v>
      </c>
      <c r="I77" s="331">
        <f>E77*100/C77-100</f>
        <v>17.968880118330375</v>
      </c>
    </row>
    <row r="78" spans="1:9" x14ac:dyDescent="0.2">
      <c r="A78" s="332" t="s">
        <v>621</v>
      </c>
      <c r="B78" s="353"/>
      <c r="C78" s="354"/>
      <c r="D78" s="355"/>
      <c r="E78" s="356"/>
      <c r="F78" s="355"/>
      <c r="G78" s="356"/>
      <c r="H78" s="330"/>
      <c r="I78" s="357"/>
    </row>
    <row r="79" spans="1:9" x14ac:dyDescent="0.2">
      <c r="A79" s="332" t="s">
        <v>622</v>
      </c>
      <c r="B79" s="353"/>
      <c r="C79" s="354"/>
      <c r="D79" s="355"/>
      <c r="E79" s="356"/>
      <c r="F79" s="355"/>
      <c r="G79" s="356"/>
      <c r="H79" s="330"/>
      <c r="I79" s="357"/>
    </row>
    <row r="80" spans="1:9" x14ac:dyDescent="0.2">
      <c r="A80" s="337" t="s">
        <v>623</v>
      </c>
      <c r="B80" s="353"/>
      <c r="C80" s="354"/>
      <c r="D80" s="355"/>
      <c r="E80" s="356"/>
      <c r="F80" s="355"/>
      <c r="G80" s="356"/>
      <c r="H80" s="330"/>
      <c r="I80" s="357"/>
    </row>
    <row r="81" spans="1:9" x14ac:dyDescent="0.2">
      <c r="A81" s="332" t="s">
        <v>624</v>
      </c>
      <c r="B81" s="353"/>
      <c r="C81" s="354"/>
      <c r="D81" s="355"/>
      <c r="E81" s="356"/>
      <c r="F81" s="355"/>
      <c r="G81" s="356"/>
      <c r="H81" s="330"/>
      <c r="I81" s="357"/>
    </row>
    <row r="82" spans="1:9" x14ac:dyDescent="0.2">
      <c r="A82" s="337" t="s">
        <v>625</v>
      </c>
      <c r="B82" s="353">
        <v>4613</v>
      </c>
      <c r="C82" s="354">
        <v>4126040</v>
      </c>
      <c r="D82" s="355">
        <v>4782</v>
      </c>
      <c r="E82" s="356">
        <v>4148960</v>
      </c>
      <c r="F82" s="355">
        <v>4782</v>
      </c>
      <c r="G82" s="356">
        <v>4379160</v>
      </c>
      <c r="H82" s="330">
        <f>D82-B82</f>
        <v>169</v>
      </c>
      <c r="I82" s="331">
        <f>E82*100/C82-100</f>
        <v>0.55549631123304266</v>
      </c>
    </row>
    <row r="83" spans="1:9" x14ac:dyDescent="0.2">
      <c r="A83" s="332" t="s">
        <v>626</v>
      </c>
      <c r="B83" s="353"/>
      <c r="C83" s="354"/>
      <c r="D83" s="355"/>
      <c r="E83" s="356"/>
      <c r="F83" s="355"/>
      <c r="G83" s="356"/>
      <c r="H83" s="330"/>
      <c r="I83" s="357"/>
    </row>
    <row r="84" spans="1:9" x14ac:dyDescent="0.2">
      <c r="A84" s="332" t="s">
        <v>627</v>
      </c>
      <c r="B84" s="353">
        <v>22</v>
      </c>
      <c r="C84" s="354">
        <v>163500</v>
      </c>
      <c r="D84" s="355">
        <v>231</v>
      </c>
      <c r="E84" s="356">
        <v>1714614</v>
      </c>
      <c r="F84" s="355">
        <v>231</v>
      </c>
      <c r="G84" s="356">
        <v>1779898</v>
      </c>
      <c r="H84" s="330">
        <f>D84-B84</f>
        <v>209</v>
      </c>
      <c r="I84" s="331">
        <f>E84*100/C84-100</f>
        <v>948.69357798165129</v>
      </c>
    </row>
    <row r="85" spans="1:9" x14ac:dyDescent="0.2">
      <c r="A85" s="332" t="s">
        <v>628</v>
      </c>
      <c r="B85" s="353"/>
      <c r="C85" s="354"/>
      <c r="D85" s="355"/>
      <c r="E85" s="356"/>
      <c r="F85" s="355"/>
      <c r="G85" s="356"/>
      <c r="H85" s="330"/>
      <c r="I85" s="357"/>
    </row>
    <row r="86" spans="1:9" x14ac:dyDescent="0.2">
      <c r="A86" s="332" t="s">
        <v>629</v>
      </c>
      <c r="B86" s="353">
        <v>4613</v>
      </c>
      <c r="C86" s="354">
        <v>7653127</v>
      </c>
      <c r="D86" s="355">
        <v>4782</v>
      </c>
      <c r="E86" s="356">
        <v>8831472</v>
      </c>
      <c r="F86" s="355">
        <v>4782</v>
      </c>
      <c r="G86" s="356">
        <v>8661998</v>
      </c>
      <c r="H86" s="330">
        <f>D86-B86</f>
        <v>169</v>
      </c>
      <c r="I86" s="331">
        <f>E86*100/C86-100</f>
        <v>15.396909002032757</v>
      </c>
    </row>
    <row r="87" spans="1:9" x14ac:dyDescent="0.2">
      <c r="A87" s="332" t="s">
        <v>630</v>
      </c>
      <c r="B87" s="353"/>
      <c r="C87" s="354"/>
      <c r="D87" s="355"/>
      <c r="E87" s="356"/>
      <c r="F87" s="355"/>
      <c r="G87" s="356"/>
      <c r="H87" s="330"/>
      <c r="I87" s="357"/>
    </row>
    <row r="88" spans="1:9" x14ac:dyDescent="0.2">
      <c r="A88" s="332" t="s">
        <v>631</v>
      </c>
      <c r="B88" s="353"/>
      <c r="C88" s="354"/>
      <c r="D88" s="355"/>
      <c r="E88" s="356"/>
      <c r="F88" s="355"/>
      <c r="G88" s="356"/>
      <c r="H88" s="330"/>
      <c r="I88" s="357"/>
    </row>
    <row r="89" spans="1:9" x14ac:dyDescent="0.2">
      <c r="A89" s="332" t="s">
        <v>632</v>
      </c>
      <c r="B89" s="353"/>
      <c r="C89" s="354"/>
      <c r="D89" s="355"/>
      <c r="E89" s="356"/>
      <c r="F89" s="355"/>
      <c r="G89" s="356"/>
      <c r="H89" s="330"/>
      <c r="I89" s="357"/>
    </row>
    <row r="90" spans="1:9" x14ac:dyDescent="0.2">
      <c r="A90" s="332" t="s">
        <v>633</v>
      </c>
      <c r="B90" s="353">
        <v>612</v>
      </c>
      <c r="C90" s="354">
        <v>7898480</v>
      </c>
      <c r="D90" s="355">
        <v>612</v>
      </c>
      <c r="E90" s="356">
        <v>7934340</v>
      </c>
      <c r="F90" s="355">
        <v>612</v>
      </c>
      <c r="G90" s="356">
        <v>8681580</v>
      </c>
      <c r="H90" s="330">
        <f>D90-B90</f>
        <v>0</v>
      </c>
      <c r="I90" s="331">
        <f>E90*100/C90-100</f>
        <v>0.4540114047259749</v>
      </c>
    </row>
    <row r="91" spans="1:9" x14ac:dyDescent="0.2">
      <c r="A91" s="332" t="s">
        <v>634</v>
      </c>
      <c r="B91" s="353">
        <v>57</v>
      </c>
      <c r="C91" s="354">
        <v>123400</v>
      </c>
      <c r="D91" s="355">
        <v>57</v>
      </c>
      <c r="E91" s="356">
        <v>123400</v>
      </c>
      <c r="F91" s="355">
        <v>57</v>
      </c>
      <c r="G91" s="356">
        <v>123400</v>
      </c>
      <c r="H91" s="330">
        <f>D91-B91</f>
        <v>0</v>
      </c>
      <c r="I91" s="356">
        <f>E91-C91</f>
        <v>0</v>
      </c>
    </row>
    <row r="92" spans="1:9" ht="12.75" thickBot="1" x14ac:dyDescent="0.25">
      <c r="A92" s="332" t="s">
        <v>635</v>
      </c>
      <c r="B92" s="353"/>
      <c r="C92" s="354"/>
      <c r="D92" s="355"/>
      <c r="E92" s="356"/>
      <c r="F92" s="355"/>
      <c r="G92" s="356"/>
      <c r="H92" s="330"/>
      <c r="I92" s="357"/>
    </row>
    <row r="93" spans="1:9" ht="12.75" thickBot="1" x14ac:dyDescent="0.25">
      <c r="A93" s="340" t="s">
        <v>38</v>
      </c>
      <c r="B93" s="358">
        <v>4613</v>
      </c>
      <c r="C93" s="359">
        <f>SUM(C77:C92)</f>
        <v>144400560</v>
      </c>
      <c r="D93" s="360">
        <v>4782</v>
      </c>
      <c r="E93" s="359">
        <f>SUM(E77:E92)</f>
        <v>169548557</v>
      </c>
      <c r="F93" s="360">
        <v>4782</v>
      </c>
      <c r="G93" s="359">
        <f>SUM(G77:G92)</f>
        <v>166830514</v>
      </c>
      <c r="H93" s="360">
        <f>D93-B93</f>
        <v>169</v>
      </c>
      <c r="I93" s="359">
        <f>SUM(I77:I92)</f>
        <v>983.06887481797344</v>
      </c>
    </row>
    <row r="94" spans="1:9" x14ac:dyDescent="0.2">
      <c r="A94" s="234"/>
      <c r="B94" s="234"/>
      <c r="C94" s="234"/>
      <c r="D94" s="234"/>
      <c r="E94" s="234"/>
      <c r="F94" s="234"/>
      <c r="G94" s="234"/>
      <c r="H94" s="234"/>
      <c r="I94" s="234"/>
    </row>
    <row r="95" spans="1:9" x14ac:dyDescent="0.2">
      <c r="A95" s="234"/>
      <c r="B95" s="234"/>
      <c r="C95" s="234"/>
      <c r="D95" s="234"/>
      <c r="E95" s="234"/>
      <c r="F95" s="234"/>
      <c r="G95" s="234"/>
      <c r="H95" s="234"/>
      <c r="I95" s="234"/>
    </row>
    <row r="96" spans="1:9" ht="12.75" thickBot="1" x14ac:dyDescent="0.25">
      <c r="A96" s="361" t="s">
        <v>639</v>
      </c>
      <c r="B96" s="362"/>
      <c r="C96" s="234"/>
      <c r="D96" s="234"/>
      <c r="E96" s="362"/>
      <c r="F96" s="234"/>
      <c r="G96" s="234"/>
      <c r="H96" s="234"/>
      <c r="I96" s="234"/>
    </row>
    <row r="97" spans="1:9" ht="12.75" thickBot="1" x14ac:dyDescent="0.25">
      <c r="A97" s="321" t="s">
        <v>10</v>
      </c>
      <c r="B97" s="1361" t="s">
        <v>592</v>
      </c>
      <c r="C97" s="1361"/>
      <c r="D97" s="1362" t="s">
        <v>593</v>
      </c>
      <c r="E97" s="1363"/>
      <c r="F97" s="1362" t="s">
        <v>594</v>
      </c>
      <c r="G97" s="1364"/>
      <c r="H97" s="1362" t="s">
        <v>595</v>
      </c>
      <c r="I97" s="1364"/>
    </row>
    <row r="98" spans="1:9" ht="24" x14ac:dyDescent="0.2">
      <c r="A98" s="322" t="s">
        <v>9</v>
      </c>
      <c r="B98" s="323" t="s">
        <v>596</v>
      </c>
      <c r="C98" s="324" t="s">
        <v>597</v>
      </c>
      <c r="D98" s="322" t="s">
        <v>596</v>
      </c>
      <c r="E98" s="325" t="s">
        <v>597</v>
      </c>
      <c r="F98" s="322" t="s">
        <v>596</v>
      </c>
      <c r="G98" s="325" t="s">
        <v>597</v>
      </c>
      <c r="H98" s="322" t="s">
        <v>596</v>
      </c>
      <c r="I98" s="325" t="s">
        <v>597</v>
      </c>
    </row>
    <row r="99" spans="1:9" x14ac:dyDescent="0.2">
      <c r="A99" s="332" t="s">
        <v>637</v>
      </c>
      <c r="B99" s="333">
        <v>5519</v>
      </c>
      <c r="C99" s="334">
        <v>139460165</v>
      </c>
      <c r="D99" s="330">
        <v>5404</v>
      </c>
      <c r="E99" s="335">
        <f>5312160+706080+112497884+31612318+5993422+48000+5924520+80256+80256+2087000</f>
        <v>164341896</v>
      </c>
      <c r="F99" s="330">
        <f>5404+41</f>
        <v>5445</v>
      </c>
      <c r="G99" s="335">
        <f>4981151+452424+128544+116699045+29783760+4149567+48000+5213780+80256+80256</f>
        <v>161616783</v>
      </c>
      <c r="H99" s="330">
        <f>B99-D99</f>
        <v>115</v>
      </c>
      <c r="I99" s="331">
        <f>E99*100/C99-100</f>
        <v>17.841461036561952</v>
      </c>
    </row>
    <row r="100" spans="1:9" x14ac:dyDescent="0.2">
      <c r="A100" s="332" t="s">
        <v>621</v>
      </c>
      <c r="B100" s="333"/>
      <c r="C100" s="334"/>
      <c r="D100" s="330"/>
      <c r="E100" s="335"/>
      <c r="F100" s="330"/>
      <c r="G100" s="335"/>
      <c r="H100" s="330"/>
      <c r="I100" s="335"/>
    </row>
    <row r="101" spans="1:9" x14ac:dyDescent="0.2">
      <c r="A101" s="332" t="s">
        <v>622</v>
      </c>
      <c r="B101" s="333"/>
      <c r="C101" s="334"/>
      <c r="D101" s="330"/>
      <c r="E101" s="335"/>
      <c r="F101" s="330"/>
      <c r="G101" s="335"/>
      <c r="H101" s="330"/>
      <c r="I101" s="335"/>
    </row>
    <row r="102" spans="1:9" x14ac:dyDescent="0.2">
      <c r="A102" s="337" t="s">
        <v>623</v>
      </c>
      <c r="B102" s="333"/>
      <c r="C102" s="334"/>
      <c r="D102" s="330"/>
      <c r="E102" s="335"/>
      <c r="F102" s="330"/>
      <c r="G102" s="335"/>
      <c r="H102" s="330"/>
      <c r="I102" s="335"/>
    </row>
    <row r="103" spans="1:9" x14ac:dyDescent="0.2">
      <c r="A103" s="332" t="s">
        <v>624</v>
      </c>
      <c r="B103" s="333"/>
      <c r="C103" s="334"/>
      <c r="D103" s="330"/>
      <c r="E103" s="335"/>
      <c r="F103" s="330"/>
      <c r="G103" s="335"/>
      <c r="H103" s="330"/>
      <c r="I103" s="335"/>
    </row>
    <row r="104" spans="1:9" x14ac:dyDescent="0.2">
      <c r="A104" s="337" t="s">
        <v>625</v>
      </c>
      <c r="B104" s="333">
        <v>5519</v>
      </c>
      <c r="C104" s="334">
        <v>4471120</v>
      </c>
      <c r="D104" s="330">
        <v>5404</v>
      </c>
      <c r="E104" s="335">
        <f>3213060+1526800+814296</f>
        <v>5554156</v>
      </c>
      <c r="F104" s="330">
        <v>5445</v>
      </c>
      <c r="G104" s="335">
        <f>1639700+3089680+1062517</f>
        <v>5791897</v>
      </c>
      <c r="H104" s="330">
        <f>B104-D104</f>
        <v>115</v>
      </c>
      <c r="I104" s="331">
        <f>E104*100/C104-100</f>
        <v>24.222924010091432</v>
      </c>
    </row>
    <row r="105" spans="1:9" x14ac:dyDescent="0.2">
      <c r="A105" s="332" t="s">
        <v>626</v>
      </c>
      <c r="B105" s="333"/>
      <c r="C105" s="334"/>
      <c r="D105" s="330"/>
      <c r="E105" s="335"/>
      <c r="F105" s="330"/>
      <c r="G105" s="335"/>
      <c r="H105" s="330"/>
      <c r="I105" s="331"/>
    </row>
    <row r="106" spans="1:9" x14ac:dyDescent="0.2">
      <c r="A106" s="332" t="s">
        <v>627</v>
      </c>
      <c r="B106" s="333">
        <v>2563</v>
      </c>
      <c r="C106" s="334">
        <v>453532</v>
      </c>
      <c r="D106" s="330">
        <v>2780</v>
      </c>
      <c r="E106" s="335">
        <f>873873+162000+9240+168652</f>
        <v>1213765</v>
      </c>
      <c r="F106" s="330">
        <v>2780</v>
      </c>
      <c r="G106" s="335">
        <f>255634+16380+1565971+175704</f>
        <v>2013689</v>
      </c>
      <c r="H106" s="330">
        <f>B106-D106</f>
        <v>-217</v>
      </c>
      <c r="I106" s="331">
        <f>E106*100/C106-100</f>
        <v>167.62499669262587</v>
      </c>
    </row>
    <row r="107" spans="1:9" x14ac:dyDescent="0.2">
      <c r="A107" s="332" t="s">
        <v>628</v>
      </c>
      <c r="B107" s="333"/>
      <c r="C107" s="334"/>
      <c r="D107" s="330"/>
      <c r="E107" s="335"/>
      <c r="F107" s="330"/>
      <c r="G107" s="335"/>
      <c r="H107" s="330"/>
      <c r="I107" s="331"/>
    </row>
    <row r="108" spans="1:9" x14ac:dyDescent="0.2">
      <c r="A108" s="332" t="s">
        <v>629</v>
      </c>
      <c r="B108" s="333">
        <v>5519</v>
      </c>
      <c r="C108" s="334">
        <v>11414226</v>
      </c>
      <c r="D108" s="330">
        <v>5404</v>
      </c>
      <c r="E108" s="335">
        <f>15840+9695994</f>
        <v>9711834</v>
      </c>
      <c r="F108" s="330">
        <v>5404</v>
      </c>
      <c r="G108" s="335">
        <f>7536+9780523</f>
        <v>9788059</v>
      </c>
      <c r="H108" s="330">
        <f>B108-D108</f>
        <v>115</v>
      </c>
      <c r="I108" s="331">
        <f>E108*100/C108-100</f>
        <v>-14.914651243106633</v>
      </c>
    </row>
    <row r="109" spans="1:9" x14ac:dyDescent="0.2">
      <c r="A109" s="332" t="s">
        <v>630</v>
      </c>
      <c r="B109" s="333"/>
      <c r="C109" s="334"/>
      <c r="D109" s="330"/>
      <c r="E109" s="335"/>
      <c r="F109" s="330"/>
      <c r="G109" s="335"/>
      <c r="H109" s="330"/>
      <c r="I109" s="331"/>
    </row>
    <row r="110" spans="1:9" x14ac:dyDescent="0.2">
      <c r="A110" s="332" t="s">
        <v>631</v>
      </c>
      <c r="B110" s="333"/>
      <c r="C110" s="334"/>
      <c r="D110" s="330"/>
      <c r="E110" s="335"/>
      <c r="F110" s="330"/>
      <c r="G110" s="335"/>
      <c r="H110" s="330"/>
      <c r="I110" s="331"/>
    </row>
    <row r="111" spans="1:9" x14ac:dyDescent="0.2">
      <c r="A111" s="332" t="s">
        <v>632</v>
      </c>
      <c r="B111" s="333"/>
      <c r="C111" s="334"/>
      <c r="D111" s="330"/>
      <c r="E111" s="335"/>
      <c r="F111" s="330"/>
      <c r="G111" s="335"/>
      <c r="H111" s="330"/>
      <c r="I111" s="331"/>
    </row>
    <row r="112" spans="1:9" x14ac:dyDescent="0.2">
      <c r="A112" s="332" t="s">
        <v>633</v>
      </c>
      <c r="B112" s="333">
        <v>575</v>
      </c>
      <c r="C112" s="334">
        <v>7467360</v>
      </c>
      <c r="D112" s="330">
        <v>547</v>
      </c>
      <c r="E112" s="335">
        <v>7564176</v>
      </c>
      <c r="F112" s="330">
        <v>588</v>
      </c>
      <c r="G112" s="335">
        <v>8468724</v>
      </c>
      <c r="H112" s="330">
        <f>B112-D112</f>
        <v>28</v>
      </c>
      <c r="I112" s="331">
        <f>E112*100/C112-100</f>
        <v>1.2965224657710337</v>
      </c>
    </row>
    <row r="113" spans="1:9" x14ac:dyDescent="0.2">
      <c r="A113" s="332" t="s">
        <v>634</v>
      </c>
      <c r="B113" s="333">
        <v>54</v>
      </c>
      <c r="C113" s="334">
        <v>90703</v>
      </c>
      <c r="D113" s="330">
        <v>54</v>
      </c>
      <c r="E113" s="335">
        <f>90703+25933</f>
        <v>116636</v>
      </c>
      <c r="F113" s="330">
        <v>54</v>
      </c>
      <c r="G113" s="335">
        <v>90703</v>
      </c>
      <c r="H113" s="330">
        <f>B113-D113</f>
        <v>0</v>
      </c>
      <c r="I113" s="331">
        <f>E113*100/C113-100</f>
        <v>28.591116060108277</v>
      </c>
    </row>
    <row r="114" spans="1:9" ht="12.75" thickBot="1" x14ac:dyDescent="0.25">
      <c r="A114" s="332" t="s">
        <v>635</v>
      </c>
      <c r="B114" s="333"/>
      <c r="C114" s="334"/>
      <c r="D114" s="330"/>
      <c r="E114" s="335"/>
      <c r="F114" s="330"/>
      <c r="G114" s="335"/>
      <c r="H114" s="330"/>
      <c r="I114" s="331"/>
    </row>
    <row r="115" spans="1:9" ht="12.75" thickBot="1" x14ac:dyDescent="0.25">
      <c r="A115" s="340" t="s">
        <v>38</v>
      </c>
      <c r="B115" s="363"/>
      <c r="C115" s="342">
        <f>SUM(C99:C114)</f>
        <v>163357106</v>
      </c>
      <c r="D115" s="363"/>
      <c r="E115" s="342">
        <f>SUM(E99:E114)</f>
        <v>188502463</v>
      </c>
      <c r="F115" s="363"/>
      <c r="G115" s="342">
        <f>SUM(G99:G114)</f>
        <v>187769855</v>
      </c>
      <c r="H115" s="363"/>
      <c r="I115" s="342">
        <f>SUM(I99:I114)</f>
        <v>224.66236902205196</v>
      </c>
    </row>
    <row r="116" spans="1:9" x14ac:dyDescent="0.2">
      <c r="A116" s="234"/>
      <c r="B116" s="234"/>
      <c r="C116" s="234"/>
      <c r="D116" s="234"/>
      <c r="E116" s="234"/>
      <c r="F116" s="234"/>
      <c r="G116" s="234"/>
      <c r="H116" s="234"/>
      <c r="I116" s="234"/>
    </row>
    <row r="117" spans="1:9" x14ac:dyDescent="0.2">
      <c r="A117" s="234"/>
      <c r="B117" s="234"/>
      <c r="C117" s="234"/>
      <c r="D117" s="234"/>
      <c r="E117" s="234"/>
      <c r="F117" s="234"/>
      <c r="G117" s="234"/>
      <c r="H117" s="234"/>
      <c r="I117" s="234"/>
    </row>
    <row r="118" spans="1:9" ht="12.75" thickBot="1" x14ac:dyDescent="0.25">
      <c r="A118" s="361" t="s">
        <v>725</v>
      </c>
      <c r="B118" s="362"/>
      <c r="C118" s="234"/>
      <c r="D118" s="234"/>
      <c r="E118" s="362"/>
      <c r="F118" s="234"/>
      <c r="G118" s="234"/>
      <c r="H118" s="234"/>
      <c r="I118" s="234"/>
    </row>
    <row r="119" spans="1:9" ht="12.75" thickBot="1" x14ac:dyDescent="0.25">
      <c r="A119" s="509" t="s">
        <v>10</v>
      </c>
      <c r="B119" s="1369" t="s">
        <v>592</v>
      </c>
      <c r="C119" s="1369"/>
      <c r="D119" s="1370" t="s">
        <v>593</v>
      </c>
      <c r="E119" s="1371"/>
      <c r="F119" s="1370" t="s">
        <v>594</v>
      </c>
      <c r="G119" s="1372"/>
      <c r="H119" s="1370" t="s">
        <v>595</v>
      </c>
      <c r="I119" s="1372"/>
    </row>
    <row r="120" spans="1:9" ht="24" x14ac:dyDescent="0.2">
      <c r="A120" s="510" t="s">
        <v>9</v>
      </c>
      <c r="B120" s="511" t="s">
        <v>596</v>
      </c>
      <c r="C120" s="512" t="s">
        <v>597</v>
      </c>
      <c r="D120" s="510" t="s">
        <v>596</v>
      </c>
      <c r="E120" s="513" t="s">
        <v>597</v>
      </c>
      <c r="F120" s="510" t="s">
        <v>596</v>
      </c>
      <c r="G120" s="513" t="s">
        <v>597</v>
      </c>
      <c r="H120" s="510" t="s">
        <v>596</v>
      </c>
      <c r="I120" s="513" t="s">
        <v>597</v>
      </c>
    </row>
    <row r="121" spans="1:9" x14ac:dyDescent="0.2">
      <c r="A121" s="514" t="s">
        <v>637</v>
      </c>
      <c r="B121" s="515">
        <v>644</v>
      </c>
      <c r="C121" s="516">
        <v>29348339</v>
      </c>
      <c r="D121" s="517">
        <v>631</v>
      </c>
      <c r="E121" s="518">
        <v>31317022</v>
      </c>
      <c r="F121" s="517">
        <v>632</v>
      </c>
      <c r="G121" s="518">
        <v>31209295</v>
      </c>
      <c r="H121" s="517">
        <f>+B121-D121</f>
        <v>13</v>
      </c>
      <c r="I121" s="518">
        <f>+C121-E121</f>
        <v>-1968683</v>
      </c>
    </row>
    <row r="122" spans="1:9" x14ac:dyDescent="0.2">
      <c r="A122" s="514" t="s">
        <v>621</v>
      </c>
      <c r="B122" s="515"/>
      <c r="C122" s="516"/>
      <c r="D122" s="517"/>
      <c r="E122" s="518"/>
      <c r="F122" s="517"/>
      <c r="G122" s="518"/>
      <c r="H122" s="517"/>
      <c r="I122" s="518"/>
    </row>
    <row r="123" spans="1:9" x14ac:dyDescent="0.2">
      <c r="A123" s="514" t="s">
        <v>622</v>
      </c>
      <c r="B123" s="515"/>
      <c r="C123" s="516"/>
      <c r="D123" s="517"/>
      <c r="E123" s="518"/>
      <c r="F123" s="517"/>
      <c r="G123" s="518"/>
      <c r="H123" s="517"/>
      <c r="I123" s="518"/>
    </row>
    <row r="124" spans="1:9" x14ac:dyDescent="0.2">
      <c r="A124" s="519" t="s">
        <v>623</v>
      </c>
      <c r="B124" s="515"/>
      <c r="C124" s="516"/>
      <c r="D124" s="517"/>
      <c r="E124" s="518"/>
      <c r="F124" s="517"/>
      <c r="G124" s="518"/>
      <c r="H124" s="517"/>
      <c r="I124" s="518"/>
    </row>
    <row r="125" spans="1:9" x14ac:dyDescent="0.2">
      <c r="A125" s="514" t="s">
        <v>624</v>
      </c>
      <c r="B125" s="515"/>
      <c r="C125" s="516"/>
      <c r="D125" s="517"/>
      <c r="E125" s="518"/>
      <c r="F125" s="517"/>
      <c r="G125" s="518"/>
      <c r="H125" s="517"/>
      <c r="I125" s="518"/>
    </row>
    <row r="126" spans="1:9" x14ac:dyDescent="0.2">
      <c r="A126" s="519" t="s">
        <v>625</v>
      </c>
      <c r="B126" s="515">
        <v>644</v>
      </c>
      <c r="C126" s="516">
        <f>378600+265800</f>
        <v>644400</v>
      </c>
      <c r="D126" s="517">
        <v>631</v>
      </c>
      <c r="E126" s="518">
        <f>378600+252400</f>
        <v>631000</v>
      </c>
      <c r="F126" s="517">
        <v>632</v>
      </c>
      <c r="G126" s="518">
        <v>618000</v>
      </c>
      <c r="H126" s="517">
        <f>+B126-D126</f>
        <v>13</v>
      </c>
      <c r="I126" s="518">
        <f>+C126-E126</f>
        <v>13400</v>
      </c>
    </row>
    <row r="127" spans="1:9" x14ac:dyDescent="0.2">
      <c r="A127" s="514" t="s">
        <v>626</v>
      </c>
      <c r="B127" s="515"/>
      <c r="C127" s="516"/>
      <c r="D127" s="517"/>
      <c r="E127" s="518"/>
      <c r="F127" s="517"/>
      <c r="G127" s="518"/>
      <c r="H127" s="517"/>
      <c r="I127" s="518"/>
    </row>
    <row r="128" spans="1:9" x14ac:dyDescent="0.2">
      <c r="A128" s="514" t="s">
        <v>627</v>
      </c>
      <c r="B128" s="515"/>
      <c r="C128" s="516"/>
      <c r="D128" s="517"/>
      <c r="E128" s="518"/>
      <c r="F128" s="517"/>
      <c r="G128" s="518"/>
      <c r="H128" s="517"/>
      <c r="I128" s="518"/>
    </row>
    <row r="129" spans="1:9" x14ac:dyDescent="0.2">
      <c r="A129" s="514" t="s">
        <v>628</v>
      </c>
      <c r="B129" s="515"/>
      <c r="C129" s="516"/>
      <c r="D129" s="517"/>
      <c r="E129" s="518"/>
      <c r="F129" s="517"/>
      <c r="G129" s="518"/>
      <c r="H129" s="517"/>
      <c r="I129" s="518"/>
    </row>
    <row r="130" spans="1:9" x14ac:dyDescent="0.2">
      <c r="A130" s="514" t="s">
        <v>629</v>
      </c>
      <c r="B130" s="515">
        <v>644</v>
      </c>
      <c r="C130" s="516">
        <v>1369804</v>
      </c>
      <c r="D130" s="517">
        <v>631</v>
      </c>
      <c r="E130" s="518">
        <v>1483526</v>
      </c>
      <c r="F130" s="517">
        <v>632</v>
      </c>
      <c r="G130" s="518">
        <v>1441502</v>
      </c>
      <c r="H130" s="517">
        <f>+B130-D130</f>
        <v>13</v>
      </c>
      <c r="I130" s="518">
        <f>+C130-E130</f>
        <v>-113722</v>
      </c>
    </row>
    <row r="131" spans="1:9" x14ac:dyDescent="0.2">
      <c r="A131" s="514" t="s">
        <v>630</v>
      </c>
      <c r="B131" s="515"/>
      <c r="C131" s="516"/>
      <c r="D131" s="517"/>
      <c r="E131" s="518"/>
      <c r="F131" s="517"/>
      <c r="G131" s="518"/>
      <c r="H131" s="517"/>
      <c r="I131" s="518"/>
    </row>
    <row r="132" spans="1:9" x14ac:dyDescent="0.2">
      <c r="A132" s="514" t="s">
        <v>631</v>
      </c>
      <c r="B132" s="515"/>
      <c r="C132" s="516"/>
      <c r="D132" s="517"/>
      <c r="E132" s="518"/>
      <c r="F132" s="517"/>
      <c r="G132" s="518"/>
      <c r="H132" s="517"/>
      <c r="I132" s="518"/>
    </row>
    <row r="133" spans="1:9" x14ac:dyDescent="0.2">
      <c r="A133" s="514" t="s">
        <v>726</v>
      </c>
      <c r="B133" s="515">
        <v>644</v>
      </c>
      <c r="C133" s="516">
        <v>54937</v>
      </c>
      <c r="D133" s="517">
        <v>631</v>
      </c>
      <c r="E133" s="518">
        <v>119568</v>
      </c>
      <c r="F133" s="517">
        <v>632</v>
      </c>
      <c r="G133" s="518">
        <v>25270</v>
      </c>
      <c r="H133" s="517">
        <f t="shared" ref="H133:I135" si="2">+B133-D133</f>
        <v>13</v>
      </c>
      <c r="I133" s="518">
        <f t="shared" si="2"/>
        <v>-64631</v>
      </c>
    </row>
    <row r="134" spans="1:9" x14ac:dyDescent="0.2">
      <c r="A134" s="514" t="s">
        <v>633</v>
      </c>
      <c r="B134" s="515">
        <v>81</v>
      </c>
      <c r="C134" s="516">
        <v>1013412</v>
      </c>
      <c r="D134" s="517">
        <v>81</v>
      </c>
      <c r="E134" s="518">
        <v>1268112</v>
      </c>
      <c r="F134" s="517">
        <v>81</v>
      </c>
      <c r="G134" s="518">
        <v>1389792</v>
      </c>
      <c r="H134" s="517">
        <f t="shared" si="2"/>
        <v>0</v>
      </c>
      <c r="I134" s="518">
        <f t="shared" si="2"/>
        <v>-254700</v>
      </c>
    </row>
    <row r="135" spans="1:9" x14ac:dyDescent="0.2">
      <c r="A135" s="514" t="s">
        <v>634</v>
      </c>
      <c r="B135" s="515">
        <v>81</v>
      </c>
      <c r="C135" s="516">
        <v>24150</v>
      </c>
      <c r="D135" s="517">
        <v>81</v>
      </c>
      <c r="E135" s="518">
        <v>24150</v>
      </c>
      <c r="F135" s="517">
        <v>81</v>
      </c>
      <c r="G135" s="518">
        <v>24150</v>
      </c>
      <c r="H135" s="517">
        <f t="shared" si="2"/>
        <v>0</v>
      </c>
      <c r="I135" s="518">
        <f t="shared" si="2"/>
        <v>0</v>
      </c>
    </row>
    <row r="136" spans="1:9" ht="12.75" thickBot="1" x14ac:dyDescent="0.25">
      <c r="A136" s="514" t="s">
        <v>635</v>
      </c>
      <c r="B136" s="515"/>
      <c r="C136" s="516"/>
      <c r="D136" s="517"/>
      <c r="E136" s="518"/>
      <c r="F136" s="517"/>
      <c r="G136" s="518"/>
      <c r="H136" s="517"/>
      <c r="I136" s="518"/>
    </row>
    <row r="137" spans="1:9" ht="12.75" thickBot="1" x14ac:dyDescent="0.25">
      <c r="A137" s="520" t="s">
        <v>38</v>
      </c>
      <c r="B137" s="521"/>
      <c r="C137" s="521">
        <f>SUM(C121:C136)</f>
        <v>32455042</v>
      </c>
      <c r="D137" s="522"/>
      <c r="E137" s="523">
        <f>SUM(E121:E136)</f>
        <v>34843378</v>
      </c>
      <c r="F137" s="522"/>
      <c r="G137" s="523">
        <f>SUM(G121:G136)</f>
        <v>34708009</v>
      </c>
      <c r="H137" s="522"/>
      <c r="I137" s="523">
        <f>SUM(I121:I136)</f>
        <v>-2388336</v>
      </c>
    </row>
    <row r="138" spans="1:9" x14ac:dyDescent="0.2">
      <c r="A138" s="524"/>
      <c r="B138" s="275"/>
      <c r="C138" s="275"/>
      <c r="D138" s="275"/>
      <c r="E138" s="275"/>
      <c r="F138" s="275"/>
      <c r="G138" s="275"/>
      <c r="H138" s="275"/>
      <c r="I138" s="275"/>
    </row>
    <row r="139" spans="1:9" x14ac:dyDescent="0.2">
      <c r="A139" s="524"/>
      <c r="B139" s="275"/>
      <c r="C139" s="275"/>
      <c r="D139" s="275"/>
      <c r="E139" s="275"/>
      <c r="F139" s="275"/>
      <c r="G139" s="275"/>
      <c r="H139" s="275"/>
      <c r="I139" s="275"/>
    </row>
    <row r="140" spans="1:9" ht="16.5" thickBot="1" x14ac:dyDescent="0.25">
      <c r="A140" s="256" t="s">
        <v>869</v>
      </c>
      <c r="B140" s="320"/>
      <c r="C140" s="320"/>
      <c r="D140" s="320"/>
      <c r="E140" s="320"/>
      <c r="F140" s="320"/>
      <c r="G140" s="320"/>
      <c r="H140" s="320"/>
      <c r="I140" s="320"/>
    </row>
    <row r="141" spans="1:9" ht="12.75" thickBot="1" x14ac:dyDescent="0.25">
      <c r="A141" s="509" t="s">
        <v>10</v>
      </c>
      <c r="B141" s="1369" t="s">
        <v>592</v>
      </c>
      <c r="C141" s="1369"/>
      <c r="D141" s="1370" t="s">
        <v>593</v>
      </c>
      <c r="E141" s="1371"/>
      <c r="F141" s="1370" t="s">
        <v>594</v>
      </c>
      <c r="G141" s="1372"/>
      <c r="H141" s="1370" t="s">
        <v>595</v>
      </c>
      <c r="I141" s="1372"/>
    </row>
    <row r="142" spans="1:9" ht="24" x14ac:dyDescent="0.2">
      <c r="A142" s="510" t="s">
        <v>9</v>
      </c>
      <c r="B142" s="511" t="s">
        <v>596</v>
      </c>
      <c r="C142" s="512" t="s">
        <v>597</v>
      </c>
      <c r="D142" s="510" t="s">
        <v>596</v>
      </c>
      <c r="E142" s="513" t="s">
        <v>597</v>
      </c>
      <c r="F142" s="510" t="s">
        <v>596</v>
      </c>
      <c r="G142" s="513" t="s">
        <v>597</v>
      </c>
      <c r="H142" s="510" t="s">
        <v>596</v>
      </c>
      <c r="I142" s="513" t="s">
        <v>597</v>
      </c>
    </row>
    <row r="143" spans="1:9" x14ac:dyDescent="0.2">
      <c r="A143" s="514" t="s">
        <v>637</v>
      </c>
      <c r="B143" s="525">
        <v>1380</v>
      </c>
      <c r="C143" s="526">
        <f>75277080-C148-C152-C156</f>
        <v>69713662</v>
      </c>
      <c r="D143" s="525">
        <v>1385</v>
      </c>
      <c r="E143" s="526">
        <f>81215819-E148-E152-E156</f>
        <v>74485330</v>
      </c>
      <c r="F143" s="525">
        <v>1388</v>
      </c>
      <c r="G143" s="526">
        <f>81361859-G148-G152-G156</f>
        <v>74568003</v>
      </c>
      <c r="H143" s="527">
        <f>+B143-D143</f>
        <v>-5</v>
      </c>
      <c r="I143" s="526">
        <f>+C143-E143</f>
        <v>-4771668</v>
      </c>
    </row>
    <row r="144" spans="1:9" x14ac:dyDescent="0.2">
      <c r="A144" s="514" t="s">
        <v>621</v>
      </c>
      <c r="B144" s="525"/>
      <c r="C144" s="526"/>
      <c r="D144" s="525"/>
      <c r="E144" s="526"/>
      <c r="F144" s="525"/>
      <c r="G144" s="526"/>
      <c r="H144" s="527"/>
      <c r="I144" s="526"/>
    </row>
    <row r="145" spans="1:9" x14ac:dyDescent="0.2">
      <c r="A145" s="514" t="s">
        <v>622</v>
      </c>
      <c r="B145" s="525"/>
      <c r="C145" s="526"/>
      <c r="D145" s="525"/>
      <c r="E145" s="526"/>
      <c r="F145" s="525"/>
      <c r="G145" s="526"/>
      <c r="H145" s="527"/>
      <c r="I145" s="526"/>
    </row>
    <row r="146" spans="1:9" x14ac:dyDescent="0.2">
      <c r="A146" s="519" t="s">
        <v>623</v>
      </c>
      <c r="B146" s="525"/>
      <c r="C146" s="526"/>
      <c r="D146" s="525"/>
      <c r="E146" s="526"/>
      <c r="F146" s="525"/>
      <c r="G146" s="526"/>
      <c r="H146" s="527"/>
      <c r="I146" s="526"/>
    </row>
    <row r="147" spans="1:9" x14ac:dyDescent="0.2">
      <c r="A147" s="514" t="s">
        <v>624</v>
      </c>
      <c r="B147" s="525"/>
      <c r="C147" s="526"/>
      <c r="D147" s="525"/>
      <c r="E147" s="526"/>
      <c r="F147" s="525"/>
      <c r="G147" s="526"/>
      <c r="H147" s="527"/>
      <c r="I147" s="526"/>
    </row>
    <row r="148" spans="1:9" x14ac:dyDescent="0.2">
      <c r="A148" s="519" t="s">
        <v>625</v>
      </c>
      <c r="B148" s="525">
        <v>1380</v>
      </c>
      <c r="C148" s="528">
        <f>655800+450400</f>
        <v>1106200</v>
      </c>
      <c r="D148" s="525">
        <v>1385</v>
      </c>
      <c r="E148" s="528">
        <f>828000+552000</f>
        <v>1380000</v>
      </c>
      <c r="F148" s="525">
        <v>1388</v>
      </c>
      <c r="G148" s="528">
        <v>1369000</v>
      </c>
      <c r="H148" s="527">
        <f>+B148-D148</f>
        <v>-5</v>
      </c>
      <c r="I148" s="526">
        <f>+C148-E148</f>
        <v>-273800</v>
      </c>
    </row>
    <row r="149" spans="1:9" x14ac:dyDescent="0.2">
      <c r="A149" s="514" t="s">
        <v>626</v>
      </c>
      <c r="B149" s="525"/>
      <c r="C149" s="526"/>
      <c r="D149" s="525"/>
      <c r="E149" s="526"/>
      <c r="F149" s="525"/>
      <c r="G149" s="526"/>
      <c r="H149" s="527"/>
      <c r="I149" s="526"/>
    </row>
    <row r="150" spans="1:9" x14ac:dyDescent="0.2">
      <c r="A150" s="514" t="s">
        <v>627</v>
      </c>
      <c r="B150" s="525"/>
      <c r="C150" s="526"/>
      <c r="D150" s="525"/>
      <c r="E150" s="526"/>
      <c r="F150" s="525"/>
      <c r="G150" s="526"/>
      <c r="H150" s="527"/>
      <c r="I150" s="526"/>
    </row>
    <row r="151" spans="1:9" x14ac:dyDescent="0.2">
      <c r="A151" s="514" t="s">
        <v>628</v>
      </c>
      <c r="B151" s="525"/>
      <c r="C151" s="526"/>
      <c r="D151" s="525"/>
      <c r="E151" s="526"/>
      <c r="F151" s="525"/>
      <c r="G151" s="526"/>
      <c r="H151" s="527"/>
      <c r="I151" s="526"/>
    </row>
    <row r="152" spans="1:9" x14ac:dyDescent="0.2">
      <c r="A152" s="514" t="s">
        <v>629</v>
      </c>
      <c r="B152" s="525">
        <v>1380</v>
      </c>
      <c r="C152" s="526">
        <v>2647852</v>
      </c>
      <c r="D152" s="525">
        <v>1385</v>
      </c>
      <c r="E152" s="526">
        <v>3541123</v>
      </c>
      <c r="F152" s="525">
        <v>1388</v>
      </c>
      <c r="G152" s="526">
        <v>3481450</v>
      </c>
      <c r="H152" s="527">
        <f>+B152-D152</f>
        <v>-5</v>
      </c>
      <c r="I152" s="526">
        <f>+C152-E152</f>
        <v>-893271</v>
      </c>
    </row>
    <row r="153" spans="1:9" x14ac:dyDescent="0.2">
      <c r="A153" s="514" t="s">
        <v>630</v>
      </c>
      <c r="B153" s="525"/>
      <c r="C153" s="526"/>
      <c r="D153" s="525"/>
      <c r="E153" s="526"/>
      <c r="F153" s="525"/>
      <c r="G153" s="526"/>
      <c r="H153" s="527"/>
      <c r="I153" s="526"/>
    </row>
    <row r="154" spans="1:9" x14ac:dyDescent="0.2">
      <c r="A154" s="514" t="s">
        <v>631</v>
      </c>
      <c r="B154" s="525"/>
      <c r="C154" s="526"/>
      <c r="D154" s="525"/>
      <c r="E154" s="526"/>
      <c r="F154" s="525"/>
      <c r="G154" s="526"/>
      <c r="H154" s="527"/>
      <c r="I154" s="526"/>
    </row>
    <row r="155" spans="1:9" x14ac:dyDescent="0.2">
      <c r="A155" s="514" t="s">
        <v>632</v>
      </c>
      <c r="B155" s="525"/>
      <c r="C155" s="526"/>
      <c r="D155" s="525"/>
      <c r="E155" s="526"/>
      <c r="F155" s="525"/>
      <c r="G155" s="526"/>
      <c r="H155" s="527"/>
      <c r="I155" s="526"/>
    </row>
    <row r="156" spans="1:9" x14ac:dyDescent="0.2">
      <c r="A156" s="514" t="s">
        <v>633</v>
      </c>
      <c r="B156" s="525">
        <v>123</v>
      </c>
      <c r="C156" s="526">
        <v>1809366</v>
      </c>
      <c r="D156" s="525">
        <v>123</v>
      </c>
      <c r="E156" s="526">
        <v>1809366.0000000005</v>
      </c>
      <c r="F156" s="525">
        <v>123</v>
      </c>
      <c r="G156" s="526">
        <v>1943406</v>
      </c>
      <c r="H156" s="527">
        <f>+B156-D156</f>
        <v>0</v>
      </c>
      <c r="I156" s="526">
        <f>+C156-E156</f>
        <v>0</v>
      </c>
    </row>
    <row r="157" spans="1:9" x14ac:dyDescent="0.2">
      <c r="A157" s="514" t="s">
        <v>634</v>
      </c>
      <c r="B157" s="525"/>
      <c r="C157" s="528"/>
      <c r="D157" s="525"/>
      <c r="E157" s="526"/>
      <c r="F157" s="525"/>
      <c r="G157" s="526"/>
      <c r="H157" s="527"/>
      <c r="I157" s="526"/>
    </row>
    <row r="158" spans="1:9" ht="12.75" thickBot="1" x14ac:dyDescent="0.25">
      <c r="A158" s="514" t="s">
        <v>635</v>
      </c>
      <c r="B158" s="529"/>
      <c r="C158" s="528"/>
      <c r="D158" s="525"/>
      <c r="E158" s="526"/>
      <c r="F158" s="525"/>
      <c r="G158" s="526"/>
      <c r="H158" s="527"/>
      <c r="I158" s="526"/>
    </row>
    <row r="159" spans="1:9" ht="12.75" thickBot="1" x14ac:dyDescent="0.25">
      <c r="A159" s="520" t="s">
        <v>38</v>
      </c>
      <c r="B159" s="521"/>
      <c r="C159" s="530">
        <f>SUM(C143:C158)</f>
        <v>75277080</v>
      </c>
      <c r="D159" s="522"/>
      <c r="E159" s="530">
        <f>SUM(E143:E158)</f>
        <v>81215819</v>
      </c>
      <c r="F159" s="522"/>
      <c r="G159" s="530">
        <f>SUM(G143:G158)</f>
        <v>81361859</v>
      </c>
      <c r="H159" s="522"/>
      <c r="I159" s="530">
        <f>SUM(I143:I158)</f>
        <v>-5938739</v>
      </c>
    </row>
    <row r="160" spans="1:9" x14ac:dyDescent="0.2">
      <c r="A160" s="255"/>
      <c r="B160" s="256"/>
      <c r="C160" s="256"/>
      <c r="D160" s="256"/>
      <c r="E160" s="256"/>
      <c r="F160" s="256"/>
      <c r="G160" s="256"/>
      <c r="H160" s="256"/>
      <c r="I160" s="256"/>
    </row>
    <row r="161" spans="1:9" x14ac:dyDescent="0.2">
      <c r="A161" s="255"/>
      <c r="B161" s="256"/>
      <c r="C161" s="256"/>
      <c r="D161" s="256"/>
      <c r="E161" s="256"/>
      <c r="F161" s="256"/>
      <c r="G161" s="256"/>
      <c r="H161" s="256"/>
      <c r="I161" s="256"/>
    </row>
    <row r="162" spans="1:9" ht="12.75" thickBot="1" x14ac:dyDescent="0.25">
      <c r="A162" s="361" t="s">
        <v>728</v>
      </c>
      <c r="B162" s="531"/>
      <c r="C162" s="361"/>
      <c r="D162" s="361"/>
      <c r="E162" s="531"/>
      <c r="F162" s="361"/>
      <c r="G162" s="361"/>
      <c r="H162" s="361"/>
      <c r="I162" s="361"/>
    </row>
    <row r="163" spans="1:9" ht="12.75" thickBot="1" x14ac:dyDescent="0.25">
      <c r="A163" s="509" t="s">
        <v>10</v>
      </c>
      <c r="B163" s="1369" t="s">
        <v>592</v>
      </c>
      <c r="C163" s="1369"/>
      <c r="D163" s="1370" t="s">
        <v>593</v>
      </c>
      <c r="E163" s="1371"/>
      <c r="F163" s="1370" t="s">
        <v>594</v>
      </c>
      <c r="G163" s="1372"/>
      <c r="H163" s="1370" t="s">
        <v>595</v>
      </c>
      <c r="I163" s="1372"/>
    </row>
    <row r="164" spans="1:9" ht="24" x14ac:dyDescent="0.2">
      <c r="A164" s="510" t="s">
        <v>9</v>
      </c>
      <c r="B164" s="511" t="s">
        <v>596</v>
      </c>
      <c r="C164" s="512" t="s">
        <v>597</v>
      </c>
      <c r="D164" s="510" t="s">
        <v>596</v>
      </c>
      <c r="E164" s="513" t="s">
        <v>597</v>
      </c>
      <c r="F164" s="510" t="s">
        <v>596</v>
      </c>
      <c r="G164" s="513" t="s">
        <v>597</v>
      </c>
      <c r="H164" s="510" t="s">
        <v>596</v>
      </c>
      <c r="I164" s="513" t="s">
        <v>597</v>
      </c>
    </row>
    <row r="165" spans="1:9" x14ac:dyDescent="0.2">
      <c r="A165" s="514" t="s">
        <v>637</v>
      </c>
      <c r="B165" s="515">
        <v>568</v>
      </c>
      <c r="C165" s="532">
        <v>27975147</v>
      </c>
      <c r="D165" s="515">
        <v>568</v>
      </c>
      <c r="E165" s="533">
        <v>30037548</v>
      </c>
      <c r="F165" s="517">
        <v>568</v>
      </c>
      <c r="G165" s="533">
        <v>30111877</v>
      </c>
      <c r="H165" s="517">
        <v>0</v>
      </c>
      <c r="I165" s="533">
        <f>+C165-E165</f>
        <v>-2062401</v>
      </c>
    </row>
    <row r="166" spans="1:9" x14ac:dyDescent="0.2">
      <c r="A166" s="514" t="s">
        <v>621</v>
      </c>
      <c r="B166" s="515"/>
      <c r="C166" s="532"/>
      <c r="D166" s="515"/>
      <c r="E166" s="533"/>
      <c r="F166" s="517"/>
      <c r="G166" s="533"/>
      <c r="H166" s="517"/>
      <c r="I166" s="533"/>
    </row>
    <row r="167" spans="1:9" x14ac:dyDescent="0.2">
      <c r="A167" s="514" t="s">
        <v>622</v>
      </c>
      <c r="B167" s="515"/>
      <c r="C167" s="532"/>
      <c r="D167" s="515"/>
      <c r="E167" s="533"/>
      <c r="F167" s="517"/>
      <c r="G167" s="533"/>
      <c r="H167" s="517"/>
      <c r="I167" s="533"/>
    </row>
    <row r="168" spans="1:9" x14ac:dyDescent="0.2">
      <c r="A168" s="519" t="s">
        <v>623</v>
      </c>
      <c r="B168" s="515"/>
      <c r="C168" s="532"/>
      <c r="D168" s="515"/>
      <c r="E168" s="533"/>
      <c r="F168" s="517"/>
      <c r="G168" s="533"/>
      <c r="H168" s="517"/>
      <c r="I168" s="533"/>
    </row>
    <row r="169" spans="1:9" x14ac:dyDescent="0.2">
      <c r="A169" s="514" t="s">
        <v>624</v>
      </c>
      <c r="B169" s="515"/>
      <c r="C169" s="532"/>
      <c r="D169" s="515"/>
      <c r="E169" s="533"/>
      <c r="F169" s="517"/>
      <c r="G169" s="533"/>
      <c r="H169" s="517"/>
      <c r="I169" s="533"/>
    </row>
    <row r="170" spans="1:9" x14ac:dyDescent="0.2">
      <c r="A170" s="519" t="s">
        <v>625</v>
      </c>
      <c r="B170" s="515">
        <v>568</v>
      </c>
      <c r="C170" s="532">
        <v>581000</v>
      </c>
      <c r="D170" s="515">
        <v>568</v>
      </c>
      <c r="E170" s="533">
        <v>563000</v>
      </c>
      <c r="F170" s="517">
        <v>568</v>
      </c>
      <c r="G170" s="533">
        <v>567000</v>
      </c>
      <c r="H170" s="518">
        <v>0</v>
      </c>
      <c r="I170" s="533">
        <f>+C170-E170</f>
        <v>18000</v>
      </c>
    </row>
    <row r="171" spans="1:9" x14ac:dyDescent="0.2">
      <c r="A171" s="514" t="s">
        <v>626</v>
      </c>
      <c r="B171" s="515"/>
      <c r="C171" s="532"/>
      <c r="D171" s="515"/>
      <c r="E171" s="533"/>
      <c r="F171" s="517"/>
      <c r="G171" s="533"/>
      <c r="H171" s="517"/>
      <c r="I171" s="533"/>
    </row>
    <row r="172" spans="1:9" x14ac:dyDescent="0.2">
      <c r="A172" s="514" t="s">
        <v>627</v>
      </c>
      <c r="B172" s="515">
        <v>47</v>
      </c>
      <c r="C172" s="532">
        <v>79023</v>
      </c>
      <c r="D172" s="515">
        <v>47</v>
      </c>
      <c r="E172" s="533">
        <v>56000</v>
      </c>
      <c r="F172" s="517">
        <v>47</v>
      </c>
      <c r="G172" s="533">
        <v>56000</v>
      </c>
      <c r="H172" s="517">
        <v>0</v>
      </c>
      <c r="I172" s="533">
        <f>+C172-E172</f>
        <v>23023</v>
      </c>
    </row>
    <row r="173" spans="1:9" x14ac:dyDescent="0.2">
      <c r="A173" s="514" t="s">
        <v>628</v>
      </c>
      <c r="B173" s="515"/>
      <c r="C173" s="532"/>
      <c r="D173" s="515"/>
      <c r="E173" s="533"/>
      <c r="F173" s="517"/>
      <c r="G173" s="533"/>
      <c r="H173" s="517"/>
      <c r="I173" s="533"/>
    </row>
    <row r="174" spans="1:9" x14ac:dyDescent="0.2">
      <c r="A174" s="514" t="s">
        <v>629</v>
      </c>
      <c r="B174" s="515">
        <v>568</v>
      </c>
      <c r="C174" s="532">
        <v>1373899</v>
      </c>
      <c r="D174" s="515">
        <v>568</v>
      </c>
      <c r="E174" s="533">
        <v>1487970</v>
      </c>
      <c r="F174" s="517">
        <v>568</v>
      </c>
      <c r="G174" s="533">
        <v>1477743</v>
      </c>
      <c r="H174" s="518">
        <v>0</v>
      </c>
      <c r="I174" s="533">
        <f>+C174-E174</f>
        <v>-114071</v>
      </c>
    </row>
    <row r="175" spans="1:9" x14ac:dyDescent="0.2">
      <c r="A175" s="514" t="s">
        <v>630</v>
      </c>
      <c r="B175" s="515"/>
      <c r="C175" s="532"/>
      <c r="D175" s="515"/>
      <c r="E175" s="533"/>
      <c r="F175" s="517"/>
      <c r="G175" s="533"/>
      <c r="H175" s="517"/>
      <c r="I175" s="533"/>
    </row>
    <row r="176" spans="1:9" x14ac:dyDescent="0.2">
      <c r="A176" s="514" t="s">
        <v>631</v>
      </c>
      <c r="B176" s="515"/>
      <c r="C176" s="532"/>
      <c r="D176" s="515"/>
      <c r="E176" s="533"/>
      <c r="F176" s="517"/>
      <c r="G176" s="533"/>
      <c r="H176" s="517"/>
      <c r="I176" s="533"/>
    </row>
    <row r="177" spans="1:9" x14ac:dyDescent="0.2">
      <c r="A177" s="514" t="s">
        <v>632</v>
      </c>
      <c r="B177" s="515"/>
      <c r="C177" s="532"/>
      <c r="D177" s="515"/>
      <c r="E177" s="533"/>
      <c r="F177" s="517"/>
      <c r="G177" s="533"/>
      <c r="H177" s="517"/>
      <c r="I177" s="533"/>
    </row>
    <row r="178" spans="1:9" x14ac:dyDescent="0.2">
      <c r="A178" s="514" t="s">
        <v>633</v>
      </c>
      <c r="B178" s="515">
        <v>47</v>
      </c>
      <c r="C178" s="532">
        <v>707984</v>
      </c>
      <c r="D178" s="515">
        <v>47</v>
      </c>
      <c r="E178" s="533">
        <v>707984</v>
      </c>
      <c r="F178" s="517">
        <v>47</v>
      </c>
      <c r="G178" s="533">
        <v>708704</v>
      </c>
      <c r="H178" s="517">
        <v>0</v>
      </c>
      <c r="I178" s="533">
        <f>+C178-E178</f>
        <v>0</v>
      </c>
    </row>
    <row r="179" spans="1:9" x14ac:dyDescent="0.2">
      <c r="A179" s="514" t="s">
        <v>634</v>
      </c>
      <c r="B179" s="515"/>
      <c r="C179" s="532"/>
      <c r="D179" s="517"/>
      <c r="E179" s="533"/>
      <c r="F179" s="517"/>
      <c r="G179" s="533"/>
      <c r="H179" s="517"/>
      <c r="I179" s="533"/>
    </row>
    <row r="180" spans="1:9" ht="12.75" thickBot="1" x14ac:dyDescent="0.25">
      <c r="A180" s="514" t="s">
        <v>635</v>
      </c>
      <c r="B180" s="515"/>
      <c r="C180" s="532"/>
      <c r="D180" s="517"/>
      <c r="E180" s="533"/>
      <c r="F180" s="517"/>
      <c r="G180" s="533"/>
      <c r="H180" s="517"/>
      <c r="I180" s="533"/>
    </row>
    <row r="181" spans="1:9" ht="12.75" thickBot="1" x14ac:dyDescent="0.25">
      <c r="A181" s="520" t="s">
        <v>38</v>
      </c>
      <c r="B181" s="521"/>
      <c r="C181" s="534">
        <f>+SUM(C165:C180)</f>
        <v>30717053</v>
      </c>
      <c r="D181" s="522"/>
      <c r="E181" s="534">
        <f>+SUM(E165:E180)</f>
        <v>32852502</v>
      </c>
      <c r="F181" s="522"/>
      <c r="G181" s="534">
        <f>+SUM(G165:G180)</f>
        <v>32921324</v>
      </c>
      <c r="H181" s="522"/>
      <c r="I181" s="534">
        <f>+SUM(I165:I180)</f>
        <v>-2135449</v>
      </c>
    </row>
    <row r="182" spans="1:9" x14ac:dyDescent="0.2">
      <c r="A182" s="234"/>
      <c r="B182" s="234"/>
      <c r="C182" s="234"/>
      <c r="D182" s="234"/>
      <c r="E182" s="234"/>
      <c r="F182" s="234"/>
      <c r="G182" s="234"/>
      <c r="H182" s="234"/>
      <c r="I182" s="234"/>
    </row>
    <row r="183" spans="1:9" x14ac:dyDescent="0.2">
      <c r="A183" s="234"/>
      <c r="B183" s="234"/>
      <c r="C183" s="234"/>
      <c r="D183" s="234"/>
      <c r="E183" s="234"/>
      <c r="F183" s="234"/>
      <c r="G183" s="234"/>
      <c r="H183" s="234"/>
      <c r="I183" s="234"/>
    </row>
    <row r="184" spans="1:9" ht="15.75" x14ac:dyDescent="0.2">
      <c r="A184" s="536" t="s">
        <v>870</v>
      </c>
      <c r="B184" s="535"/>
      <c r="C184" s="535"/>
      <c r="D184" s="535"/>
      <c r="E184" s="535"/>
      <c r="F184" s="535"/>
      <c r="G184" s="535"/>
      <c r="H184" s="535"/>
      <c r="I184" s="535"/>
    </row>
    <row r="185" spans="1:9" ht="12.75" thickBot="1" x14ac:dyDescent="0.25">
      <c r="A185" s="537"/>
      <c r="B185" s="538"/>
      <c r="C185" s="537"/>
      <c r="D185" s="537"/>
      <c r="E185" s="538"/>
      <c r="F185" s="537"/>
      <c r="G185" s="537"/>
      <c r="H185" s="537"/>
      <c r="I185" s="537"/>
    </row>
    <row r="186" spans="1:9" ht="12.75" thickBot="1" x14ac:dyDescent="0.25">
      <c r="A186" s="539" t="s">
        <v>10</v>
      </c>
      <c r="B186" s="1373" t="s">
        <v>592</v>
      </c>
      <c r="C186" s="1373"/>
      <c r="D186" s="1374" t="s">
        <v>593</v>
      </c>
      <c r="E186" s="1375"/>
      <c r="F186" s="1374" t="s">
        <v>594</v>
      </c>
      <c r="G186" s="1376"/>
      <c r="H186" s="1374" t="s">
        <v>595</v>
      </c>
      <c r="I186" s="1376"/>
    </row>
    <row r="187" spans="1:9" ht="24" x14ac:dyDescent="0.2">
      <c r="A187" s="540" t="s">
        <v>9</v>
      </c>
      <c r="B187" s="541" t="s">
        <v>596</v>
      </c>
      <c r="C187" s="542" t="s">
        <v>597</v>
      </c>
      <c r="D187" s="540" t="s">
        <v>596</v>
      </c>
      <c r="E187" s="543" t="s">
        <v>597</v>
      </c>
      <c r="F187" s="540" t="s">
        <v>596</v>
      </c>
      <c r="G187" s="543" t="s">
        <v>597</v>
      </c>
      <c r="H187" s="540" t="s">
        <v>596</v>
      </c>
      <c r="I187" s="543" t="s">
        <v>597</v>
      </c>
    </row>
    <row r="188" spans="1:9" x14ac:dyDescent="0.2">
      <c r="A188" s="544" t="s">
        <v>637</v>
      </c>
      <c r="B188" s="545">
        <v>474</v>
      </c>
      <c r="C188" s="546">
        <v>21864568</v>
      </c>
      <c r="D188" s="545">
        <v>505</v>
      </c>
      <c r="E188" s="546">
        <v>24965331</v>
      </c>
      <c r="F188" s="545">
        <v>522</v>
      </c>
      <c r="G188" s="546">
        <v>28331256</v>
      </c>
      <c r="H188" s="545">
        <v>-31</v>
      </c>
      <c r="I188" s="546">
        <v>-3100763</v>
      </c>
    </row>
    <row r="189" spans="1:9" x14ac:dyDescent="0.2">
      <c r="A189" s="544" t="s">
        <v>621</v>
      </c>
      <c r="B189" s="547"/>
      <c r="C189" s="545">
        <v>0</v>
      </c>
      <c r="D189" s="547"/>
      <c r="E189" s="545">
        <v>0</v>
      </c>
      <c r="F189" s="547"/>
      <c r="G189" s="545">
        <v>0</v>
      </c>
      <c r="H189" s="545">
        <v>0</v>
      </c>
      <c r="I189" s="545">
        <v>0</v>
      </c>
    </row>
    <row r="190" spans="1:9" x14ac:dyDescent="0.2">
      <c r="A190" s="544" t="s">
        <v>622</v>
      </c>
      <c r="B190" s="547"/>
      <c r="C190" s="545">
        <v>0</v>
      </c>
      <c r="D190" s="547"/>
      <c r="E190" s="545">
        <v>0</v>
      </c>
      <c r="F190" s="547"/>
      <c r="G190" s="545">
        <v>0</v>
      </c>
      <c r="H190" s="545">
        <v>0</v>
      </c>
      <c r="I190" s="545">
        <v>0</v>
      </c>
    </row>
    <row r="191" spans="1:9" x14ac:dyDescent="0.2">
      <c r="A191" s="548" t="s">
        <v>623</v>
      </c>
      <c r="B191" s="547"/>
      <c r="C191" s="545">
        <v>0</v>
      </c>
      <c r="D191" s="547"/>
      <c r="E191" s="545">
        <v>0</v>
      </c>
      <c r="F191" s="547"/>
      <c r="G191" s="545">
        <v>0</v>
      </c>
      <c r="H191" s="545">
        <v>0</v>
      </c>
      <c r="I191" s="545">
        <v>0</v>
      </c>
    </row>
    <row r="192" spans="1:9" x14ac:dyDescent="0.2">
      <c r="A192" s="544" t="s">
        <v>624</v>
      </c>
      <c r="B192" s="547"/>
      <c r="C192" s="545">
        <v>0</v>
      </c>
      <c r="D192" s="547"/>
      <c r="E192" s="545">
        <v>0</v>
      </c>
      <c r="F192" s="547"/>
      <c r="G192" s="545">
        <v>0</v>
      </c>
      <c r="H192" s="545">
        <v>0</v>
      </c>
      <c r="I192" s="545">
        <v>0</v>
      </c>
    </row>
    <row r="193" spans="1:9" x14ac:dyDescent="0.2">
      <c r="A193" s="548" t="s">
        <v>625</v>
      </c>
      <c r="B193" s="545">
        <v>474</v>
      </c>
      <c r="C193" s="546">
        <v>440000</v>
      </c>
      <c r="D193" s="545">
        <v>505</v>
      </c>
      <c r="E193" s="546">
        <v>473600</v>
      </c>
      <c r="F193" s="545">
        <v>522</v>
      </c>
      <c r="G193" s="546">
        <v>502321</v>
      </c>
      <c r="H193" s="545">
        <v>-31</v>
      </c>
      <c r="I193" s="546">
        <v>-33600</v>
      </c>
    </row>
    <row r="194" spans="1:9" x14ac:dyDescent="0.2">
      <c r="A194" s="544" t="s">
        <v>626</v>
      </c>
      <c r="B194" s="547"/>
      <c r="C194" s="545">
        <v>0</v>
      </c>
      <c r="D194" s="547"/>
      <c r="E194" s="545">
        <v>0</v>
      </c>
      <c r="F194" s="547"/>
      <c r="G194" s="545">
        <v>0</v>
      </c>
      <c r="H194" s="545">
        <v>0</v>
      </c>
      <c r="I194" s="545">
        <v>0</v>
      </c>
    </row>
    <row r="195" spans="1:9" x14ac:dyDescent="0.2">
      <c r="A195" s="544" t="s">
        <v>627</v>
      </c>
      <c r="B195" s="547"/>
      <c r="C195" s="545">
        <v>0</v>
      </c>
      <c r="D195" s="547"/>
      <c r="E195" s="545">
        <v>0</v>
      </c>
      <c r="F195" s="547"/>
      <c r="G195" s="545">
        <v>0</v>
      </c>
      <c r="H195" s="545">
        <v>0</v>
      </c>
      <c r="I195" s="545">
        <v>0</v>
      </c>
    </row>
    <row r="196" spans="1:9" x14ac:dyDescent="0.2">
      <c r="A196" s="544" t="s">
        <v>628</v>
      </c>
      <c r="B196" s="547"/>
      <c r="C196" s="545">
        <v>0</v>
      </c>
      <c r="D196" s="547"/>
      <c r="E196" s="545">
        <v>0</v>
      </c>
      <c r="F196" s="547"/>
      <c r="G196" s="546">
        <v>3000</v>
      </c>
      <c r="H196" s="545">
        <v>0</v>
      </c>
      <c r="I196" s="545">
        <v>0</v>
      </c>
    </row>
    <row r="197" spans="1:9" x14ac:dyDescent="0.2">
      <c r="A197" s="544" t="s">
        <v>629</v>
      </c>
      <c r="B197" s="545">
        <v>474</v>
      </c>
      <c r="C197" s="546">
        <v>785821</v>
      </c>
      <c r="D197" s="545">
        <v>505</v>
      </c>
      <c r="E197" s="546">
        <v>950875</v>
      </c>
      <c r="F197" s="545">
        <v>522</v>
      </c>
      <c r="G197" s="546">
        <v>1102325.6000000001</v>
      </c>
      <c r="H197" s="545">
        <v>-31</v>
      </c>
      <c r="I197" s="546">
        <v>-165054</v>
      </c>
    </row>
    <row r="198" spans="1:9" x14ac:dyDescent="0.2">
      <c r="A198" s="544" t="s">
        <v>630</v>
      </c>
      <c r="B198" s="547"/>
      <c r="C198" s="545">
        <v>0</v>
      </c>
      <c r="D198" s="547"/>
      <c r="E198" s="545">
        <v>0</v>
      </c>
      <c r="F198" s="547"/>
      <c r="G198" s="545">
        <v>0</v>
      </c>
      <c r="H198" s="545">
        <v>0</v>
      </c>
      <c r="I198" s="545">
        <v>0</v>
      </c>
    </row>
    <row r="199" spans="1:9" x14ac:dyDescent="0.2">
      <c r="A199" s="544" t="s">
        <v>631</v>
      </c>
      <c r="B199" s="547"/>
      <c r="C199" s="545">
        <v>0</v>
      </c>
      <c r="D199" s="547"/>
      <c r="E199" s="545">
        <v>0</v>
      </c>
      <c r="F199" s="547"/>
      <c r="G199" s="545">
        <v>0</v>
      </c>
      <c r="H199" s="545">
        <v>0</v>
      </c>
      <c r="I199" s="545">
        <v>0</v>
      </c>
    </row>
    <row r="200" spans="1:9" x14ac:dyDescent="0.2">
      <c r="A200" s="544" t="s">
        <v>632</v>
      </c>
      <c r="B200" s="545">
        <v>474</v>
      </c>
      <c r="C200" s="546">
        <v>72000</v>
      </c>
      <c r="D200" s="545">
        <v>505</v>
      </c>
      <c r="E200" s="545">
        <v>0</v>
      </c>
      <c r="F200" s="545">
        <v>522</v>
      </c>
      <c r="G200" s="546">
        <v>262000</v>
      </c>
      <c r="H200" s="545">
        <v>-31</v>
      </c>
      <c r="I200" s="546">
        <v>72000</v>
      </c>
    </row>
    <row r="201" spans="1:9" x14ac:dyDescent="0.2">
      <c r="A201" s="544" t="s">
        <v>633</v>
      </c>
      <c r="B201" s="545">
        <v>30</v>
      </c>
      <c r="C201" s="546">
        <v>452280</v>
      </c>
      <c r="D201" s="545">
        <v>30</v>
      </c>
      <c r="E201" s="546">
        <v>480156</v>
      </c>
      <c r="F201" s="545">
        <v>30</v>
      </c>
      <c r="G201" s="546">
        <v>480270</v>
      </c>
      <c r="H201" s="545">
        <v>0</v>
      </c>
      <c r="I201" s="546">
        <v>-27876</v>
      </c>
    </row>
    <row r="202" spans="1:9" x14ac:dyDescent="0.2">
      <c r="A202" s="544" t="s">
        <v>634</v>
      </c>
      <c r="B202" s="545">
        <v>30</v>
      </c>
      <c r="C202" s="546">
        <v>16000</v>
      </c>
      <c r="D202" s="545">
        <v>30</v>
      </c>
      <c r="E202" s="546">
        <v>24000</v>
      </c>
      <c r="F202" s="545">
        <v>30</v>
      </c>
      <c r="G202" s="546">
        <v>24000</v>
      </c>
      <c r="H202" s="545">
        <v>0</v>
      </c>
      <c r="I202" s="546">
        <v>-8000</v>
      </c>
    </row>
    <row r="203" spans="1:9" ht="12.75" thickBot="1" x14ac:dyDescent="0.25">
      <c r="A203" s="544" t="s">
        <v>635</v>
      </c>
      <c r="B203" s="547"/>
      <c r="C203" s="545">
        <v>0</v>
      </c>
      <c r="D203" s="547"/>
      <c r="E203" s="545">
        <v>0</v>
      </c>
      <c r="F203" s="547"/>
      <c r="G203" s="545">
        <v>0</v>
      </c>
      <c r="H203" s="545">
        <v>0</v>
      </c>
      <c r="I203" s="545">
        <v>0</v>
      </c>
    </row>
    <row r="204" spans="1:9" ht="12.75" thickBot="1" x14ac:dyDescent="0.25">
      <c r="A204" s="549" t="s">
        <v>38</v>
      </c>
      <c r="B204" s="550"/>
      <c r="C204" s="550"/>
      <c r="D204" s="551"/>
      <c r="E204" s="552"/>
      <c r="F204" s="551"/>
      <c r="G204" s="552"/>
      <c r="H204" s="551"/>
      <c r="I204" s="552"/>
    </row>
    <row r="205" spans="1:9" x14ac:dyDescent="0.2">
      <c r="A205" s="234"/>
      <c r="B205" s="234"/>
      <c r="C205" s="234"/>
      <c r="D205" s="234"/>
      <c r="E205" s="234"/>
      <c r="F205" s="234"/>
      <c r="G205" s="234"/>
      <c r="H205" s="234"/>
      <c r="I205" s="234"/>
    </row>
    <row r="206" spans="1:9" x14ac:dyDescent="0.2">
      <c r="A206" s="234"/>
      <c r="B206" s="234"/>
      <c r="C206" s="234"/>
      <c r="D206" s="234"/>
      <c r="E206" s="234"/>
      <c r="F206" s="234"/>
      <c r="G206" s="234"/>
      <c r="H206" s="234"/>
      <c r="I206" s="234"/>
    </row>
    <row r="207" spans="1:9" ht="15.75" x14ac:dyDescent="0.2">
      <c r="A207" s="256" t="s">
        <v>871</v>
      </c>
      <c r="B207" s="320"/>
      <c r="C207" s="320"/>
      <c r="D207" s="320"/>
      <c r="E207" s="320"/>
      <c r="F207" s="320"/>
      <c r="G207" s="320"/>
      <c r="H207" s="320"/>
      <c r="I207" s="320"/>
    </row>
    <row r="208" spans="1:9" ht="12.75" thickBot="1" x14ac:dyDescent="0.25">
      <c r="A208" s="234"/>
      <c r="B208" s="362"/>
      <c r="C208" s="234"/>
      <c r="D208" s="234"/>
      <c r="E208" s="362"/>
      <c r="F208" s="234"/>
      <c r="G208" s="234"/>
      <c r="H208" s="234"/>
      <c r="I208" s="234"/>
    </row>
    <row r="209" spans="1:9" ht="12.75" thickBot="1" x14ac:dyDescent="0.25">
      <c r="A209" s="509" t="s">
        <v>10</v>
      </c>
      <c r="B209" s="1369" t="s">
        <v>592</v>
      </c>
      <c r="C209" s="1369"/>
      <c r="D209" s="1370" t="s">
        <v>593</v>
      </c>
      <c r="E209" s="1371"/>
      <c r="F209" s="1370" t="s">
        <v>594</v>
      </c>
      <c r="G209" s="1372"/>
      <c r="H209" s="1370" t="s">
        <v>595</v>
      </c>
      <c r="I209" s="1372"/>
    </row>
    <row r="210" spans="1:9" ht="24" x14ac:dyDescent="0.2">
      <c r="A210" s="510" t="s">
        <v>9</v>
      </c>
      <c r="B210" s="511" t="s">
        <v>596</v>
      </c>
      <c r="C210" s="512" t="s">
        <v>597</v>
      </c>
      <c r="D210" s="510" t="s">
        <v>596</v>
      </c>
      <c r="E210" s="513" t="s">
        <v>597</v>
      </c>
      <c r="F210" s="510" t="s">
        <v>596</v>
      </c>
      <c r="G210" s="513" t="s">
        <v>597</v>
      </c>
      <c r="H210" s="510" t="s">
        <v>596</v>
      </c>
      <c r="I210" s="513" t="s">
        <v>597</v>
      </c>
    </row>
    <row r="211" spans="1:9" x14ac:dyDescent="0.2">
      <c r="A211" s="514" t="s">
        <v>637</v>
      </c>
      <c r="B211" s="515">
        <v>102</v>
      </c>
      <c r="C211" s="553">
        <v>5017803.84</v>
      </c>
      <c r="D211" s="517">
        <v>116</v>
      </c>
      <c r="E211" s="518">
        <v>5754253.8200000003</v>
      </c>
      <c r="F211" s="517">
        <v>116</v>
      </c>
      <c r="G211" s="518">
        <v>5754253.8200000003</v>
      </c>
      <c r="H211" s="517">
        <v>-14</v>
      </c>
      <c r="I211" s="554">
        <v>-736449.98000000045</v>
      </c>
    </row>
    <row r="212" spans="1:9" x14ac:dyDescent="0.2">
      <c r="A212" s="514" t="s">
        <v>621</v>
      </c>
      <c r="B212" s="515"/>
      <c r="C212" s="516"/>
      <c r="D212" s="517"/>
      <c r="E212" s="518"/>
      <c r="F212" s="517"/>
      <c r="G212" s="518"/>
      <c r="H212" s="517">
        <v>0</v>
      </c>
      <c r="I212" s="554">
        <v>0</v>
      </c>
    </row>
    <row r="213" spans="1:9" x14ac:dyDescent="0.2">
      <c r="A213" s="514" t="s">
        <v>622</v>
      </c>
      <c r="B213" s="515"/>
      <c r="C213" s="516"/>
      <c r="D213" s="517"/>
      <c r="E213" s="518"/>
      <c r="F213" s="517"/>
      <c r="G213" s="518"/>
      <c r="H213" s="517">
        <v>0</v>
      </c>
      <c r="I213" s="554">
        <v>0</v>
      </c>
    </row>
    <row r="214" spans="1:9" x14ac:dyDescent="0.2">
      <c r="A214" s="519" t="s">
        <v>623</v>
      </c>
      <c r="B214" s="515"/>
      <c r="C214" s="516"/>
      <c r="D214" s="517"/>
      <c r="E214" s="518"/>
      <c r="F214" s="517"/>
      <c r="G214" s="518"/>
      <c r="H214" s="517">
        <v>0</v>
      </c>
      <c r="I214" s="554">
        <v>0</v>
      </c>
    </row>
    <row r="215" spans="1:9" x14ac:dyDescent="0.2">
      <c r="A215" s="514" t="s">
        <v>624</v>
      </c>
      <c r="B215" s="515"/>
      <c r="C215" s="516"/>
      <c r="D215" s="517"/>
      <c r="E215" s="518"/>
      <c r="F215" s="517"/>
      <c r="G215" s="518"/>
      <c r="H215" s="517">
        <v>0</v>
      </c>
      <c r="I215" s="554">
        <v>0</v>
      </c>
    </row>
    <row r="216" spans="1:9" x14ac:dyDescent="0.2">
      <c r="A216" s="519" t="s">
        <v>625</v>
      </c>
      <c r="B216" s="515">
        <v>102</v>
      </c>
      <c r="C216" s="553">
        <v>102000</v>
      </c>
      <c r="D216" s="517">
        <v>116</v>
      </c>
      <c r="E216" s="518">
        <v>116000</v>
      </c>
      <c r="F216" s="517">
        <v>116</v>
      </c>
      <c r="G216" s="518">
        <v>116000</v>
      </c>
      <c r="H216" s="517">
        <v>-14</v>
      </c>
      <c r="I216" s="554">
        <v>-14000</v>
      </c>
    </row>
    <row r="217" spans="1:9" x14ac:dyDescent="0.2">
      <c r="A217" s="514" t="s">
        <v>626</v>
      </c>
      <c r="B217" s="515"/>
      <c r="C217" s="516"/>
      <c r="D217" s="517"/>
      <c r="E217" s="518"/>
      <c r="F217" s="517"/>
      <c r="G217" s="518"/>
      <c r="H217" s="517">
        <v>0</v>
      </c>
      <c r="I217" s="554">
        <v>0</v>
      </c>
    </row>
    <row r="218" spans="1:9" x14ac:dyDescent="0.2">
      <c r="A218" s="514" t="s">
        <v>627</v>
      </c>
      <c r="B218" s="515"/>
      <c r="C218" s="516"/>
      <c r="D218" s="517"/>
      <c r="E218" s="518"/>
      <c r="F218" s="517"/>
      <c r="G218" s="518"/>
      <c r="H218" s="517">
        <v>0</v>
      </c>
      <c r="I218" s="554">
        <v>0</v>
      </c>
    </row>
    <row r="219" spans="1:9" x14ac:dyDescent="0.2">
      <c r="A219" s="514" t="s">
        <v>628</v>
      </c>
      <c r="B219" s="515"/>
      <c r="C219" s="516"/>
      <c r="D219" s="517"/>
      <c r="E219" s="518"/>
      <c r="F219" s="517"/>
      <c r="G219" s="518"/>
      <c r="H219" s="517">
        <v>0</v>
      </c>
      <c r="I219" s="554">
        <v>0</v>
      </c>
    </row>
    <row r="220" spans="1:9" x14ac:dyDescent="0.2">
      <c r="A220" s="514" t="s">
        <v>629</v>
      </c>
      <c r="B220" s="515"/>
      <c r="C220" s="516"/>
      <c r="D220" s="517"/>
      <c r="E220" s="518"/>
      <c r="F220" s="517"/>
      <c r="G220" s="518"/>
      <c r="H220" s="517">
        <v>0</v>
      </c>
      <c r="I220" s="554">
        <v>0</v>
      </c>
    </row>
    <row r="221" spans="1:9" x14ac:dyDescent="0.2">
      <c r="A221" s="514" t="s">
        <v>630</v>
      </c>
      <c r="B221" s="515"/>
      <c r="C221" s="516"/>
      <c r="D221" s="517"/>
      <c r="E221" s="518"/>
      <c r="F221" s="517"/>
      <c r="G221" s="518"/>
      <c r="H221" s="517">
        <v>0</v>
      </c>
      <c r="I221" s="554">
        <v>0</v>
      </c>
    </row>
    <row r="222" spans="1:9" x14ac:dyDescent="0.2">
      <c r="A222" s="514" t="s">
        <v>631</v>
      </c>
      <c r="B222" s="515"/>
      <c r="C222" s="516"/>
      <c r="D222" s="517"/>
      <c r="E222" s="518"/>
      <c r="F222" s="517"/>
      <c r="G222" s="518"/>
      <c r="H222" s="517">
        <v>0</v>
      </c>
      <c r="I222" s="554">
        <v>0</v>
      </c>
    </row>
    <row r="223" spans="1:9" x14ac:dyDescent="0.2">
      <c r="A223" s="514" t="s">
        <v>632</v>
      </c>
      <c r="B223" s="515"/>
      <c r="C223" s="516"/>
      <c r="D223" s="517"/>
      <c r="E223" s="518"/>
      <c r="F223" s="517"/>
      <c r="G223" s="518"/>
      <c r="H223" s="517">
        <v>0</v>
      </c>
      <c r="I223" s="554">
        <v>0</v>
      </c>
    </row>
    <row r="224" spans="1:9" x14ac:dyDescent="0.2">
      <c r="A224" s="514" t="s">
        <v>633</v>
      </c>
      <c r="B224" s="515"/>
      <c r="C224" s="516"/>
      <c r="D224" s="517"/>
      <c r="E224" s="518"/>
      <c r="F224" s="517"/>
      <c r="G224" s="518"/>
      <c r="H224" s="517">
        <v>0</v>
      </c>
      <c r="I224" s="554">
        <v>0</v>
      </c>
    </row>
    <row r="225" spans="1:9" x14ac:dyDescent="0.2">
      <c r="A225" s="514" t="s">
        <v>634</v>
      </c>
      <c r="B225" s="515"/>
      <c r="C225" s="516"/>
      <c r="D225" s="517"/>
      <c r="E225" s="518"/>
      <c r="F225" s="517"/>
      <c r="G225" s="518"/>
      <c r="H225" s="517">
        <v>0</v>
      </c>
      <c r="I225" s="554">
        <v>0</v>
      </c>
    </row>
    <row r="226" spans="1:9" ht="12.75" thickBot="1" x14ac:dyDescent="0.25">
      <c r="A226" s="514" t="s">
        <v>635</v>
      </c>
      <c r="B226" s="515"/>
      <c r="C226" s="516"/>
      <c r="D226" s="517"/>
      <c r="E226" s="518"/>
      <c r="F226" s="517"/>
      <c r="G226" s="518"/>
      <c r="H226" s="517">
        <v>0</v>
      </c>
      <c r="I226" s="554">
        <v>0</v>
      </c>
    </row>
    <row r="227" spans="1:9" ht="12.75" thickBot="1" x14ac:dyDescent="0.25">
      <c r="A227" s="520" t="s">
        <v>38</v>
      </c>
      <c r="B227" s="521">
        <v>204</v>
      </c>
      <c r="C227" s="555">
        <v>5119803.84</v>
      </c>
      <c r="D227" s="521">
        <v>232</v>
      </c>
      <c r="E227" s="521">
        <v>5870253.8200000003</v>
      </c>
      <c r="F227" s="521">
        <v>232</v>
      </c>
      <c r="G227" s="521">
        <v>5870253.8200000003</v>
      </c>
      <c r="H227" s="521">
        <v>-28</v>
      </c>
      <c r="I227" s="521">
        <v>-750449.98000000045</v>
      </c>
    </row>
    <row r="228" spans="1:9" x14ac:dyDescent="0.2">
      <c r="A228" s="234"/>
      <c r="B228" s="234"/>
      <c r="C228" s="234"/>
      <c r="D228" s="234"/>
      <c r="E228" s="234"/>
      <c r="F228" s="234"/>
      <c r="G228" s="234"/>
      <c r="H228" s="234"/>
      <c r="I228" s="234"/>
    </row>
    <row r="229" spans="1:9" x14ac:dyDescent="0.2">
      <c r="A229" s="234"/>
      <c r="B229" s="234"/>
      <c r="C229" s="234"/>
      <c r="D229" s="234"/>
      <c r="E229" s="234"/>
      <c r="F229" s="234"/>
      <c r="G229" s="234"/>
      <c r="H229" s="234"/>
      <c r="I229" s="234"/>
    </row>
    <row r="230" spans="1:9" x14ac:dyDescent="0.2">
      <c r="A230" s="234"/>
      <c r="B230" s="234"/>
      <c r="C230" s="234"/>
      <c r="D230" s="234"/>
      <c r="E230" s="234"/>
      <c r="F230" s="234"/>
      <c r="G230" s="234"/>
      <c r="H230" s="234"/>
      <c r="I230" s="234"/>
    </row>
    <row r="231" spans="1:9" x14ac:dyDescent="0.2">
      <c r="A231" s="234"/>
      <c r="B231" s="234"/>
      <c r="C231" s="234"/>
      <c r="D231" s="234"/>
      <c r="E231" s="234"/>
      <c r="F231" s="234"/>
      <c r="G231" s="234"/>
      <c r="H231" s="234"/>
      <c r="I231" s="234"/>
    </row>
    <row r="232" spans="1:9" x14ac:dyDescent="0.2">
      <c r="A232" s="234"/>
      <c r="B232" s="234"/>
      <c r="C232" s="234"/>
      <c r="D232" s="234"/>
      <c r="E232" s="234"/>
      <c r="F232" s="234"/>
      <c r="G232" s="234"/>
      <c r="H232" s="234"/>
      <c r="I232" s="234"/>
    </row>
    <row r="233" spans="1:9" x14ac:dyDescent="0.2">
      <c r="A233" s="234"/>
      <c r="B233" s="234"/>
      <c r="C233" s="234"/>
      <c r="D233" s="234"/>
      <c r="E233" s="234"/>
      <c r="F233" s="234"/>
      <c r="G233" s="234"/>
      <c r="H233" s="234"/>
      <c r="I233" s="234"/>
    </row>
    <row r="234" spans="1:9" x14ac:dyDescent="0.2">
      <c r="A234" s="234"/>
      <c r="B234" s="234"/>
      <c r="C234" s="234"/>
      <c r="D234" s="234"/>
      <c r="E234" s="234"/>
      <c r="F234" s="234"/>
      <c r="G234" s="234"/>
      <c r="H234" s="234"/>
      <c r="I234" s="234"/>
    </row>
    <row r="235" spans="1:9" x14ac:dyDescent="0.2">
      <c r="A235" s="234"/>
      <c r="B235" s="234"/>
      <c r="C235" s="234"/>
      <c r="D235" s="234"/>
      <c r="E235" s="234"/>
      <c r="F235" s="234"/>
      <c r="G235" s="234"/>
      <c r="H235" s="234"/>
      <c r="I235" s="234"/>
    </row>
    <row r="236" spans="1:9" x14ac:dyDescent="0.2">
      <c r="A236" s="234"/>
      <c r="B236" s="234"/>
      <c r="C236" s="234"/>
      <c r="D236" s="234"/>
      <c r="E236" s="234"/>
      <c r="F236" s="234"/>
      <c r="G236" s="234"/>
      <c r="H236" s="234"/>
      <c r="I236" s="234"/>
    </row>
    <row r="237" spans="1:9" x14ac:dyDescent="0.2">
      <c r="A237" s="234"/>
      <c r="B237" s="234"/>
      <c r="C237" s="234"/>
      <c r="D237" s="234"/>
      <c r="E237" s="234"/>
      <c r="F237" s="234"/>
      <c r="G237" s="234"/>
      <c r="H237" s="234"/>
      <c r="I237" s="234"/>
    </row>
    <row r="238" spans="1:9" x14ac:dyDescent="0.2">
      <c r="A238" s="234"/>
      <c r="B238" s="234"/>
      <c r="C238" s="234"/>
      <c r="D238" s="234"/>
      <c r="E238" s="234"/>
      <c r="F238" s="234"/>
      <c r="G238" s="234"/>
      <c r="H238" s="234"/>
      <c r="I238" s="234"/>
    </row>
    <row r="239" spans="1:9" x14ac:dyDescent="0.2">
      <c r="A239" s="234"/>
      <c r="B239" s="234"/>
      <c r="C239" s="234"/>
      <c r="D239" s="234"/>
      <c r="E239" s="234"/>
      <c r="F239" s="234"/>
      <c r="G239" s="234"/>
      <c r="H239" s="234"/>
      <c r="I239" s="234"/>
    </row>
  </sheetData>
  <sortState xmlns:xlrd2="http://schemas.microsoft.com/office/spreadsheetml/2017/richdata2" ref="A9:A24">
    <sortCondition ref="A9:A24"/>
  </sortState>
  <mergeCells count="41">
    <mergeCell ref="B209:C209"/>
    <mergeCell ref="D209:E209"/>
    <mergeCell ref="F209:G209"/>
    <mergeCell ref="H209:I209"/>
    <mergeCell ref="B163:C163"/>
    <mergeCell ref="D163:E163"/>
    <mergeCell ref="F163:G163"/>
    <mergeCell ref="H163:I163"/>
    <mergeCell ref="B186:C186"/>
    <mergeCell ref="D186:E186"/>
    <mergeCell ref="F186:G186"/>
    <mergeCell ref="H186:I186"/>
    <mergeCell ref="B119:C119"/>
    <mergeCell ref="D119:E119"/>
    <mergeCell ref="F119:G119"/>
    <mergeCell ref="H119:I119"/>
    <mergeCell ref="B141:C141"/>
    <mergeCell ref="D141:E141"/>
    <mergeCell ref="F141:G141"/>
    <mergeCell ref="H141:I141"/>
    <mergeCell ref="H7:I7"/>
    <mergeCell ref="B31:C31"/>
    <mergeCell ref="D31:E31"/>
    <mergeCell ref="F31:G31"/>
    <mergeCell ref="H31:I31"/>
    <mergeCell ref="A1:I1"/>
    <mergeCell ref="B97:C97"/>
    <mergeCell ref="D97:E97"/>
    <mergeCell ref="F97:G97"/>
    <mergeCell ref="H97:I97"/>
    <mergeCell ref="B52:C52"/>
    <mergeCell ref="D52:E52"/>
    <mergeCell ref="F52:G52"/>
    <mergeCell ref="H52:I52"/>
    <mergeCell ref="B75:C75"/>
    <mergeCell ref="D75:E75"/>
    <mergeCell ref="F75:G75"/>
    <mergeCell ref="H75:I75"/>
    <mergeCell ref="B7:C7"/>
    <mergeCell ref="D7:E7"/>
    <mergeCell ref="F7:G7"/>
  </mergeCells>
  <phoneticPr fontId="0" type="noConversion"/>
  <printOptions horizontalCentered="1"/>
  <pageMargins left="0.25" right="0.25" top="0.75" bottom="0.75" header="0.3" footer="0.3"/>
  <pageSetup paperSize="9" scale="17"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J794"/>
  <sheetViews>
    <sheetView showWhiteSpace="0" view="pageLayout" topLeftCell="A219" zoomScale="85" zoomScaleNormal="100" zoomScaleSheetLayoutView="80" zoomScalePageLayoutView="85" workbookViewId="0">
      <selection activeCell="C283" sqref="C283"/>
    </sheetView>
  </sheetViews>
  <sheetFormatPr baseColWidth="10" defaultColWidth="11.42578125" defaultRowHeight="12" x14ac:dyDescent="0.2"/>
  <cols>
    <col min="1" max="1" width="43.7109375" style="3" customWidth="1"/>
    <col min="2" max="2" width="8.7109375" style="3" customWidth="1"/>
    <col min="3" max="3" width="14.5703125" style="40" customWidth="1"/>
    <col min="4" max="5" width="14.5703125" style="3" customWidth="1"/>
    <col min="6" max="9" width="14.5703125" style="64" customWidth="1"/>
    <col min="10" max="11" width="14.5703125" style="3" customWidth="1"/>
    <col min="12" max="12" width="14.5703125" style="40" customWidth="1"/>
    <col min="13" max="15" width="14.5703125" style="3" customWidth="1"/>
    <col min="16" max="16" width="14.5703125" style="40" customWidth="1"/>
    <col min="17" max="20" width="14.5703125" style="3" customWidth="1"/>
    <col min="21" max="24" width="14.5703125" style="64" customWidth="1"/>
    <col min="25" max="26" width="14.5703125" style="3" customWidth="1"/>
    <col min="27" max="27" width="14.5703125" style="40" customWidth="1"/>
    <col min="28" max="30" width="14.5703125" style="3" customWidth="1"/>
    <col min="31" max="31" width="16.42578125" style="40" customWidth="1"/>
    <col min="32" max="33" width="14.5703125" style="85" customWidth="1"/>
    <col min="34" max="34" width="14.5703125" style="40" customWidth="1"/>
    <col min="35" max="35" width="16.42578125" style="40" customWidth="1"/>
    <col min="36" max="16384" width="11.42578125" style="3"/>
  </cols>
  <sheetData>
    <row r="1" spans="1:36" ht="18" customHeight="1" x14ac:dyDescent="0.25">
      <c r="A1" s="1377" t="s">
        <v>872</v>
      </c>
      <c r="B1" s="1377"/>
      <c r="C1" s="1377"/>
      <c r="D1" s="1377"/>
      <c r="E1" s="1377"/>
      <c r="F1" s="1377"/>
      <c r="G1" s="1377"/>
      <c r="H1" s="1377"/>
      <c r="I1" s="1377"/>
      <c r="J1" s="1377"/>
      <c r="K1" s="1377"/>
      <c r="L1" s="1377"/>
      <c r="M1" s="1377"/>
      <c r="N1" s="1377"/>
      <c r="O1" s="1377"/>
      <c r="P1" s="1377"/>
      <c r="Q1" s="1377"/>
      <c r="R1" s="1377"/>
      <c r="S1" s="1377"/>
      <c r="T1" s="1377"/>
      <c r="U1" s="1377"/>
      <c r="V1" s="1377"/>
      <c r="W1" s="1377"/>
      <c r="X1" s="1377"/>
      <c r="Y1" s="1377"/>
      <c r="Z1" s="1377"/>
      <c r="AA1" s="1377"/>
      <c r="AB1" s="1377"/>
      <c r="AC1" s="1377"/>
      <c r="AD1" s="1377"/>
      <c r="AE1" s="1377"/>
      <c r="AF1" s="1377"/>
      <c r="AG1" s="1377"/>
      <c r="AH1" s="1377"/>
      <c r="AI1" s="1377"/>
    </row>
    <row r="2" spans="1:36" x14ac:dyDescent="0.2">
      <c r="A2" s="274" t="s">
        <v>377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row>
    <row r="3" spans="1:36" x14ac:dyDescent="0.2">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57"/>
      <c r="AF3" s="257"/>
      <c r="AG3" s="257"/>
      <c r="AH3" s="257"/>
      <c r="AI3" s="257"/>
      <c r="AJ3" s="257"/>
    </row>
    <row r="4" spans="1:36" ht="12.75" thickBot="1" x14ac:dyDescent="0.25">
      <c r="A4" s="274" t="s">
        <v>873</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row>
    <row r="5" spans="1:36" ht="12.75" thickBot="1" x14ac:dyDescent="0.25">
      <c r="A5" s="1388" t="s">
        <v>42</v>
      </c>
      <c r="B5" s="1391" t="s">
        <v>356</v>
      </c>
      <c r="C5" s="1391"/>
      <c r="D5" s="1391"/>
      <c r="E5" s="1391"/>
      <c r="F5" s="1391"/>
      <c r="G5" s="1391"/>
      <c r="H5" s="1391"/>
      <c r="I5" s="1391"/>
      <c r="J5" s="1391"/>
      <c r="K5" s="1391"/>
      <c r="L5" s="1391"/>
      <c r="M5" s="1391"/>
      <c r="N5" s="1391"/>
      <c r="O5" s="1391"/>
      <c r="P5" s="1391"/>
      <c r="Q5" s="1392" t="s">
        <v>378</v>
      </c>
      <c r="R5" s="1391"/>
      <c r="S5" s="1391"/>
      <c r="T5" s="1391"/>
      <c r="U5" s="1391"/>
      <c r="V5" s="1391"/>
      <c r="W5" s="1391"/>
      <c r="X5" s="1391"/>
      <c r="Y5" s="1391"/>
      <c r="Z5" s="1391"/>
      <c r="AA5" s="1391"/>
      <c r="AB5" s="1391"/>
      <c r="AC5" s="1391"/>
      <c r="AD5" s="1391"/>
      <c r="AE5" s="1393"/>
      <c r="AF5" s="1394" t="s">
        <v>379</v>
      </c>
      <c r="AG5" s="1395"/>
      <c r="AH5" s="1394" t="s">
        <v>380</v>
      </c>
      <c r="AI5" s="1395"/>
      <c r="AJ5" s="234"/>
    </row>
    <row r="6" spans="1:36" ht="138" x14ac:dyDescent="0.2">
      <c r="A6" s="1389"/>
      <c r="B6" s="276" t="s">
        <v>11</v>
      </c>
      <c r="C6" s="277" t="s">
        <v>130</v>
      </c>
      <c r="D6" s="278" t="s">
        <v>245</v>
      </c>
      <c r="E6" s="278" t="s">
        <v>132</v>
      </c>
      <c r="F6" s="278" t="s">
        <v>154</v>
      </c>
      <c r="G6" s="278" t="s">
        <v>155</v>
      </c>
      <c r="H6" s="278" t="s">
        <v>156</v>
      </c>
      <c r="I6" s="278" t="s">
        <v>157</v>
      </c>
      <c r="J6" s="278" t="s">
        <v>133</v>
      </c>
      <c r="K6" s="278" t="s">
        <v>134</v>
      </c>
      <c r="L6" s="278" t="s">
        <v>135</v>
      </c>
      <c r="M6" s="278" t="s">
        <v>153</v>
      </c>
      <c r="N6" s="279" t="s">
        <v>104</v>
      </c>
      <c r="O6" s="280" t="s">
        <v>138</v>
      </c>
      <c r="P6" s="281" t="s">
        <v>137</v>
      </c>
      <c r="Q6" s="276" t="s">
        <v>11</v>
      </c>
      <c r="R6" s="277" t="s">
        <v>130</v>
      </c>
      <c r="S6" s="278" t="s">
        <v>131</v>
      </c>
      <c r="T6" s="278" t="s">
        <v>132</v>
      </c>
      <c r="U6" s="278" t="s">
        <v>154</v>
      </c>
      <c r="V6" s="278" t="s">
        <v>155</v>
      </c>
      <c r="W6" s="278" t="s">
        <v>156</v>
      </c>
      <c r="X6" s="278" t="s">
        <v>157</v>
      </c>
      <c r="Y6" s="278" t="s">
        <v>133</v>
      </c>
      <c r="Z6" s="278" t="s">
        <v>134</v>
      </c>
      <c r="AA6" s="278" t="s">
        <v>135</v>
      </c>
      <c r="AB6" s="278" t="s">
        <v>153</v>
      </c>
      <c r="AC6" s="279" t="s">
        <v>104</v>
      </c>
      <c r="AD6" s="280" t="s">
        <v>138</v>
      </c>
      <c r="AE6" s="281" t="s">
        <v>425</v>
      </c>
      <c r="AF6" s="282" t="s">
        <v>142</v>
      </c>
      <c r="AG6" s="282" t="s">
        <v>141</v>
      </c>
      <c r="AH6" s="282" t="s">
        <v>11</v>
      </c>
      <c r="AI6" s="281" t="s">
        <v>426</v>
      </c>
      <c r="AJ6" s="234"/>
    </row>
    <row r="7" spans="1:36" ht="12.75" thickBot="1" x14ac:dyDescent="0.25">
      <c r="A7" s="1390"/>
      <c r="B7" s="283" t="s">
        <v>43</v>
      </c>
      <c r="C7" s="284" t="s">
        <v>44</v>
      </c>
      <c r="D7" s="285" t="s">
        <v>45</v>
      </c>
      <c r="E7" s="285" t="s">
        <v>46</v>
      </c>
      <c r="F7" s="286" t="s">
        <v>47</v>
      </c>
      <c r="G7" s="286" t="s">
        <v>48</v>
      </c>
      <c r="H7" s="286" t="s">
        <v>63</v>
      </c>
      <c r="I7" s="286" t="s">
        <v>103</v>
      </c>
      <c r="J7" s="286" t="s">
        <v>136</v>
      </c>
      <c r="K7" s="286" t="s">
        <v>140</v>
      </c>
      <c r="L7" s="286" t="s">
        <v>162</v>
      </c>
      <c r="M7" s="286" t="s">
        <v>163</v>
      </c>
      <c r="N7" s="287" t="s">
        <v>165</v>
      </c>
      <c r="O7" s="288" t="s">
        <v>166</v>
      </c>
      <c r="P7" s="290" t="s">
        <v>167</v>
      </c>
      <c r="Q7" s="283" t="s">
        <v>43</v>
      </c>
      <c r="R7" s="284" t="s">
        <v>44</v>
      </c>
      <c r="S7" s="285" t="s">
        <v>45</v>
      </c>
      <c r="T7" s="285" t="s">
        <v>46</v>
      </c>
      <c r="U7" s="286" t="s">
        <v>47</v>
      </c>
      <c r="V7" s="286" t="s">
        <v>48</v>
      </c>
      <c r="W7" s="286" t="s">
        <v>63</v>
      </c>
      <c r="X7" s="286" t="s">
        <v>103</v>
      </c>
      <c r="Y7" s="286" t="s">
        <v>136</v>
      </c>
      <c r="Z7" s="286" t="s">
        <v>140</v>
      </c>
      <c r="AA7" s="286" t="s">
        <v>162</v>
      </c>
      <c r="AB7" s="286" t="s">
        <v>163</v>
      </c>
      <c r="AC7" s="287" t="s">
        <v>165</v>
      </c>
      <c r="AD7" s="288" t="s">
        <v>166</v>
      </c>
      <c r="AE7" s="290" t="s">
        <v>167</v>
      </c>
      <c r="AF7" s="289"/>
      <c r="AG7" s="283"/>
      <c r="AH7" s="289"/>
      <c r="AI7" s="283"/>
      <c r="AJ7" s="234"/>
    </row>
    <row r="8" spans="1:36" x14ac:dyDescent="0.2">
      <c r="A8" s="291"/>
      <c r="B8" s="292"/>
      <c r="C8" s="293"/>
      <c r="D8" s="293"/>
      <c r="E8" s="293"/>
      <c r="F8" s="293"/>
      <c r="G8" s="293"/>
      <c r="H8" s="293"/>
      <c r="I8" s="293"/>
      <c r="J8" s="293"/>
      <c r="K8" s="293"/>
      <c r="L8" s="293"/>
      <c r="M8" s="293"/>
      <c r="N8" s="234"/>
      <c r="O8" s="294"/>
      <c r="P8" s="295"/>
      <c r="Q8" s="292"/>
      <c r="R8" s="293"/>
      <c r="S8" s="293"/>
      <c r="T8" s="293"/>
      <c r="U8" s="293"/>
      <c r="V8" s="293"/>
      <c r="W8" s="293"/>
      <c r="X8" s="293"/>
      <c r="Y8" s="293"/>
      <c r="Z8" s="293"/>
      <c r="AA8" s="293"/>
      <c r="AB8" s="293"/>
      <c r="AC8" s="234"/>
      <c r="AD8" s="294"/>
      <c r="AE8" s="295"/>
      <c r="AF8" s="295"/>
      <c r="AG8" s="292"/>
      <c r="AH8" s="295"/>
      <c r="AI8" s="292"/>
      <c r="AJ8" s="234"/>
    </row>
    <row r="9" spans="1:36" x14ac:dyDescent="0.2">
      <c r="A9" s="292" t="s">
        <v>49</v>
      </c>
      <c r="B9" s="292">
        <f>SUM(B10+B18+B25+B31)</f>
        <v>311</v>
      </c>
      <c r="C9" s="293"/>
      <c r="D9" s="293"/>
      <c r="E9" s="293"/>
      <c r="F9" s="293"/>
      <c r="G9" s="293"/>
      <c r="H9" s="293"/>
      <c r="I9" s="293"/>
      <c r="J9" s="293"/>
      <c r="K9" s="293"/>
      <c r="L9" s="293"/>
      <c r="M9" s="293"/>
      <c r="N9" s="234"/>
      <c r="O9" s="294"/>
      <c r="P9" s="296">
        <f>P10+P18+P25+P31</f>
        <v>8398153.1168534365</v>
      </c>
      <c r="Q9" s="292">
        <f>SUM(Q10+Q18+Q25+Q31)</f>
        <v>303</v>
      </c>
      <c r="R9" s="293"/>
      <c r="S9" s="293"/>
      <c r="T9" s="293"/>
      <c r="U9" s="293"/>
      <c r="V9" s="293"/>
      <c r="W9" s="293"/>
      <c r="X9" s="293"/>
      <c r="Y9" s="293"/>
      <c r="Z9" s="293"/>
      <c r="AA9" s="293"/>
      <c r="AB9" s="293"/>
      <c r="AC9" s="234"/>
      <c r="AD9" s="294"/>
      <c r="AE9" s="296">
        <f>AE10+AE18+AE25+AE31</f>
        <v>8680816.4400000013</v>
      </c>
      <c r="AF9" s="295"/>
      <c r="AG9" s="292"/>
      <c r="AH9" s="292">
        <f>SUM(AH10+AH18+AH25+AH31)</f>
        <v>303</v>
      </c>
      <c r="AI9" s="292"/>
      <c r="AJ9" s="234"/>
    </row>
    <row r="10" spans="1:36" x14ac:dyDescent="0.2">
      <c r="A10" s="292" t="s">
        <v>7</v>
      </c>
      <c r="B10" s="292">
        <f>SUM(B11:B17)</f>
        <v>72</v>
      </c>
      <c r="C10" s="293"/>
      <c r="D10" s="293"/>
      <c r="E10" s="293"/>
      <c r="F10" s="293"/>
      <c r="G10" s="293"/>
      <c r="H10" s="293"/>
      <c r="I10" s="293"/>
      <c r="J10" s="293"/>
      <c r="K10" s="293"/>
      <c r="L10" s="293"/>
      <c r="M10" s="293"/>
      <c r="N10" s="234"/>
      <c r="O10" s="294"/>
      <c r="P10" s="297">
        <f>SUM(P11:P17)</f>
        <v>3152398.1048275866</v>
      </c>
      <c r="Q10" s="292">
        <f>SUM(Q11:Q17)</f>
        <v>76</v>
      </c>
      <c r="R10" s="293"/>
      <c r="S10" s="293"/>
      <c r="T10" s="293"/>
      <c r="U10" s="293"/>
      <c r="V10" s="293"/>
      <c r="W10" s="293"/>
      <c r="X10" s="293"/>
      <c r="Y10" s="293"/>
      <c r="Z10" s="293"/>
      <c r="AA10" s="293"/>
      <c r="AB10" s="293"/>
      <c r="AC10" s="234"/>
      <c r="AD10" s="294"/>
      <c r="AE10" s="297">
        <f>SUM(AE11:AE17)</f>
        <v>3475544.2</v>
      </c>
      <c r="AF10" s="298">
        <f t="shared" ref="AF10:AF40" si="0">AE10-P10</f>
        <v>323146.09517241362</v>
      </c>
      <c r="AG10" s="292">
        <f t="shared" ref="AG10:AG34" si="1">B10-Q10</f>
        <v>-4</v>
      </c>
      <c r="AH10" s="292">
        <f>SUM(AH11:AH17)</f>
        <v>76</v>
      </c>
      <c r="AI10" s="299">
        <v>3475544.2</v>
      </c>
      <c r="AJ10" s="234"/>
    </row>
    <row r="11" spans="1:36" x14ac:dyDescent="0.2">
      <c r="A11" s="292" t="s">
        <v>3</v>
      </c>
      <c r="B11" s="292">
        <v>1</v>
      </c>
      <c r="C11" s="300">
        <v>14300</v>
      </c>
      <c r="D11" s="300"/>
      <c r="E11" s="300"/>
      <c r="F11" s="300"/>
      <c r="G11" s="300"/>
      <c r="H11" s="300"/>
      <c r="I11" s="300"/>
      <c r="J11" s="300"/>
      <c r="K11" s="300">
        <f t="shared" ref="K11:K17" si="2">SUM(C11:J11)</f>
        <v>14300</v>
      </c>
      <c r="L11" s="300">
        <v>1000</v>
      </c>
      <c r="M11" s="300"/>
      <c r="N11" s="301">
        <f t="shared" ref="N11:N17" si="3">L11</f>
        <v>1000</v>
      </c>
      <c r="O11" s="302">
        <f t="shared" ref="O11:O17" si="4">(K11*12)+N11</f>
        <v>172600</v>
      </c>
      <c r="P11" s="297">
        <f t="shared" ref="P11:P17" si="5">O11*B11</f>
        <v>172600</v>
      </c>
      <c r="Q11" s="292">
        <v>1</v>
      </c>
      <c r="R11" s="300">
        <v>14300</v>
      </c>
      <c r="S11" s="300"/>
      <c r="T11" s="300"/>
      <c r="U11" s="300"/>
      <c r="V11" s="300"/>
      <c r="W11" s="300"/>
      <c r="X11" s="300"/>
      <c r="Y11" s="300"/>
      <c r="Z11" s="300">
        <f t="shared" ref="Z11:Z17" si="6">SUM(R11:Y11)</f>
        <v>14300</v>
      </c>
      <c r="AA11" s="300">
        <v>1000</v>
      </c>
      <c r="AB11" s="300"/>
      <c r="AC11" s="301">
        <f t="shared" ref="AC11:AC17" si="7">AA11</f>
        <v>1000</v>
      </c>
      <c r="AD11" s="302">
        <f t="shared" ref="AD11:AD17" si="8">(Z11*12)+AC11</f>
        <v>172600</v>
      </c>
      <c r="AE11" s="297">
        <f t="shared" ref="AE11:AE17" si="9">AD11*Q11</f>
        <v>172600</v>
      </c>
      <c r="AF11" s="298">
        <f t="shared" si="0"/>
        <v>0</v>
      </c>
      <c r="AG11" s="292">
        <f t="shared" si="1"/>
        <v>0</v>
      </c>
      <c r="AH11" s="303">
        <v>1</v>
      </c>
      <c r="AI11" s="299">
        <v>172600</v>
      </c>
      <c r="AJ11" s="234"/>
    </row>
    <row r="12" spans="1:36" x14ac:dyDescent="0.2">
      <c r="A12" s="292" t="s">
        <v>577</v>
      </c>
      <c r="B12" s="292">
        <v>1</v>
      </c>
      <c r="C12" s="300">
        <v>1304</v>
      </c>
      <c r="D12" s="300"/>
      <c r="E12" s="300"/>
      <c r="F12" s="300"/>
      <c r="G12" s="300"/>
      <c r="H12" s="300"/>
      <c r="I12" s="300"/>
      <c r="J12" s="300"/>
      <c r="K12" s="300">
        <f t="shared" si="2"/>
        <v>1304</v>
      </c>
      <c r="L12" s="300">
        <v>1000</v>
      </c>
      <c r="M12" s="300"/>
      <c r="N12" s="301">
        <f t="shared" si="3"/>
        <v>1000</v>
      </c>
      <c r="O12" s="302">
        <f t="shared" si="4"/>
        <v>16648</v>
      </c>
      <c r="P12" s="297">
        <f t="shared" si="5"/>
        <v>16648</v>
      </c>
      <c r="Q12" s="292">
        <v>1</v>
      </c>
      <c r="R12" s="300">
        <v>13704.08</v>
      </c>
      <c r="S12" s="300"/>
      <c r="T12" s="300"/>
      <c r="U12" s="300"/>
      <c r="V12" s="300"/>
      <c r="W12" s="300"/>
      <c r="X12" s="300"/>
      <c r="Y12" s="300"/>
      <c r="Z12" s="300">
        <f t="shared" si="6"/>
        <v>13704.08</v>
      </c>
      <c r="AA12" s="300">
        <v>1000</v>
      </c>
      <c r="AB12" s="300"/>
      <c r="AC12" s="301">
        <f t="shared" si="7"/>
        <v>1000</v>
      </c>
      <c r="AD12" s="302">
        <f t="shared" si="8"/>
        <v>165448.95999999999</v>
      </c>
      <c r="AE12" s="297">
        <f t="shared" si="9"/>
        <v>165448.95999999999</v>
      </c>
      <c r="AF12" s="298">
        <f t="shared" si="0"/>
        <v>148800.95999999999</v>
      </c>
      <c r="AG12" s="292">
        <f t="shared" si="1"/>
        <v>0</v>
      </c>
      <c r="AH12" s="303">
        <v>1</v>
      </c>
      <c r="AI12" s="299">
        <v>165448.95999999999</v>
      </c>
      <c r="AJ12" s="234"/>
    </row>
    <row r="13" spans="1:36" x14ac:dyDescent="0.2">
      <c r="A13" s="292" t="s">
        <v>578</v>
      </c>
      <c r="B13" s="292">
        <v>13</v>
      </c>
      <c r="C13" s="300">
        <v>1004.91</v>
      </c>
      <c r="D13" s="300">
        <v>5620.83</v>
      </c>
      <c r="E13" s="300"/>
      <c r="F13" s="300"/>
      <c r="G13" s="300"/>
      <c r="H13" s="300"/>
      <c r="I13" s="300"/>
      <c r="J13" s="300"/>
      <c r="K13" s="300">
        <f t="shared" si="2"/>
        <v>6625.74</v>
      </c>
      <c r="L13" s="300">
        <v>1000</v>
      </c>
      <c r="M13" s="300"/>
      <c r="N13" s="301">
        <f t="shared" si="3"/>
        <v>1000</v>
      </c>
      <c r="O13" s="302">
        <f t="shared" si="4"/>
        <v>80508.88</v>
      </c>
      <c r="P13" s="297">
        <f t="shared" si="5"/>
        <v>1046615.4400000001</v>
      </c>
      <c r="Q13" s="292">
        <v>14</v>
      </c>
      <c r="R13" s="300">
        <v>1004.91</v>
      </c>
      <c r="S13" s="300">
        <v>5620.83</v>
      </c>
      <c r="T13" s="300"/>
      <c r="U13" s="300"/>
      <c r="V13" s="300"/>
      <c r="W13" s="300"/>
      <c r="X13" s="300"/>
      <c r="Y13" s="300"/>
      <c r="Z13" s="300">
        <f t="shared" si="6"/>
        <v>6625.74</v>
      </c>
      <c r="AA13" s="300">
        <v>1000</v>
      </c>
      <c r="AB13" s="300"/>
      <c r="AC13" s="301">
        <f t="shared" si="7"/>
        <v>1000</v>
      </c>
      <c r="AD13" s="302">
        <f t="shared" si="8"/>
        <v>80508.88</v>
      </c>
      <c r="AE13" s="297">
        <f t="shared" si="9"/>
        <v>1127124.32</v>
      </c>
      <c r="AF13" s="298">
        <f t="shared" si="0"/>
        <v>80508.88</v>
      </c>
      <c r="AG13" s="292">
        <f t="shared" si="1"/>
        <v>-1</v>
      </c>
      <c r="AH13" s="303">
        <v>14</v>
      </c>
      <c r="AI13" s="299">
        <v>234863.07999999996</v>
      </c>
      <c r="AJ13" s="234"/>
    </row>
    <row r="14" spans="1:36" x14ac:dyDescent="0.2">
      <c r="A14" s="292" t="s">
        <v>579</v>
      </c>
      <c r="B14" s="292">
        <v>19</v>
      </c>
      <c r="C14" s="300">
        <v>995.83</v>
      </c>
      <c r="D14" s="300">
        <v>2619.54</v>
      </c>
      <c r="E14" s="300"/>
      <c r="F14" s="300"/>
      <c r="G14" s="300"/>
      <c r="H14" s="300"/>
      <c r="I14" s="300"/>
      <c r="J14" s="300"/>
      <c r="K14" s="300">
        <f t="shared" si="2"/>
        <v>3615.37</v>
      </c>
      <c r="L14" s="300">
        <v>1000</v>
      </c>
      <c r="M14" s="300"/>
      <c r="N14" s="301">
        <f t="shared" si="3"/>
        <v>1000</v>
      </c>
      <c r="O14" s="302">
        <f t="shared" si="4"/>
        <v>44384.44</v>
      </c>
      <c r="P14" s="297">
        <f t="shared" si="5"/>
        <v>843304.3600000001</v>
      </c>
      <c r="Q14" s="292">
        <v>20</v>
      </c>
      <c r="R14" s="300">
        <v>995.83</v>
      </c>
      <c r="S14" s="300">
        <v>2619.54</v>
      </c>
      <c r="T14" s="300"/>
      <c r="U14" s="300"/>
      <c r="V14" s="300"/>
      <c r="W14" s="300"/>
      <c r="X14" s="300"/>
      <c r="Y14" s="300"/>
      <c r="Z14" s="300">
        <f t="shared" si="6"/>
        <v>3615.37</v>
      </c>
      <c r="AA14" s="300">
        <v>1000</v>
      </c>
      <c r="AB14" s="300"/>
      <c r="AC14" s="301">
        <f t="shared" si="7"/>
        <v>1000</v>
      </c>
      <c r="AD14" s="302">
        <f t="shared" si="8"/>
        <v>44384.44</v>
      </c>
      <c r="AE14" s="297">
        <f t="shared" si="9"/>
        <v>887688.8</v>
      </c>
      <c r="AF14" s="298">
        <f t="shared" si="0"/>
        <v>44384.439999999944</v>
      </c>
      <c r="AG14" s="292">
        <f t="shared" si="1"/>
        <v>-1</v>
      </c>
      <c r="AH14" s="303">
        <v>20</v>
      </c>
      <c r="AI14" s="299">
        <v>271433.68000000005</v>
      </c>
      <c r="AJ14" s="234"/>
    </row>
    <row r="15" spans="1:36" x14ac:dyDescent="0.2">
      <c r="A15" s="292" t="s">
        <v>580</v>
      </c>
      <c r="B15" s="292">
        <v>28</v>
      </c>
      <c r="C15" s="300">
        <v>970.51793103448279</v>
      </c>
      <c r="D15" s="300">
        <v>1350</v>
      </c>
      <c r="E15" s="300"/>
      <c r="F15" s="300"/>
      <c r="G15" s="300"/>
      <c r="H15" s="300"/>
      <c r="I15" s="300"/>
      <c r="J15" s="300"/>
      <c r="K15" s="300">
        <f t="shared" si="2"/>
        <v>2320.5179310344829</v>
      </c>
      <c r="L15" s="300">
        <v>1000</v>
      </c>
      <c r="M15" s="300"/>
      <c r="N15" s="301">
        <f t="shared" si="3"/>
        <v>1000</v>
      </c>
      <c r="O15" s="302">
        <f t="shared" si="4"/>
        <v>28846.215172413795</v>
      </c>
      <c r="P15" s="297">
        <f t="shared" si="5"/>
        <v>807694.02482758625</v>
      </c>
      <c r="Q15" s="292">
        <v>29</v>
      </c>
      <c r="R15" s="300">
        <v>920.19</v>
      </c>
      <c r="S15" s="300">
        <v>1360</v>
      </c>
      <c r="T15" s="300"/>
      <c r="U15" s="300"/>
      <c r="V15" s="300"/>
      <c r="W15" s="300"/>
      <c r="X15" s="300"/>
      <c r="Y15" s="300"/>
      <c r="Z15" s="300">
        <f t="shared" si="6"/>
        <v>2280.19</v>
      </c>
      <c r="AA15" s="300">
        <v>1000</v>
      </c>
      <c r="AB15" s="300"/>
      <c r="AC15" s="301">
        <f t="shared" si="7"/>
        <v>1000</v>
      </c>
      <c r="AD15" s="302">
        <f t="shared" si="8"/>
        <v>28362.28</v>
      </c>
      <c r="AE15" s="297">
        <f t="shared" si="9"/>
        <v>822506.12</v>
      </c>
      <c r="AF15" s="298">
        <f t="shared" si="0"/>
        <v>14812.095172413741</v>
      </c>
      <c r="AG15" s="292">
        <f t="shared" si="1"/>
        <v>-1</v>
      </c>
      <c r="AH15" s="303">
        <v>29</v>
      </c>
      <c r="AI15" s="299">
        <v>359507.91999999993</v>
      </c>
      <c r="AJ15" s="234"/>
    </row>
    <row r="16" spans="1:36" x14ac:dyDescent="0.2">
      <c r="A16" s="292" t="s">
        <v>581</v>
      </c>
      <c r="B16" s="292">
        <v>6</v>
      </c>
      <c r="C16" s="300">
        <v>851.19</v>
      </c>
      <c r="D16" s="300">
        <v>1300</v>
      </c>
      <c r="E16" s="300"/>
      <c r="F16" s="300"/>
      <c r="G16" s="300"/>
      <c r="H16" s="300"/>
      <c r="I16" s="300"/>
      <c r="J16" s="300"/>
      <c r="K16" s="300">
        <f t="shared" si="2"/>
        <v>2151.19</v>
      </c>
      <c r="L16" s="300">
        <v>1000</v>
      </c>
      <c r="M16" s="300"/>
      <c r="N16" s="301">
        <f t="shared" si="3"/>
        <v>1000</v>
      </c>
      <c r="O16" s="302">
        <f t="shared" si="4"/>
        <v>26814.28</v>
      </c>
      <c r="P16" s="297">
        <f t="shared" si="5"/>
        <v>160885.68</v>
      </c>
      <c r="Q16" s="292">
        <v>7</v>
      </c>
      <c r="R16" s="300">
        <v>850</v>
      </c>
      <c r="S16" s="300">
        <v>1360</v>
      </c>
      <c r="T16" s="300"/>
      <c r="U16" s="300"/>
      <c r="V16" s="300"/>
      <c r="W16" s="300"/>
      <c r="X16" s="300"/>
      <c r="Y16" s="300"/>
      <c r="Z16" s="300">
        <f t="shared" si="6"/>
        <v>2210</v>
      </c>
      <c r="AA16" s="300">
        <v>1000</v>
      </c>
      <c r="AB16" s="300"/>
      <c r="AC16" s="301">
        <f t="shared" si="7"/>
        <v>1000</v>
      </c>
      <c r="AD16" s="302">
        <f t="shared" si="8"/>
        <v>27520</v>
      </c>
      <c r="AE16" s="297">
        <f t="shared" si="9"/>
        <v>192640</v>
      </c>
      <c r="AF16" s="298">
        <f t="shared" si="0"/>
        <v>31754.320000000007</v>
      </c>
      <c r="AG16" s="292">
        <f t="shared" si="1"/>
        <v>-1</v>
      </c>
      <c r="AH16" s="303">
        <v>7</v>
      </c>
      <c r="AI16" s="299">
        <v>88744.959999999992</v>
      </c>
      <c r="AJ16" s="234"/>
    </row>
    <row r="17" spans="1:36" x14ac:dyDescent="0.2">
      <c r="A17" s="292" t="s">
        <v>12</v>
      </c>
      <c r="B17" s="292">
        <v>4</v>
      </c>
      <c r="C17" s="300">
        <v>796.88750000000005</v>
      </c>
      <c r="D17" s="300">
        <v>1300</v>
      </c>
      <c r="E17" s="300"/>
      <c r="F17" s="300"/>
      <c r="G17" s="300"/>
      <c r="H17" s="300"/>
      <c r="I17" s="300"/>
      <c r="J17" s="300"/>
      <c r="K17" s="300">
        <f t="shared" si="2"/>
        <v>2096.8874999999998</v>
      </c>
      <c r="L17" s="300">
        <v>1000</v>
      </c>
      <c r="M17" s="300"/>
      <c r="N17" s="301">
        <f t="shared" si="3"/>
        <v>1000</v>
      </c>
      <c r="O17" s="302">
        <f t="shared" si="4"/>
        <v>26162.649999999998</v>
      </c>
      <c r="P17" s="297">
        <f t="shared" si="5"/>
        <v>104650.59999999999</v>
      </c>
      <c r="Q17" s="292">
        <v>4</v>
      </c>
      <c r="R17" s="300">
        <v>797</v>
      </c>
      <c r="S17" s="300">
        <v>1360</v>
      </c>
      <c r="T17" s="300"/>
      <c r="U17" s="300"/>
      <c r="V17" s="300"/>
      <c r="W17" s="300"/>
      <c r="X17" s="300"/>
      <c r="Y17" s="300"/>
      <c r="Z17" s="300">
        <f t="shared" si="6"/>
        <v>2157</v>
      </c>
      <c r="AA17" s="300">
        <v>1000</v>
      </c>
      <c r="AB17" s="300"/>
      <c r="AC17" s="301">
        <f t="shared" si="7"/>
        <v>1000</v>
      </c>
      <c r="AD17" s="302">
        <f t="shared" si="8"/>
        <v>26884</v>
      </c>
      <c r="AE17" s="297">
        <f t="shared" si="9"/>
        <v>107536</v>
      </c>
      <c r="AF17" s="298">
        <f t="shared" si="0"/>
        <v>2885.4000000000087</v>
      </c>
      <c r="AG17" s="292">
        <f t="shared" si="1"/>
        <v>0</v>
      </c>
      <c r="AH17" s="303">
        <v>4</v>
      </c>
      <c r="AI17" s="299">
        <v>55570.600000000006</v>
      </c>
      <c r="AJ17" s="234"/>
    </row>
    <row r="18" spans="1:36" x14ac:dyDescent="0.2">
      <c r="A18" s="292" t="s">
        <v>4</v>
      </c>
      <c r="B18" s="292">
        <f>SUM(B19:B24)</f>
        <v>80</v>
      </c>
      <c r="C18" s="300"/>
      <c r="D18" s="300"/>
      <c r="E18" s="300"/>
      <c r="F18" s="300"/>
      <c r="G18" s="300"/>
      <c r="H18" s="300"/>
      <c r="I18" s="300"/>
      <c r="J18" s="300"/>
      <c r="K18" s="300"/>
      <c r="L18" s="300"/>
      <c r="M18" s="300"/>
      <c r="N18" s="301"/>
      <c r="O18" s="302"/>
      <c r="P18" s="297">
        <f>SUM(P19:P24)</f>
        <v>1935457.5554</v>
      </c>
      <c r="Q18" s="292">
        <f>SUM(Q19:Q24)</f>
        <v>73</v>
      </c>
      <c r="R18" s="300"/>
      <c r="S18" s="300"/>
      <c r="T18" s="300"/>
      <c r="U18" s="300"/>
      <c r="V18" s="300"/>
      <c r="W18" s="300"/>
      <c r="X18" s="300"/>
      <c r="Y18" s="300"/>
      <c r="Z18" s="300"/>
      <c r="AA18" s="300"/>
      <c r="AB18" s="300"/>
      <c r="AC18" s="301"/>
      <c r="AD18" s="302"/>
      <c r="AE18" s="297">
        <f>SUM(AE19:AE24)</f>
        <v>1787652.52</v>
      </c>
      <c r="AF18" s="298">
        <f t="shared" si="0"/>
        <v>-147805.03539999994</v>
      </c>
      <c r="AG18" s="292">
        <f t="shared" si="1"/>
        <v>7</v>
      </c>
      <c r="AH18" s="292">
        <f>SUM(AH19:AH24)</f>
        <v>73</v>
      </c>
      <c r="AI18" s="299">
        <v>1787652.52</v>
      </c>
      <c r="AJ18" s="234"/>
    </row>
    <row r="19" spans="1:36" x14ac:dyDescent="0.2">
      <c r="A19" s="292" t="s">
        <v>13</v>
      </c>
      <c r="B19" s="292">
        <v>16</v>
      </c>
      <c r="C19" s="300">
        <v>811.40000000000009</v>
      </c>
      <c r="D19" s="300">
        <v>1200</v>
      </c>
      <c r="E19" s="300"/>
      <c r="F19" s="300"/>
      <c r="G19" s="300"/>
      <c r="H19" s="300"/>
      <c r="I19" s="300"/>
      <c r="J19" s="300"/>
      <c r="K19" s="300">
        <f t="shared" ref="K19:K24" si="10">SUM(C19:J19)</f>
        <v>2011.4</v>
      </c>
      <c r="L19" s="300">
        <v>1000</v>
      </c>
      <c r="M19" s="300"/>
      <c r="N19" s="301">
        <f t="shared" ref="N19:N24" si="11">L19</f>
        <v>1000</v>
      </c>
      <c r="O19" s="302">
        <f t="shared" ref="O19:O24" si="12">(K19*12)+N19</f>
        <v>25136.800000000003</v>
      </c>
      <c r="P19" s="297">
        <f t="shared" ref="P19:P24" si="13">O19*B19</f>
        <v>402188.80000000005</v>
      </c>
      <c r="Q19" s="292">
        <v>16</v>
      </c>
      <c r="R19" s="300">
        <v>819</v>
      </c>
      <c r="S19" s="300">
        <v>1230</v>
      </c>
      <c r="T19" s="300"/>
      <c r="U19" s="300"/>
      <c r="V19" s="300"/>
      <c r="W19" s="300"/>
      <c r="X19" s="300"/>
      <c r="Y19" s="300"/>
      <c r="Z19" s="300">
        <f t="shared" ref="Z19:Z24" si="14">R19+S19</f>
        <v>2049</v>
      </c>
      <c r="AA19" s="300">
        <v>1000</v>
      </c>
      <c r="AB19" s="300"/>
      <c r="AC19" s="301">
        <f t="shared" ref="AC19:AC24" si="15">AA19</f>
        <v>1000</v>
      </c>
      <c r="AD19" s="302">
        <f t="shared" ref="AD19:AD24" si="16">(Z19*12)+AC19</f>
        <v>25588</v>
      </c>
      <c r="AE19" s="297">
        <f t="shared" ref="AE19:AE24" si="17">AD19*Q19</f>
        <v>409408</v>
      </c>
      <c r="AF19" s="298">
        <f t="shared" si="0"/>
        <v>7219.1999999999534</v>
      </c>
      <c r="AG19" s="292">
        <f t="shared" si="1"/>
        <v>0</v>
      </c>
      <c r="AH19" s="303">
        <v>16</v>
      </c>
      <c r="AI19" s="299">
        <v>172969.00000000006</v>
      </c>
      <c r="AJ19" s="234"/>
    </row>
    <row r="20" spans="1:36" x14ac:dyDescent="0.2">
      <c r="A20" s="292" t="s">
        <v>582</v>
      </c>
      <c r="B20" s="292">
        <v>7</v>
      </c>
      <c r="C20" s="300">
        <v>782.04714285714283</v>
      </c>
      <c r="D20" s="300">
        <v>1200</v>
      </c>
      <c r="E20" s="300"/>
      <c r="F20" s="300"/>
      <c r="G20" s="300"/>
      <c r="H20" s="300"/>
      <c r="I20" s="300"/>
      <c r="J20" s="300"/>
      <c r="K20" s="300">
        <f t="shared" si="10"/>
        <v>1982.0471428571427</v>
      </c>
      <c r="L20" s="300">
        <v>1000</v>
      </c>
      <c r="M20" s="300"/>
      <c r="N20" s="301">
        <f t="shared" si="11"/>
        <v>1000</v>
      </c>
      <c r="O20" s="302">
        <f t="shared" si="12"/>
        <v>24784.565714285713</v>
      </c>
      <c r="P20" s="297">
        <f t="shared" si="13"/>
        <v>173491.96</v>
      </c>
      <c r="Q20" s="292">
        <v>8</v>
      </c>
      <c r="R20" s="300">
        <v>763</v>
      </c>
      <c r="S20" s="300">
        <v>1230</v>
      </c>
      <c r="T20" s="300"/>
      <c r="U20" s="300"/>
      <c r="V20" s="300"/>
      <c r="W20" s="300"/>
      <c r="X20" s="300"/>
      <c r="Y20" s="300"/>
      <c r="Z20" s="300">
        <f t="shared" si="14"/>
        <v>1993</v>
      </c>
      <c r="AA20" s="300">
        <v>1000</v>
      </c>
      <c r="AB20" s="300"/>
      <c r="AC20" s="301">
        <f t="shared" si="15"/>
        <v>1000</v>
      </c>
      <c r="AD20" s="302">
        <f t="shared" si="16"/>
        <v>24916</v>
      </c>
      <c r="AE20" s="297">
        <f t="shared" si="17"/>
        <v>199328</v>
      </c>
      <c r="AF20" s="298">
        <f t="shared" si="0"/>
        <v>25836.040000000008</v>
      </c>
      <c r="AG20" s="292">
        <f t="shared" si="1"/>
        <v>-1</v>
      </c>
      <c r="AH20" s="303">
        <v>8</v>
      </c>
      <c r="AI20" s="299">
        <v>88998.279999999984</v>
      </c>
      <c r="AJ20" s="234"/>
    </row>
    <row r="21" spans="1:36" x14ac:dyDescent="0.2">
      <c r="A21" s="292" t="s">
        <v>583</v>
      </c>
      <c r="B21" s="292">
        <v>18</v>
      </c>
      <c r="C21" s="300">
        <v>738.58600000000001</v>
      </c>
      <c r="D21" s="300">
        <v>1200</v>
      </c>
      <c r="E21" s="300"/>
      <c r="F21" s="300"/>
      <c r="G21" s="300"/>
      <c r="H21" s="300"/>
      <c r="I21" s="300"/>
      <c r="J21" s="300"/>
      <c r="K21" s="300">
        <f t="shared" si="10"/>
        <v>1938.586</v>
      </c>
      <c r="L21" s="300">
        <v>1000</v>
      </c>
      <c r="M21" s="300"/>
      <c r="N21" s="301">
        <f t="shared" si="11"/>
        <v>1000</v>
      </c>
      <c r="O21" s="302">
        <f t="shared" si="12"/>
        <v>24263.031999999999</v>
      </c>
      <c r="P21" s="297">
        <f t="shared" si="13"/>
        <v>436734.576</v>
      </c>
      <c r="Q21" s="292">
        <v>13</v>
      </c>
      <c r="R21" s="300">
        <v>739</v>
      </c>
      <c r="S21" s="300">
        <v>1230</v>
      </c>
      <c r="T21" s="300"/>
      <c r="U21" s="300"/>
      <c r="V21" s="300"/>
      <c r="W21" s="300"/>
      <c r="X21" s="300"/>
      <c r="Y21" s="300"/>
      <c r="Z21" s="300">
        <f t="shared" si="14"/>
        <v>1969</v>
      </c>
      <c r="AA21" s="300">
        <v>1000</v>
      </c>
      <c r="AB21" s="300"/>
      <c r="AC21" s="301">
        <f t="shared" si="15"/>
        <v>1000</v>
      </c>
      <c r="AD21" s="302">
        <f t="shared" si="16"/>
        <v>24628</v>
      </c>
      <c r="AE21" s="297">
        <f t="shared" si="17"/>
        <v>320164</v>
      </c>
      <c r="AF21" s="298">
        <f t="shared" si="0"/>
        <v>-116570.576</v>
      </c>
      <c r="AG21" s="292">
        <f t="shared" si="1"/>
        <v>5</v>
      </c>
      <c r="AH21" s="303">
        <v>13</v>
      </c>
      <c r="AI21" s="299">
        <v>131062.23999999999</v>
      </c>
      <c r="AJ21" s="234"/>
    </row>
    <row r="22" spans="1:36" x14ac:dyDescent="0.2">
      <c r="A22" s="292" t="s">
        <v>584</v>
      </c>
      <c r="B22" s="292">
        <v>14</v>
      </c>
      <c r="C22" s="300">
        <v>738.15312500000005</v>
      </c>
      <c r="D22" s="300">
        <v>1200</v>
      </c>
      <c r="E22" s="300"/>
      <c r="F22" s="300"/>
      <c r="G22" s="300"/>
      <c r="H22" s="300"/>
      <c r="I22" s="300"/>
      <c r="J22" s="300"/>
      <c r="K22" s="300">
        <f t="shared" si="10"/>
        <v>1938.153125</v>
      </c>
      <c r="L22" s="300">
        <v>1000</v>
      </c>
      <c r="M22" s="300"/>
      <c r="N22" s="301">
        <f t="shared" si="11"/>
        <v>1000</v>
      </c>
      <c r="O22" s="302">
        <f t="shared" si="12"/>
        <v>24257.837500000001</v>
      </c>
      <c r="P22" s="297">
        <f t="shared" si="13"/>
        <v>339609.72500000003</v>
      </c>
      <c r="Q22" s="292">
        <v>12</v>
      </c>
      <c r="R22" s="300">
        <v>692</v>
      </c>
      <c r="S22" s="300">
        <v>1230</v>
      </c>
      <c r="T22" s="300"/>
      <c r="U22" s="300"/>
      <c r="V22" s="300"/>
      <c r="W22" s="300"/>
      <c r="X22" s="300"/>
      <c r="Y22" s="300"/>
      <c r="Z22" s="300">
        <f t="shared" si="14"/>
        <v>1922</v>
      </c>
      <c r="AA22" s="300">
        <v>1000</v>
      </c>
      <c r="AB22" s="300"/>
      <c r="AC22" s="301">
        <f t="shared" si="15"/>
        <v>1000</v>
      </c>
      <c r="AD22" s="302">
        <f t="shared" si="16"/>
        <v>24064</v>
      </c>
      <c r="AE22" s="297">
        <f t="shared" si="17"/>
        <v>288768</v>
      </c>
      <c r="AF22" s="298">
        <f t="shared" si="0"/>
        <v>-50841.725000000035</v>
      </c>
      <c r="AG22" s="292">
        <f t="shared" si="1"/>
        <v>2</v>
      </c>
      <c r="AH22" s="303">
        <v>12</v>
      </c>
      <c r="AI22" s="299">
        <v>115375.84</v>
      </c>
      <c r="AJ22" s="234"/>
    </row>
    <row r="23" spans="1:36" x14ac:dyDescent="0.2">
      <c r="A23" s="292" t="s">
        <v>14</v>
      </c>
      <c r="B23" s="292">
        <v>24</v>
      </c>
      <c r="C23" s="300">
        <v>663.38880000000006</v>
      </c>
      <c r="D23" s="300">
        <v>1200</v>
      </c>
      <c r="E23" s="300"/>
      <c r="F23" s="300"/>
      <c r="G23" s="300"/>
      <c r="H23" s="300"/>
      <c r="I23" s="300"/>
      <c r="J23" s="300"/>
      <c r="K23" s="300">
        <f t="shared" si="10"/>
        <v>1863.3888000000002</v>
      </c>
      <c r="L23" s="300">
        <v>1000</v>
      </c>
      <c r="M23" s="300"/>
      <c r="N23" s="301">
        <f t="shared" si="11"/>
        <v>1000</v>
      </c>
      <c r="O23" s="302">
        <f t="shared" si="12"/>
        <v>23360.6656</v>
      </c>
      <c r="P23" s="297">
        <f t="shared" si="13"/>
        <v>560655.97439999995</v>
      </c>
      <c r="Q23" s="292">
        <v>23</v>
      </c>
      <c r="R23" s="300">
        <v>668</v>
      </c>
      <c r="S23" s="300">
        <v>1230</v>
      </c>
      <c r="T23" s="300"/>
      <c r="U23" s="300"/>
      <c r="V23" s="300"/>
      <c r="W23" s="300"/>
      <c r="X23" s="300"/>
      <c r="Y23" s="300"/>
      <c r="Z23" s="300">
        <f t="shared" si="14"/>
        <v>1898</v>
      </c>
      <c r="AA23" s="300">
        <v>1000</v>
      </c>
      <c r="AB23" s="300"/>
      <c r="AC23" s="301">
        <f t="shared" si="15"/>
        <v>1000</v>
      </c>
      <c r="AD23" s="302">
        <f t="shared" si="16"/>
        <v>23776</v>
      </c>
      <c r="AE23" s="297">
        <f t="shared" si="17"/>
        <v>546848</v>
      </c>
      <c r="AF23" s="298">
        <f t="shared" si="0"/>
        <v>-13807.974399999948</v>
      </c>
      <c r="AG23" s="292">
        <f t="shared" si="1"/>
        <v>1</v>
      </c>
      <c r="AH23" s="303">
        <v>23</v>
      </c>
      <c r="AI23" s="299">
        <v>200068.84</v>
      </c>
      <c r="AJ23" s="234"/>
    </row>
    <row r="24" spans="1:36" x14ac:dyDescent="0.2">
      <c r="A24" s="292" t="s">
        <v>585</v>
      </c>
      <c r="B24" s="292">
        <v>1</v>
      </c>
      <c r="C24" s="300">
        <v>614.71</v>
      </c>
      <c r="D24" s="300">
        <v>1200</v>
      </c>
      <c r="E24" s="300"/>
      <c r="F24" s="300"/>
      <c r="G24" s="300"/>
      <c r="H24" s="300"/>
      <c r="I24" s="300"/>
      <c r="J24" s="300"/>
      <c r="K24" s="300">
        <f t="shared" si="10"/>
        <v>1814.71</v>
      </c>
      <c r="L24" s="300">
        <v>1000</v>
      </c>
      <c r="M24" s="300"/>
      <c r="N24" s="301">
        <f t="shared" si="11"/>
        <v>1000</v>
      </c>
      <c r="O24" s="302">
        <f t="shared" si="12"/>
        <v>22776.52</v>
      </c>
      <c r="P24" s="297">
        <f t="shared" si="13"/>
        <v>22776.52</v>
      </c>
      <c r="Q24" s="292">
        <v>1</v>
      </c>
      <c r="R24" s="300">
        <v>614.71</v>
      </c>
      <c r="S24" s="300">
        <v>1230</v>
      </c>
      <c r="T24" s="300"/>
      <c r="U24" s="300"/>
      <c r="V24" s="300"/>
      <c r="W24" s="300"/>
      <c r="X24" s="300"/>
      <c r="Y24" s="300"/>
      <c r="Z24" s="300">
        <f t="shared" si="14"/>
        <v>1844.71</v>
      </c>
      <c r="AA24" s="300">
        <v>1000</v>
      </c>
      <c r="AB24" s="300"/>
      <c r="AC24" s="301">
        <f t="shared" si="15"/>
        <v>1000</v>
      </c>
      <c r="AD24" s="302">
        <f t="shared" si="16"/>
        <v>23136.52</v>
      </c>
      <c r="AE24" s="297">
        <f t="shared" si="17"/>
        <v>23136.52</v>
      </c>
      <c r="AF24" s="298">
        <f t="shared" si="0"/>
        <v>360</v>
      </c>
      <c r="AG24" s="292">
        <f t="shared" si="1"/>
        <v>0</v>
      </c>
      <c r="AH24" s="303">
        <v>1</v>
      </c>
      <c r="AI24" s="299">
        <v>23136.52</v>
      </c>
      <c r="AJ24" s="234"/>
    </row>
    <row r="25" spans="1:36" x14ac:dyDescent="0.2">
      <c r="A25" s="292" t="s">
        <v>5</v>
      </c>
      <c r="B25" s="292">
        <f>SUM(B26:B30)</f>
        <v>120</v>
      </c>
      <c r="C25" s="300"/>
      <c r="D25" s="300"/>
      <c r="E25" s="300"/>
      <c r="F25" s="300"/>
      <c r="G25" s="300"/>
      <c r="H25" s="300"/>
      <c r="I25" s="300"/>
      <c r="J25" s="300"/>
      <c r="K25" s="300"/>
      <c r="L25" s="300"/>
      <c r="M25" s="300"/>
      <c r="N25" s="301"/>
      <c r="O25" s="302"/>
      <c r="P25" s="297">
        <f>SUM(P26:P30)</f>
        <v>2505274.5299591837</v>
      </c>
      <c r="Q25" s="292">
        <f>SUM(Q26:Q30)</f>
        <v>116</v>
      </c>
      <c r="R25" s="300"/>
      <c r="S25" s="300"/>
      <c r="T25" s="300"/>
      <c r="U25" s="300"/>
      <c r="V25" s="300"/>
      <c r="W25" s="300"/>
      <c r="X25" s="300"/>
      <c r="Y25" s="300"/>
      <c r="Z25" s="300"/>
      <c r="AA25" s="300"/>
      <c r="AB25" s="300"/>
      <c r="AC25" s="301"/>
      <c r="AD25" s="302"/>
      <c r="AE25" s="297">
        <f>SUM(AE26:AE30)</f>
        <v>2588580.7999999998</v>
      </c>
      <c r="AF25" s="298">
        <f t="shared" si="0"/>
        <v>83306.270040816162</v>
      </c>
      <c r="AG25" s="292">
        <f t="shared" si="1"/>
        <v>4</v>
      </c>
      <c r="AH25" s="292">
        <f>SUM(AH26:AH30)</f>
        <v>116</v>
      </c>
      <c r="AI25" s="299">
        <v>2588580.7999999998</v>
      </c>
      <c r="AJ25" s="234"/>
    </row>
    <row r="26" spans="1:36" x14ac:dyDescent="0.2">
      <c r="A26" s="292" t="s">
        <v>15</v>
      </c>
      <c r="B26" s="292">
        <v>23</v>
      </c>
      <c r="C26" s="300">
        <v>630.32000000000005</v>
      </c>
      <c r="D26" s="300">
        <v>1050</v>
      </c>
      <c r="E26" s="300"/>
      <c r="F26" s="300"/>
      <c r="G26" s="300"/>
      <c r="H26" s="300"/>
      <c r="I26" s="300"/>
      <c r="J26" s="300"/>
      <c r="K26" s="300">
        <f>SUM(C26:J26)</f>
        <v>1680.3200000000002</v>
      </c>
      <c r="L26" s="300">
        <v>1000</v>
      </c>
      <c r="M26" s="300"/>
      <c r="N26" s="301">
        <f>L26</f>
        <v>1000</v>
      </c>
      <c r="O26" s="302">
        <f>(K26*12)+N26</f>
        <v>21163.840000000004</v>
      </c>
      <c r="P26" s="297">
        <f>O26*B26</f>
        <v>486768.32000000007</v>
      </c>
      <c r="Q26" s="292">
        <v>21</v>
      </c>
      <c r="R26" s="300">
        <v>626</v>
      </c>
      <c r="S26" s="300">
        <v>1170</v>
      </c>
      <c r="T26" s="300"/>
      <c r="U26" s="300"/>
      <c r="V26" s="300"/>
      <c r="W26" s="300"/>
      <c r="X26" s="300"/>
      <c r="Y26" s="300"/>
      <c r="Z26" s="300">
        <f>R26+S26</f>
        <v>1796</v>
      </c>
      <c r="AA26" s="300">
        <v>1000</v>
      </c>
      <c r="AB26" s="300"/>
      <c r="AC26" s="301">
        <f>AA26</f>
        <v>1000</v>
      </c>
      <c r="AD26" s="302">
        <f>(Z26*12)+AC26</f>
        <v>22552</v>
      </c>
      <c r="AE26" s="297">
        <f>AD26*Q26</f>
        <v>473592</v>
      </c>
      <c r="AF26" s="298">
        <f t="shared" si="0"/>
        <v>-13176.320000000065</v>
      </c>
      <c r="AG26" s="292">
        <f t="shared" si="1"/>
        <v>2</v>
      </c>
      <c r="AH26" s="303">
        <v>21</v>
      </c>
      <c r="AI26" s="299">
        <v>172671.76</v>
      </c>
      <c r="AJ26" s="234"/>
    </row>
    <row r="27" spans="1:36" x14ac:dyDescent="0.2">
      <c r="A27" s="292" t="s">
        <v>586</v>
      </c>
      <c r="B27" s="292">
        <v>31</v>
      </c>
      <c r="C27" s="300">
        <v>601.94903225806445</v>
      </c>
      <c r="D27" s="300">
        <v>1050</v>
      </c>
      <c r="E27" s="300"/>
      <c r="F27" s="300"/>
      <c r="G27" s="300"/>
      <c r="H27" s="300"/>
      <c r="I27" s="300"/>
      <c r="J27" s="300"/>
      <c r="K27" s="300">
        <f>SUM(C27:J27)</f>
        <v>1651.9490322580646</v>
      </c>
      <c r="L27" s="300">
        <v>1000</v>
      </c>
      <c r="M27" s="300"/>
      <c r="N27" s="301">
        <f>L27</f>
        <v>1000</v>
      </c>
      <c r="O27" s="302">
        <f>(K27*12)+N27</f>
        <v>20823.388387096777</v>
      </c>
      <c r="P27" s="297">
        <f>O27*B27</f>
        <v>645525.04</v>
      </c>
      <c r="Q27" s="292">
        <v>31</v>
      </c>
      <c r="R27" s="300">
        <v>600</v>
      </c>
      <c r="S27" s="300">
        <v>1170</v>
      </c>
      <c r="T27" s="300"/>
      <c r="U27" s="300"/>
      <c r="V27" s="300"/>
      <c r="W27" s="300"/>
      <c r="X27" s="300"/>
      <c r="Y27" s="300"/>
      <c r="Z27" s="300">
        <f>R27+S27</f>
        <v>1770</v>
      </c>
      <c r="AA27" s="300">
        <v>1000</v>
      </c>
      <c r="AB27" s="300"/>
      <c r="AC27" s="301">
        <f>AA27</f>
        <v>1000</v>
      </c>
      <c r="AD27" s="302">
        <f>(Z27*12)+AC27</f>
        <v>22240</v>
      </c>
      <c r="AE27" s="297">
        <f>AD27*Q27</f>
        <v>689440</v>
      </c>
      <c r="AF27" s="298">
        <f t="shared" si="0"/>
        <v>43914.959999999963</v>
      </c>
      <c r="AG27" s="292">
        <f t="shared" si="1"/>
        <v>0</v>
      </c>
      <c r="AH27" s="303">
        <v>31</v>
      </c>
      <c r="AI27" s="299">
        <v>238234.36000000007</v>
      </c>
      <c r="AJ27" s="234"/>
    </row>
    <row r="28" spans="1:36" x14ac:dyDescent="0.2">
      <c r="A28" s="292" t="s">
        <v>587</v>
      </c>
      <c r="B28" s="292">
        <v>50</v>
      </c>
      <c r="C28" s="300">
        <v>605.61816326530618</v>
      </c>
      <c r="D28" s="300">
        <v>1050</v>
      </c>
      <c r="E28" s="300"/>
      <c r="F28" s="300"/>
      <c r="G28" s="300"/>
      <c r="H28" s="300"/>
      <c r="I28" s="300"/>
      <c r="J28" s="300"/>
      <c r="K28" s="300">
        <f>SUM(C28:J28)</f>
        <v>1655.6181632653061</v>
      </c>
      <c r="L28" s="300">
        <v>1000</v>
      </c>
      <c r="M28" s="300"/>
      <c r="N28" s="301">
        <f>L28</f>
        <v>1000</v>
      </c>
      <c r="O28" s="302">
        <f>(K28*12)+N28</f>
        <v>20867.417959183673</v>
      </c>
      <c r="P28" s="297">
        <f>O28*B28</f>
        <v>1043370.8979591837</v>
      </c>
      <c r="Q28" s="292">
        <v>48</v>
      </c>
      <c r="R28" s="300">
        <v>610</v>
      </c>
      <c r="S28" s="300">
        <v>1170</v>
      </c>
      <c r="T28" s="300"/>
      <c r="U28" s="300"/>
      <c r="V28" s="300"/>
      <c r="W28" s="300"/>
      <c r="X28" s="300"/>
      <c r="Y28" s="300"/>
      <c r="Z28" s="300">
        <f>R28+S28</f>
        <v>1780</v>
      </c>
      <c r="AA28" s="300">
        <v>1000</v>
      </c>
      <c r="AB28" s="300"/>
      <c r="AC28" s="301">
        <f>AA28</f>
        <v>1000</v>
      </c>
      <c r="AD28" s="302">
        <f>(Z28*12)+AC28</f>
        <v>22360</v>
      </c>
      <c r="AE28" s="297">
        <f>AD28*Q28</f>
        <v>1073280</v>
      </c>
      <c r="AF28" s="298">
        <f t="shared" si="0"/>
        <v>29909.102040816331</v>
      </c>
      <c r="AG28" s="292">
        <f t="shared" si="1"/>
        <v>2</v>
      </c>
      <c r="AH28" s="303">
        <v>48</v>
      </c>
      <c r="AI28" s="299">
        <v>366306.27999999985</v>
      </c>
      <c r="AJ28" s="234"/>
    </row>
    <row r="29" spans="1:36" x14ac:dyDescent="0.2">
      <c r="A29" s="292" t="s">
        <v>588</v>
      </c>
      <c r="B29" s="292">
        <v>14</v>
      </c>
      <c r="C29" s="300">
        <v>586.27066666666667</v>
      </c>
      <c r="D29" s="300">
        <v>1050</v>
      </c>
      <c r="E29" s="300"/>
      <c r="F29" s="300"/>
      <c r="G29" s="300"/>
      <c r="H29" s="300"/>
      <c r="I29" s="300"/>
      <c r="J29" s="300"/>
      <c r="K29" s="300">
        <f>SUM(C29:J29)</f>
        <v>1636.2706666666668</v>
      </c>
      <c r="L29" s="300">
        <v>1000</v>
      </c>
      <c r="M29" s="300"/>
      <c r="N29" s="301">
        <f>L29</f>
        <v>1000</v>
      </c>
      <c r="O29" s="302">
        <f>(K29*12)+N29</f>
        <v>20635.248</v>
      </c>
      <c r="P29" s="297">
        <f>O29*B29</f>
        <v>288893.47200000001</v>
      </c>
      <c r="Q29" s="292">
        <v>14</v>
      </c>
      <c r="R29" s="300">
        <v>584</v>
      </c>
      <c r="S29" s="300">
        <v>1170</v>
      </c>
      <c r="T29" s="300"/>
      <c r="U29" s="300"/>
      <c r="V29" s="300"/>
      <c r="W29" s="300"/>
      <c r="X29" s="300"/>
      <c r="Y29" s="300"/>
      <c r="Z29" s="300">
        <f>R29+S29</f>
        <v>1754</v>
      </c>
      <c r="AA29" s="300">
        <v>1000</v>
      </c>
      <c r="AB29" s="300"/>
      <c r="AC29" s="301">
        <f>AA29</f>
        <v>1000</v>
      </c>
      <c r="AD29" s="302">
        <f>(Z29*12)+AC29</f>
        <v>22048</v>
      </c>
      <c r="AE29" s="297">
        <f>AD29*Q29</f>
        <v>308672</v>
      </c>
      <c r="AF29" s="298">
        <f t="shared" si="0"/>
        <v>19778.527999999991</v>
      </c>
      <c r="AG29" s="292">
        <f t="shared" si="1"/>
        <v>0</v>
      </c>
      <c r="AH29" s="303">
        <v>14</v>
      </c>
      <c r="AI29" s="299">
        <v>113081.08</v>
      </c>
      <c r="AJ29" s="234"/>
    </row>
    <row r="30" spans="1:36" x14ac:dyDescent="0.2">
      <c r="A30" s="292" t="s">
        <v>589</v>
      </c>
      <c r="B30" s="292">
        <v>2</v>
      </c>
      <c r="C30" s="300">
        <v>563.20000000000005</v>
      </c>
      <c r="D30" s="300">
        <v>1050</v>
      </c>
      <c r="E30" s="300"/>
      <c r="F30" s="300"/>
      <c r="G30" s="300"/>
      <c r="H30" s="300"/>
      <c r="I30" s="300"/>
      <c r="J30" s="300"/>
      <c r="K30" s="300">
        <f>SUM(C30:J30)</f>
        <v>1613.2</v>
      </c>
      <c r="L30" s="300">
        <v>1000</v>
      </c>
      <c r="M30" s="300"/>
      <c r="N30" s="301">
        <f>L30</f>
        <v>1000</v>
      </c>
      <c r="O30" s="302">
        <f>(K30*12)+N30</f>
        <v>20358.400000000001</v>
      </c>
      <c r="P30" s="297">
        <f>O30*B30</f>
        <v>40716.800000000003</v>
      </c>
      <c r="Q30" s="292">
        <v>2</v>
      </c>
      <c r="R30" s="300">
        <v>563.20000000000005</v>
      </c>
      <c r="S30" s="300">
        <v>1170</v>
      </c>
      <c r="T30" s="300"/>
      <c r="U30" s="300"/>
      <c r="V30" s="300"/>
      <c r="W30" s="300"/>
      <c r="X30" s="300"/>
      <c r="Y30" s="300"/>
      <c r="Z30" s="300">
        <f>R30+S30</f>
        <v>1733.2</v>
      </c>
      <c r="AA30" s="300">
        <v>1000</v>
      </c>
      <c r="AB30" s="300"/>
      <c r="AC30" s="301">
        <f>AA30</f>
        <v>1000</v>
      </c>
      <c r="AD30" s="302">
        <f>(Z30*12)+AC30</f>
        <v>21798.400000000001</v>
      </c>
      <c r="AE30" s="297">
        <f>AD30*Q30</f>
        <v>43596.800000000003</v>
      </c>
      <c r="AF30" s="298">
        <f t="shared" si="0"/>
        <v>2880</v>
      </c>
      <c r="AG30" s="292">
        <f t="shared" si="1"/>
        <v>0</v>
      </c>
      <c r="AH30" s="303">
        <v>2</v>
      </c>
      <c r="AI30" s="299">
        <v>28556.799999999996</v>
      </c>
      <c r="AJ30" s="234"/>
    </row>
    <row r="31" spans="1:36" x14ac:dyDescent="0.2">
      <c r="A31" s="292" t="s">
        <v>6</v>
      </c>
      <c r="B31" s="292">
        <f>SUM(B32:B34)</f>
        <v>39</v>
      </c>
      <c r="C31" s="300"/>
      <c r="D31" s="300"/>
      <c r="E31" s="300"/>
      <c r="F31" s="300"/>
      <c r="G31" s="300"/>
      <c r="H31" s="300"/>
      <c r="I31" s="300"/>
      <c r="J31" s="300"/>
      <c r="K31" s="300"/>
      <c r="L31" s="300"/>
      <c r="M31" s="300"/>
      <c r="N31" s="301"/>
      <c r="O31" s="302"/>
      <c r="P31" s="297">
        <f>SUM(P32:P34)</f>
        <v>805022.92666666664</v>
      </c>
      <c r="Q31" s="292">
        <f>SUM(Q32:Q34)</f>
        <v>38</v>
      </c>
      <c r="R31" s="300"/>
      <c r="S31" s="300"/>
      <c r="T31" s="300"/>
      <c r="U31" s="300"/>
      <c r="V31" s="300"/>
      <c r="W31" s="300"/>
      <c r="X31" s="300"/>
      <c r="Y31" s="300"/>
      <c r="Z31" s="300"/>
      <c r="AA31" s="300"/>
      <c r="AB31" s="300"/>
      <c r="AC31" s="301"/>
      <c r="AD31" s="302"/>
      <c r="AE31" s="297">
        <f>SUM(AE32:AE34)</f>
        <v>829038.92</v>
      </c>
      <c r="AF31" s="298">
        <f t="shared" si="0"/>
        <v>24015.993333333405</v>
      </c>
      <c r="AG31" s="292">
        <f t="shared" si="1"/>
        <v>1</v>
      </c>
      <c r="AH31" s="292">
        <f>SUM(AH32:AH34)</f>
        <v>38</v>
      </c>
      <c r="AI31" s="299">
        <v>829038.92</v>
      </c>
      <c r="AJ31" s="234"/>
    </row>
    <row r="32" spans="1:36" x14ac:dyDescent="0.2">
      <c r="A32" s="292" t="s">
        <v>16</v>
      </c>
      <c r="B32" s="292">
        <v>35</v>
      </c>
      <c r="C32" s="300">
        <v>587.80611111111114</v>
      </c>
      <c r="D32" s="300">
        <v>1050</v>
      </c>
      <c r="E32" s="300"/>
      <c r="F32" s="300"/>
      <c r="G32" s="300"/>
      <c r="H32" s="300"/>
      <c r="I32" s="300"/>
      <c r="J32" s="300"/>
      <c r="K32" s="300">
        <f>SUM(C32:J32)</f>
        <v>1637.806111111111</v>
      </c>
      <c r="L32" s="300">
        <v>1000</v>
      </c>
      <c r="M32" s="300"/>
      <c r="N32" s="301">
        <f>L32</f>
        <v>1000</v>
      </c>
      <c r="O32" s="302">
        <f>(K32*12)+N32</f>
        <v>20653.673333333332</v>
      </c>
      <c r="P32" s="297">
        <f>O32*B32</f>
        <v>722878.56666666665</v>
      </c>
      <c r="Q32" s="292">
        <v>35</v>
      </c>
      <c r="R32" s="300">
        <v>586.15</v>
      </c>
      <c r="S32" s="300">
        <v>1150</v>
      </c>
      <c r="T32" s="300"/>
      <c r="U32" s="300"/>
      <c r="V32" s="300"/>
      <c r="W32" s="300"/>
      <c r="X32" s="300"/>
      <c r="Y32" s="300"/>
      <c r="Z32" s="300">
        <f>R32+S32</f>
        <v>1736.15</v>
      </c>
      <c r="AA32" s="300">
        <v>1000</v>
      </c>
      <c r="AB32" s="300"/>
      <c r="AC32" s="301">
        <f>AA32</f>
        <v>1000</v>
      </c>
      <c r="AD32" s="302">
        <f>(Z32*12)+AC32</f>
        <v>21833.800000000003</v>
      </c>
      <c r="AE32" s="297">
        <f>AD32*Q32</f>
        <v>764183.00000000012</v>
      </c>
      <c r="AF32" s="298">
        <f t="shared" si="0"/>
        <v>41304.433333333465</v>
      </c>
      <c r="AG32" s="292">
        <f t="shared" si="1"/>
        <v>0</v>
      </c>
      <c r="AH32" s="303">
        <v>35</v>
      </c>
      <c r="AI32" s="299">
        <v>261020.68000000005</v>
      </c>
      <c r="AJ32" s="234"/>
    </row>
    <row r="33" spans="1:36" x14ac:dyDescent="0.2">
      <c r="A33" s="292" t="s">
        <v>590</v>
      </c>
      <c r="B33" s="292">
        <v>3</v>
      </c>
      <c r="C33" s="300">
        <v>579.41</v>
      </c>
      <c r="D33" s="300">
        <v>1050</v>
      </c>
      <c r="E33" s="300"/>
      <c r="F33" s="300"/>
      <c r="G33" s="300"/>
      <c r="H33" s="300"/>
      <c r="I33" s="300"/>
      <c r="J33" s="300"/>
      <c r="K33" s="300">
        <f>SUM(C33:J33)</f>
        <v>1629.4099999999999</v>
      </c>
      <c r="L33" s="300">
        <v>1000</v>
      </c>
      <c r="M33" s="300"/>
      <c r="N33" s="301">
        <f>L33</f>
        <v>1000</v>
      </c>
      <c r="O33" s="302">
        <f>(K33*12)+N33</f>
        <v>20552.919999999998</v>
      </c>
      <c r="P33" s="297">
        <f>O33*B33</f>
        <v>61658.759999999995</v>
      </c>
      <c r="Q33" s="292">
        <v>2</v>
      </c>
      <c r="R33" s="300">
        <v>565.42999999999995</v>
      </c>
      <c r="S33" s="300">
        <v>1150</v>
      </c>
      <c r="T33" s="300"/>
      <c r="U33" s="300"/>
      <c r="V33" s="300"/>
      <c r="W33" s="300"/>
      <c r="X33" s="300"/>
      <c r="Y33" s="300"/>
      <c r="Z33" s="300">
        <f>R33+S33</f>
        <v>1715.4299999999998</v>
      </c>
      <c r="AA33" s="300">
        <v>1000</v>
      </c>
      <c r="AB33" s="300"/>
      <c r="AC33" s="301">
        <f>AA33</f>
        <v>1000</v>
      </c>
      <c r="AD33" s="302">
        <f>(Z33*12)+AC33</f>
        <v>21585.159999999996</v>
      </c>
      <c r="AE33" s="297">
        <f>AD33*Q33</f>
        <v>43170.319999999992</v>
      </c>
      <c r="AF33" s="298">
        <f t="shared" si="0"/>
        <v>-18488.440000000002</v>
      </c>
      <c r="AG33" s="292">
        <f t="shared" si="1"/>
        <v>1</v>
      </c>
      <c r="AH33" s="303">
        <v>2</v>
      </c>
      <c r="AI33" s="299">
        <v>28370.199999999997</v>
      </c>
      <c r="AJ33" s="234"/>
    </row>
    <row r="34" spans="1:36" x14ac:dyDescent="0.2">
      <c r="A34" s="292" t="s">
        <v>591</v>
      </c>
      <c r="B34" s="292">
        <v>1</v>
      </c>
      <c r="C34" s="300">
        <v>573.79999999999995</v>
      </c>
      <c r="D34" s="300">
        <v>1050</v>
      </c>
      <c r="E34" s="300"/>
      <c r="F34" s="300"/>
      <c r="G34" s="300"/>
      <c r="H34" s="300"/>
      <c r="I34" s="300"/>
      <c r="J34" s="300"/>
      <c r="K34" s="300">
        <f>SUM(C34:J34)</f>
        <v>1623.8</v>
      </c>
      <c r="L34" s="300">
        <v>1000</v>
      </c>
      <c r="M34" s="300"/>
      <c r="N34" s="301">
        <f>L34</f>
        <v>1000</v>
      </c>
      <c r="O34" s="302">
        <f>(K34*12)+N34</f>
        <v>20485.599999999999</v>
      </c>
      <c r="P34" s="297">
        <f>O34*B34</f>
        <v>20485.599999999999</v>
      </c>
      <c r="Q34" s="292">
        <v>1</v>
      </c>
      <c r="R34" s="300">
        <v>573.79999999999995</v>
      </c>
      <c r="S34" s="300">
        <v>1150</v>
      </c>
      <c r="T34" s="300"/>
      <c r="U34" s="300"/>
      <c r="V34" s="300"/>
      <c r="W34" s="300"/>
      <c r="X34" s="300"/>
      <c r="Y34" s="300"/>
      <c r="Z34" s="300">
        <f>R34+S34</f>
        <v>1723.8</v>
      </c>
      <c r="AA34" s="300">
        <v>1000</v>
      </c>
      <c r="AB34" s="300"/>
      <c r="AC34" s="301">
        <f>AA34</f>
        <v>1000</v>
      </c>
      <c r="AD34" s="302">
        <f>(Z34*12)+AC34</f>
        <v>21685.599999999999</v>
      </c>
      <c r="AE34" s="297">
        <f>AD34*Q34</f>
        <v>21685.599999999999</v>
      </c>
      <c r="AF34" s="298">
        <f t="shared" si="0"/>
        <v>1200</v>
      </c>
      <c r="AG34" s="292">
        <f t="shared" si="1"/>
        <v>0</v>
      </c>
      <c r="AH34" s="303">
        <v>1</v>
      </c>
      <c r="AI34" s="299">
        <v>21685.599999999999</v>
      </c>
      <c r="AJ34" s="234"/>
    </row>
    <row r="35" spans="1:36" x14ac:dyDescent="0.2">
      <c r="A35" s="304" t="s">
        <v>617</v>
      </c>
      <c r="B35" s="292">
        <v>14</v>
      </c>
      <c r="C35" s="293"/>
      <c r="D35" s="293"/>
      <c r="E35" s="293"/>
      <c r="F35" s="293"/>
      <c r="G35" s="293"/>
      <c r="H35" s="293"/>
      <c r="I35" s="293"/>
      <c r="J35" s="293"/>
      <c r="K35" s="293"/>
      <c r="L35" s="293"/>
      <c r="M35" s="293"/>
      <c r="N35" s="234"/>
      <c r="O35" s="294"/>
      <c r="P35" s="295"/>
      <c r="Q35" s="292"/>
      <c r="R35" s="293"/>
      <c r="S35" s="293"/>
      <c r="T35" s="293"/>
      <c r="U35" s="293"/>
      <c r="V35" s="293"/>
      <c r="W35" s="293"/>
      <c r="X35" s="293"/>
      <c r="Y35" s="293"/>
      <c r="Z35" s="293"/>
      <c r="AA35" s="293"/>
      <c r="AB35" s="293"/>
      <c r="AC35" s="234"/>
      <c r="AD35" s="294"/>
      <c r="AE35" s="295"/>
      <c r="AF35" s="298">
        <f t="shared" si="0"/>
        <v>0</v>
      </c>
      <c r="AG35" s="292"/>
      <c r="AH35" s="295"/>
      <c r="AI35" s="292"/>
      <c r="AJ35" s="234"/>
    </row>
    <row r="36" spans="1:36" x14ac:dyDescent="0.2">
      <c r="A36" s="305" t="s">
        <v>610</v>
      </c>
      <c r="B36" s="292"/>
      <c r="C36" s="293"/>
      <c r="D36" s="293"/>
      <c r="E36" s="293"/>
      <c r="F36" s="293"/>
      <c r="G36" s="293"/>
      <c r="H36" s="293"/>
      <c r="I36" s="293"/>
      <c r="J36" s="293"/>
      <c r="K36" s="293"/>
      <c r="L36" s="293"/>
      <c r="M36" s="300">
        <v>162442</v>
      </c>
      <c r="N36" s="234"/>
      <c r="O36" s="294"/>
      <c r="P36" s="297">
        <f>M36</f>
        <v>162442</v>
      </c>
      <c r="Q36" s="292"/>
      <c r="R36" s="293"/>
      <c r="S36" s="293"/>
      <c r="T36" s="293"/>
      <c r="U36" s="293"/>
      <c r="V36" s="293"/>
      <c r="W36" s="293"/>
      <c r="X36" s="293"/>
      <c r="Y36" s="293"/>
      <c r="Z36" s="293"/>
      <c r="AA36" s="293"/>
      <c r="AB36" s="300">
        <v>165397</v>
      </c>
      <c r="AC36" s="234"/>
      <c r="AD36" s="294"/>
      <c r="AE36" s="297">
        <f>AB36</f>
        <v>165397</v>
      </c>
      <c r="AF36" s="298">
        <f t="shared" si="0"/>
        <v>2955</v>
      </c>
      <c r="AG36" s="292"/>
      <c r="AH36" s="295"/>
      <c r="AI36" s="299">
        <v>274935.11</v>
      </c>
      <c r="AJ36" s="234"/>
    </row>
    <row r="37" spans="1:36" x14ac:dyDescent="0.2">
      <c r="A37" s="305" t="s">
        <v>611</v>
      </c>
      <c r="B37" s="292">
        <v>14</v>
      </c>
      <c r="C37" s="293"/>
      <c r="D37" s="293"/>
      <c r="E37" s="293"/>
      <c r="F37" s="293"/>
      <c r="G37" s="293"/>
      <c r="H37" s="293"/>
      <c r="I37" s="293"/>
      <c r="J37" s="293"/>
      <c r="K37" s="293"/>
      <c r="L37" s="293"/>
      <c r="M37" s="300">
        <v>720720</v>
      </c>
      <c r="N37" s="234"/>
      <c r="O37" s="294"/>
      <c r="P37" s="297">
        <f>M37</f>
        <v>720720</v>
      </c>
      <c r="Q37" s="292"/>
      <c r="R37" s="293"/>
      <c r="S37" s="293"/>
      <c r="T37" s="293"/>
      <c r="U37" s="293"/>
      <c r="V37" s="293"/>
      <c r="W37" s="293"/>
      <c r="X37" s="293"/>
      <c r="Y37" s="293"/>
      <c r="Z37" s="293"/>
      <c r="AA37" s="293"/>
      <c r="AB37" s="300">
        <v>720720</v>
      </c>
      <c r="AC37" s="234"/>
      <c r="AD37" s="294"/>
      <c r="AE37" s="297">
        <f>AB37</f>
        <v>720720</v>
      </c>
      <c r="AF37" s="298">
        <f t="shared" si="0"/>
        <v>0</v>
      </c>
      <c r="AG37" s="292"/>
      <c r="AH37" s="295"/>
      <c r="AI37" s="299">
        <v>720720</v>
      </c>
      <c r="AJ37" s="234"/>
    </row>
    <row r="38" spans="1:36" x14ac:dyDescent="0.2">
      <c r="A38" s="305" t="s">
        <v>612</v>
      </c>
      <c r="B38" s="292"/>
      <c r="C38" s="293"/>
      <c r="D38" s="293"/>
      <c r="E38" s="293"/>
      <c r="F38" s="293"/>
      <c r="G38" s="293"/>
      <c r="H38" s="293"/>
      <c r="I38" s="293"/>
      <c r="J38" s="293"/>
      <c r="K38" s="293"/>
      <c r="L38" s="293"/>
      <c r="M38" s="300">
        <v>445000</v>
      </c>
      <c r="N38" s="234"/>
      <c r="O38" s="294"/>
      <c r="P38" s="297">
        <f>M38</f>
        <v>445000</v>
      </c>
      <c r="Q38" s="292"/>
      <c r="R38" s="293"/>
      <c r="S38" s="293"/>
      <c r="T38" s="293"/>
      <c r="U38" s="293"/>
      <c r="V38" s="293"/>
      <c r="W38" s="293"/>
      <c r="X38" s="293"/>
      <c r="Y38" s="293"/>
      <c r="Z38" s="293"/>
      <c r="AA38" s="293"/>
      <c r="AB38" s="300">
        <v>445000</v>
      </c>
      <c r="AC38" s="234"/>
      <c r="AD38" s="294"/>
      <c r="AE38" s="297">
        <f>AB38</f>
        <v>445000</v>
      </c>
      <c r="AF38" s="298">
        <f t="shared" si="0"/>
        <v>0</v>
      </c>
      <c r="AG38" s="292"/>
      <c r="AH38" s="295"/>
      <c r="AI38" s="299">
        <v>445000</v>
      </c>
      <c r="AJ38" s="234"/>
    </row>
    <row r="39" spans="1:36" x14ac:dyDescent="0.2">
      <c r="A39" s="305" t="s">
        <v>618</v>
      </c>
      <c r="B39" s="292"/>
      <c r="C39" s="293"/>
      <c r="D39" s="293"/>
      <c r="E39" s="293"/>
      <c r="F39" s="293"/>
      <c r="G39" s="293"/>
      <c r="H39" s="293"/>
      <c r="I39" s="293"/>
      <c r="J39" s="293"/>
      <c r="K39" s="293"/>
      <c r="L39" s="293"/>
      <c r="M39" s="300">
        <v>23916</v>
      </c>
      <c r="N39" s="234"/>
      <c r="O39" s="294"/>
      <c r="P39" s="297">
        <f>M39</f>
        <v>23916</v>
      </c>
      <c r="Q39" s="292"/>
      <c r="R39" s="293"/>
      <c r="S39" s="293"/>
      <c r="T39" s="293"/>
      <c r="U39" s="293"/>
      <c r="V39" s="293"/>
      <c r="W39" s="293"/>
      <c r="X39" s="293"/>
      <c r="Y39" s="293"/>
      <c r="Z39" s="293"/>
      <c r="AA39" s="293"/>
      <c r="AB39" s="300">
        <v>23916</v>
      </c>
      <c r="AC39" s="234"/>
      <c r="AD39" s="294"/>
      <c r="AE39" s="297">
        <f>AB39</f>
        <v>23916</v>
      </c>
      <c r="AF39" s="298">
        <f t="shared" si="0"/>
        <v>0</v>
      </c>
      <c r="AG39" s="292"/>
      <c r="AH39" s="295"/>
      <c r="AI39" s="299">
        <v>23916</v>
      </c>
      <c r="AJ39" s="234"/>
    </row>
    <row r="40" spans="1:36" x14ac:dyDescent="0.2">
      <c r="A40" s="305" t="s">
        <v>614</v>
      </c>
      <c r="B40" s="292"/>
      <c r="C40" s="293"/>
      <c r="D40" s="293"/>
      <c r="E40" s="293"/>
      <c r="F40" s="293"/>
      <c r="G40" s="293"/>
      <c r="H40" s="293"/>
      <c r="I40" s="293"/>
      <c r="J40" s="293"/>
      <c r="K40" s="293"/>
      <c r="L40" s="293"/>
      <c r="M40" s="300">
        <v>636141</v>
      </c>
      <c r="N40" s="234"/>
      <c r="O40" s="294"/>
      <c r="P40" s="297">
        <f>M40</f>
        <v>636141</v>
      </c>
      <c r="Q40" s="292"/>
      <c r="R40" s="293"/>
      <c r="S40" s="293"/>
      <c r="T40" s="293"/>
      <c r="U40" s="293"/>
      <c r="V40" s="293"/>
      <c r="W40" s="293"/>
      <c r="X40" s="293"/>
      <c r="Y40" s="293"/>
      <c r="Z40" s="293"/>
      <c r="AA40" s="293"/>
      <c r="AB40" s="300">
        <v>636141</v>
      </c>
      <c r="AC40" s="234"/>
      <c r="AD40" s="294"/>
      <c r="AE40" s="297">
        <f>AB40</f>
        <v>636141</v>
      </c>
      <c r="AF40" s="298">
        <f t="shared" si="0"/>
        <v>0</v>
      </c>
      <c r="AG40" s="292"/>
      <c r="AH40" s="295"/>
      <c r="AI40" s="299">
        <v>636141</v>
      </c>
      <c r="AJ40" s="234"/>
    </row>
    <row r="41" spans="1:36" ht="12.75" thickBot="1" x14ac:dyDescent="0.25">
      <c r="A41" s="306"/>
      <c r="B41" s="307"/>
      <c r="C41" s="308"/>
      <c r="D41" s="308"/>
      <c r="E41" s="308"/>
      <c r="F41" s="308"/>
      <c r="G41" s="308"/>
      <c r="H41" s="308"/>
      <c r="I41" s="308"/>
      <c r="J41" s="308"/>
      <c r="K41" s="308"/>
      <c r="L41" s="308"/>
      <c r="M41" s="308"/>
      <c r="N41" s="309"/>
      <c r="O41" s="310"/>
      <c r="P41" s="311"/>
      <c r="Q41" s="307"/>
      <c r="R41" s="308"/>
      <c r="S41" s="308"/>
      <c r="T41" s="308"/>
      <c r="U41" s="308"/>
      <c r="V41" s="308"/>
      <c r="W41" s="308"/>
      <c r="X41" s="308"/>
      <c r="Y41" s="308"/>
      <c r="Z41" s="308"/>
      <c r="AA41" s="308"/>
      <c r="AB41" s="308"/>
      <c r="AC41" s="309"/>
      <c r="AD41" s="310"/>
      <c r="AE41" s="311"/>
      <c r="AF41" s="311"/>
      <c r="AG41" s="307"/>
      <c r="AH41" s="311"/>
      <c r="AI41" s="307"/>
      <c r="AJ41" s="234"/>
    </row>
    <row r="42" spans="1:36" ht="12.75" thickBot="1" x14ac:dyDescent="0.25">
      <c r="A42" s="312" t="s">
        <v>0</v>
      </c>
      <c r="B42" s="313"/>
      <c r="C42" s="314"/>
      <c r="D42" s="315"/>
      <c r="E42" s="315"/>
      <c r="F42" s="315"/>
      <c r="G42" s="315"/>
      <c r="H42" s="315"/>
      <c r="I42" s="315"/>
      <c r="J42" s="315"/>
      <c r="K42" s="315"/>
      <c r="L42" s="315"/>
      <c r="M42" s="315"/>
      <c r="N42" s="316"/>
      <c r="O42" s="317"/>
      <c r="P42" s="318">
        <f>SUM(P10,P18,P25,P31,P36:P40)</f>
        <v>10386372.116853436</v>
      </c>
      <c r="Q42" s="306"/>
      <c r="R42" s="314"/>
      <c r="S42" s="315"/>
      <c r="T42" s="315"/>
      <c r="U42" s="315"/>
      <c r="V42" s="315"/>
      <c r="W42" s="315"/>
      <c r="X42" s="315"/>
      <c r="Y42" s="315"/>
      <c r="Z42" s="315"/>
      <c r="AA42" s="315"/>
      <c r="AB42" s="315"/>
      <c r="AC42" s="316"/>
      <c r="AD42" s="318"/>
      <c r="AE42" s="318">
        <f>SUM(AE10,AE18,AE25,AE31,AE36:AE40)</f>
        <v>10671990.440000001</v>
      </c>
      <c r="AF42" s="318">
        <f>SUM(AF10,AF18,AF25,AF31,AF36:AF40)</f>
        <v>285618.32314656326</v>
      </c>
      <c r="AG42" s="318"/>
      <c r="AH42" s="318"/>
      <c r="AI42" s="318">
        <f>SUM(AI10,AI18,AI25,AI31,AI36:AI40)</f>
        <v>10781528.550000001</v>
      </c>
      <c r="AJ42" s="234"/>
    </row>
    <row r="43" spans="1:36" x14ac:dyDescent="0.2">
      <c r="A43" s="234" t="s">
        <v>50</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row>
    <row r="44" spans="1:36" x14ac:dyDescent="0.2">
      <c r="A44" s="234" t="s">
        <v>51</v>
      </c>
      <c r="B44" s="234" t="s">
        <v>143</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row>
    <row r="45" spans="1:36" x14ac:dyDescent="0.2">
      <c r="A45" s="234" t="s">
        <v>52</v>
      </c>
      <c r="B45" s="234" t="s">
        <v>53</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row>
    <row r="46" spans="1:36" x14ac:dyDescent="0.2">
      <c r="A46" s="234" t="s">
        <v>54</v>
      </c>
      <c r="B46" s="234" t="s">
        <v>55</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row>
    <row r="47" spans="1:36" x14ac:dyDescent="0.2">
      <c r="A47" s="234" t="s">
        <v>56</v>
      </c>
      <c r="B47" s="234" t="s">
        <v>57</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row>
    <row r="48" spans="1:36" x14ac:dyDescent="0.2">
      <c r="A48" s="234"/>
      <c r="B48" s="234" t="s">
        <v>58</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row>
    <row r="49" spans="1:36" x14ac:dyDescent="0.2">
      <c r="A49" s="234" t="s">
        <v>59</v>
      </c>
      <c r="B49" s="10" t="s">
        <v>619</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row>
    <row r="50" spans="1:36" x14ac:dyDescent="0.2">
      <c r="A50" s="234"/>
      <c r="B50" s="234" t="s">
        <v>60</v>
      </c>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row>
    <row r="51" spans="1:36" x14ac:dyDescent="0.2">
      <c r="A51" s="234"/>
      <c r="B51" s="234" t="s">
        <v>61</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row>
    <row r="52" spans="1:36" x14ac:dyDescent="0.2">
      <c r="A52" s="234"/>
      <c r="B52" s="234" t="s">
        <v>62</v>
      </c>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row>
    <row r="53" spans="1:36" x14ac:dyDescent="0.2">
      <c r="A53" s="234" t="s">
        <v>158</v>
      </c>
      <c r="B53" s="234" t="s">
        <v>159</v>
      </c>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row>
    <row r="54" spans="1:36" x14ac:dyDescent="0.2">
      <c r="A54" s="234" t="s">
        <v>160</v>
      </c>
      <c r="B54" s="234" t="s">
        <v>139</v>
      </c>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row>
    <row r="55" spans="1:36" x14ac:dyDescent="0.2">
      <c r="A55" s="234" t="s">
        <v>161</v>
      </c>
      <c r="B55" s="10" t="s">
        <v>620</v>
      </c>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row>
    <row r="56" spans="1:36" x14ac:dyDescent="0.2">
      <c r="A56" s="234"/>
      <c r="B56" s="234" t="s">
        <v>60</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row>
    <row r="57" spans="1:36" x14ac:dyDescent="0.2">
      <c r="A57" s="234"/>
      <c r="B57" s="234" t="s">
        <v>61</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row>
    <row r="58" spans="1:36" x14ac:dyDescent="0.2">
      <c r="A58" s="234"/>
      <c r="B58" s="234" t="s">
        <v>102</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row>
    <row r="59" spans="1:36" x14ac:dyDescent="0.2">
      <c r="A59" s="234" t="s">
        <v>170</v>
      </c>
      <c r="B59" s="234" t="s">
        <v>171</v>
      </c>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row>
    <row r="60" spans="1:36" x14ac:dyDescent="0.2">
      <c r="A60" s="234" t="s">
        <v>168</v>
      </c>
      <c r="B60" s="234" t="s">
        <v>164</v>
      </c>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row>
    <row r="61" spans="1:36" x14ac:dyDescent="0.2">
      <c r="A61" s="234" t="s">
        <v>169</v>
      </c>
      <c r="B61" s="234" t="s">
        <v>172</v>
      </c>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row>
    <row r="65" spans="1:35" x14ac:dyDescent="0.2">
      <c r="A65" s="274" t="s">
        <v>377</v>
      </c>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row>
    <row r="66" spans="1:35" x14ac:dyDescent="0.2">
      <c r="A66" s="235" t="s">
        <v>640</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57"/>
      <c r="AF66" s="257"/>
      <c r="AG66" s="257"/>
      <c r="AH66" s="257"/>
      <c r="AI66" s="257"/>
    </row>
    <row r="67" spans="1:35" ht="12.75" thickBot="1" x14ac:dyDescent="0.25">
      <c r="A67" s="256" t="s">
        <v>641</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57"/>
      <c r="AF67" s="257"/>
      <c r="AG67" s="257"/>
      <c r="AH67" s="257"/>
      <c r="AI67" s="257"/>
    </row>
    <row r="68" spans="1:35" ht="12.75" thickBot="1" x14ac:dyDescent="0.25">
      <c r="A68" s="1386" t="s">
        <v>42</v>
      </c>
      <c r="B68" s="1381" t="s">
        <v>356</v>
      </c>
      <c r="C68" s="1381"/>
      <c r="D68" s="1381"/>
      <c r="E68" s="1381"/>
      <c r="F68" s="1381"/>
      <c r="G68" s="1381"/>
      <c r="H68" s="1381"/>
      <c r="I68" s="1381"/>
      <c r="J68" s="1381"/>
      <c r="K68" s="1381"/>
      <c r="L68" s="1381"/>
      <c r="M68" s="1381"/>
      <c r="N68" s="1381"/>
      <c r="O68" s="1381"/>
      <c r="P68" s="1381"/>
      <c r="Q68" s="1382" t="s">
        <v>378</v>
      </c>
      <c r="R68" s="1381"/>
      <c r="S68" s="1381"/>
      <c r="T68" s="1381"/>
      <c r="U68" s="1381"/>
      <c r="V68" s="1381"/>
      <c r="W68" s="1381"/>
      <c r="X68" s="1381"/>
      <c r="Y68" s="1381"/>
      <c r="Z68" s="1381"/>
      <c r="AA68" s="1381"/>
      <c r="AB68" s="1381"/>
      <c r="AC68" s="1381"/>
      <c r="AD68" s="1381"/>
      <c r="AE68" s="1383"/>
      <c r="AF68" s="1384" t="s">
        <v>379</v>
      </c>
      <c r="AG68" s="1385"/>
      <c r="AH68" s="1384" t="s">
        <v>380</v>
      </c>
      <c r="AI68" s="1385"/>
    </row>
    <row r="69" spans="1:35" ht="138" x14ac:dyDescent="0.2">
      <c r="A69" s="1387"/>
      <c r="B69" s="365" t="s">
        <v>11</v>
      </c>
      <c r="C69" s="366" t="s">
        <v>130</v>
      </c>
      <c r="D69" s="367" t="s">
        <v>245</v>
      </c>
      <c r="E69" s="367" t="s">
        <v>132</v>
      </c>
      <c r="F69" s="367" t="s">
        <v>154</v>
      </c>
      <c r="G69" s="367" t="s">
        <v>155</v>
      </c>
      <c r="H69" s="367" t="s">
        <v>156</v>
      </c>
      <c r="I69" s="367" t="s">
        <v>157</v>
      </c>
      <c r="J69" s="367" t="s">
        <v>133</v>
      </c>
      <c r="K69" s="367" t="s">
        <v>134</v>
      </c>
      <c r="L69" s="367" t="s">
        <v>135</v>
      </c>
      <c r="M69" s="367" t="s">
        <v>153</v>
      </c>
      <c r="N69" s="368" t="s">
        <v>104</v>
      </c>
      <c r="O69" s="369" t="s">
        <v>138</v>
      </c>
      <c r="P69" s="370" t="s">
        <v>137</v>
      </c>
      <c r="Q69" s="365" t="s">
        <v>11</v>
      </c>
      <c r="R69" s="366" t="s">
        <v>130</v>
      </c>
      <c r="S69" s="367" t="s">
        <v>131</v>
      </c>
      <c r="T69" s="367" t="s">
        <v>132</v>
      </c>
      <c r="U69" s="367" t="s">
        <v>154</v>
      </c>
      <c r="V69" s="367" t="s">
        <v>155</v>
      </c>
      <c r="W69" s="367" t="s">
        <v>156</v>
      </c>
      <c r="X69" s="367" t="s">
        <v>157</v>
      </c>
      <c r="Y69" s="367" t="s">
        <v>133</v>
      </c>
      <c r="Z69" s="367" t="s">
        <v>134</v>
      </c>
      <c r="AA69" s="367" t="s">
        <v>135</v>
      </c>
      <c r="AB69" s="367" t="s">
        <v>153</v>
      </c>
      <c r="AC69" s="368" t="s">
        <v>104</v>
      </c>
      <c r="AD69" s="369" t="s">
        <v>138</v>
      </c>
      <c r="AE69" s="371" t="s">
        <v>425</v>
      </c>
      <c r="AF69" s="372" t="s">
        <v>142</v>
      </c>
      <c r="AG69" s="372" t="s">
        <v>141</v>
      </c>
      <c r="AH69" s="372" t="s">
        <v>11</v>
      </c>
      <c r="AI69" s="371" t="s">
        <v>426</v>
      </c>
    </row>
    <row r="70" spans="1:35" ht="12.75" thickBot="1" x14ac:dyDescent="0.25">
      <c r="A70" s="1387"/>
      <c r="B70" s="373" t="s">
        <v>43</v>
      </c>
      <c r="C70" s="374" t="s">
        <v>44</v>
      </c>
      <c r="D70" s="375" t="s">
        <v>45</v>
      </c>
      <c r="E70" s="375" t="s">
        <v>46</v>
      </c>
      <c r="F70" s="376" t="s">
        <v>47</v>
      </c>
      <c r="G70" s="376" t="s">
        <v>48</v>
      </c>
      <c r="H70" s="376" t="s">
        <v>63</v>
      </c>
      <c r="I70" s="376" t="s">
        <v>103</v>
      </c>
      <c r="J70" s="376" t="s">
        <v>136</v>
      </c>
      <c r="K70" s="376" t="s">
        <v>140</v>
      </c>
      <c r="L70" s="376" t="s">
        <v>162</v>
      </c>
      <c r="M70" s="376" t="s">
        <v>163</v>
      </c>
      <c r="N70" s="377" t="s">
        <v>165</v>
      </c>
      <c r="O70" s="378" t="s">
        <v>166</v>
      </c>
      <c r="P70" s="379" t="s">
        <v>167</v>
      </c>
      <c r="Q70" s="373" t="s">
        <v>43</v>
      </c>
      <c r="R70" s="374" t="s">
        <v>44</v>
      </c>
      <c r="S70" s="375" t="s">
        <v>45</v>
      </c>
      <c r="T70" s="375" t="s">
        <v>46</v>
      </c>
      <c r="U70" s="376" t="s">
        <v>47</v>
      </c>
      <c r="V70" s="376" t="s">
        <v>48</v>
      </c>
      <c r="W70" s="376" t="s">
        <v>63</v>
      </c>
      <c r="X70" s="376" t="s">
        <v>103</v>
      </c>
      <c r="Y70" s="376" t="s">
        <v>136</v>
      </c>
      <c r="Z70" s="376" t="s">
        <v>140</v>
      </c>
      <c r="AA70" s="376" t="s">
        <v>162</v>
      </c>
      <c r="AB70" s="376" t="s">
        <v>163</v>
      </c>
      <c r="AC70" s="377" t="s">
        <v>165</v>
      </c>
      <c r="AD70" s="378" t="s">
        <v>166</v>
      </c>
      <c r="AE70" s="381" t="s">
        <v>167</v>
      </c>
      <c r="AF70" s="380"/>
      <c r="AG70" s="373"/>
      <c r="AH70" s="380"/>
      <c r="AI70" s="373"/>
    </row>
    <row r="71" spans="1:35" x14ac:dyDescent="0.2">
      <c r="A71" s="382"/>
      <c r="B71" s="383"/>
      <c r="C71" s="384"/>
      <c r="D71" s="384"/>
      <c r="E71" s="384"/>
      <c r="F71" s="384"/>
      <c r="G71" s="384"/>
      <c r="H71" s="384"/>
      <c r="I71" s="384"/>
      <c r="J71" s="384"/>
      <c r="K71" s="384"/>
      <c r="L71" s="384"/>
      <c r="M71" s="384"/>
      <c r="N71" s="234"/>
      <c r="O71" s="385"/>
      <c r="P71" s="234"/>
      <c r="Q71" s="386"/>
      <c r="R71" s="387"/>
      <c r="S71" s="384"/>
      <c r="T71" s="384"/>
      <c r="U71" s="384"/>
      <c r="V71" s="384"/>
      <c r="W71" s="384"/>
      <c r="X71" s="384"/>
      <c r="Y71" s="234"/>
      <c r="Z71" s="388"/>
      <c r="AA71" s="384"/>
      <c r="AB71" s="234"/>
      <c r="AC71" s="388"/>
      <c r="AD71" s="384"/>
      <c r="AE71" s="389"/>
      <c r="AF71" s="389"/>
      <c r="AG71" s="383"/>
      <c r="AH71" s="389"/>
      <c r="AI71" s="383"/>
    </row>
    <row r="72" spans="1:35" x14ac:dyDescent="0.2">
      <c r="A72" s="390" t="s">
        <v>49</v>
      </c>
      <c r="B72" s="391">
        <f t="shared" ref="B72:AE72" si="18">SUM(B73+B82+B89+B96)</f>
        <v>212</v>
      </c>
      <c r="C72" s="392">
        <f t="shared" si="18"/>
        <v>23104.653530791948</v>
      </c>
      <c r="D72" s="393">
        <f t="shared" si="18"/>
        <v>23080.263102045908</v>
      </c>
      <c r="E72" s="393">
        <f t="shared" si="18"/>
        <v>0</v>
      </c>
      <c r="F72" s="393">
        <f t="shared" si="18"/>
        <v>0</v>
      </c>
      <c r="G72" s="393">
        <f t="shared" si="18"/>
        <v>0</v>
      </c>
      <c r="H72" s="393">
        <f t="shared" si="18"/>
        <v>0</v>
      </c>
      <c r="I72" s="393">
        <f t="shared" si="18"/>
        <v>0</v>
      </c>
      <c r="J72" s="393">
        <f t="shared" si="18"/>
        <v>0</v>
      </c>
      <c r="K72" s="393">
        <f t="shared" si="18"/>
        <v>46184.916632837863</v>
      </c>
      <c r="L72" s="393">
        <f t="shared" si="18"/>
        <v>17000</v>
      </c>
      <c r="M72" s="393">
        <f t="shared" si="18"/>
        <v>0</v>
      </c>
      <c r="N72" s="393">
        <f t="shared" si="18"/>
        <v>17000</v>
      </c>
      <c r="O72" s="393">
        <f t="shared" si="18"/>
        <v>571218.9995940543</v>
      </c>
      <c r="P72" s="394">
        <f t="shared" si="18"/>
        <v>5822090.5999999996</v>
      </c>
      <c r="Q72" s="395">
        <f t="shared" si="18"/>
        <v>234</v>
      </c>
      <c r="R72" s="396">
        <f t="shared" si="18"/>
        <v>22533.82</v>
      </c>
      <c r="S72" s="397">
        <f t="shared" si="18"/>
        <v>24380.48</v>
      </c>
      <c r="T72" s="397">
        <f t="shared" si="18"/>
        <v>0</v>
      </c>
      <c r="U72" s="397">
        <f t="shared" si="18"/>
        <v>0</v>
      </c>
      <c r="V72" s="397">
        <f t="shared" si="18"/>
        <v>0</v>
      </c>
      <c r="W72" s="397">
        <f t="shared" si="18"/>
        <v>0</v>
      </c>
      <c r="X72" s="397">
        <f t="shared" si="18"/>
        <v>0</v>
      </c>
      <c r="Y72" s="392">
        <f t="shared" si="18"/>
        <v>0</v>
      </c>
      <c r="Z72" s="393">
        <f t="shared" si="18"/>
        <v>46914.3</v>
      </c>
      <c r="AA72" s="396">
        <f t="shared" si="18"/>
        <v>16000</v>
      </c>
      <c r="AB72" s="392">
        <f t="shared" si="18"/>
        <v>0</v>
      </c>
      <c r="AC72" s="393">
        <f t="shared" si="18"/>
        <v>16000</v>
      </c>
      <c r="AD72" s="393">
        <f t="shared" si="18"/>
        <v>622971.60000000009</v>
      </c>
      <c r="AE72" s="393">
        <f t="shared" si="18"/>
        <v>6858587.0399999991</v>
      </c>
      <c r="AF72" s="392">
        <f>(O72-AD72)</f>
        <v>-51752.600405945792</v>
      </c>
      <c r="AG72" s="393">
        <f>(P72-AE72)</f>
        <v>-1036496.4399999995</v>
      </c>
      <c r="AH72" s="398">
        <f>SUM(AH73+AH82+AH89+AH96)</f>
        <v>235</v>
      </c>
      <c r="AI72" s="398">
        <f>SUM(AI73+AI82+AI89+AI96)</f>
        <v>6910329.6399999997</v>
      </c>
    </row>
    <row r="73" spans="1:35" x14ac:dyDescent="0.2">
      <c r="A73" s="399" t="s">
        <v>7</v>
      </c>
      <c r="B73" s="400">
        <f t="shared" ref="B73:AE73" si="19">SUM(B74:B81)</f>
        <v>11</v>
      </c>
      <c r="C73" s="401">
        <f t="shared" si="19"/>
        <v>9675.4599999999991</v>
      </c>
      <c r="D73" s="402">
        <f t="shared" si="19"/>
        <v>7577.77</v>
      </c>
      <c r="E73" s="402">
        <f t="shared" si="19"/>
        <v>0</v>
      </c>
      <c r="F73" s="402">
        <f t="shared" si="19"/>
        <v>0</v>
      </c>
      <c r="G73" s="402">
        <f t="shared" si="19"/>
        <v>0</v>
      </c>
      <c r="H73" s="402">
        <f t="shared" si="19"/>
        <v>0</v>
      </c>
      <c r="I73" s="402">
        <f t="shared" si="19"/>
        <v>0</v>
      </c>
      <c r="J73" s="402">
        <f t="shared" si="19"/>
        <v>0</v>
      </c>
      <c r="K73" s="402">
        <f t="shared" si="19"/>
        <v>17253.230000000003</v>
      </c>
      <c r="L73" s="402">
        <f t="shared" si="19"/>
        <v>4000</v>
      </c>
      <c r="M73" s="402">
        <f t="shared" si="19"/>
        <v>0</v>
      </c>
      <c r="N73" s="402">
        <f t="shared" si="19"/>
        <v>4000</v>
      </c>
      <c r="O73" s="402">
        <f t="shared" si="19"/>
        <v>211038.76</v>
      </c>
      <c r="P73" s="403">
        <f t="shared" si="19"/>
        <v>560359.04</v>
      </c>
      <c r="Q73" s="404">
        <f t="shared" si="19"/>
        <v>12</v>
      </c>
      <c r="R73" s="405">
        <f t="shared" si="19"/>
        <v>9697.5400000000009</v>
      </c>
      <c r="S73" s="402">
        <f t="shared" si="19"/>
        <v>7577.77</v>
      </c>
      <c r="T73" s="402">
        <f t="shared" si="19"/>
        <v>0</v>
      </c>
      <c r="U73" s="402">
        <f t="shared" si="19"/>
        <v>0</v>
      </c>
      <c r="V73" s="402">
        <f t="shared" si="19"/>
        <v>0</v>
      </c>
      <c r="W73" s="402">
        <f t="shared" si="19"/>
        <v>0</v>
      </c>
      <c r="X73" s="402">
        <f t="shared" si="19"/>
        <v>0</v>
      </c>
      <c r="Y73" s="406">
        <f t="shared" si="19"/>
        <v>0</v>
      </c>
      <c r="Z73" s="407">
        <f t="shared" si="19"/>
        <v>17275.310000000001</v>
      </c>
      <c r="AA73" s="401">
        <f t="shared" si="19"/>
        <v>4000</v>
      </c>
      <c r="AB73" s="403">
        <f t="shared" si="19"/>
        <v>0</v>
      </c>
      <c r="AC73" s="407">
        <f t="shared" si="19"/>
        <v>4000</v>
      </c>
      <c r="AD73" s="407">
        <f t="shared" si="19"/>
        <v>211303.72000000003</v>
      </c>
      <c r="AE73" s="407">
        <f t="shared" si="19"/>
        <v>615072.96</v>
      </c>
      <c r="AF73" s="408">
        <f>(O73-AD73)</f>
        <v>-264.96000000002095</v>
      </c>
      <c r="AG73" s="407">
        <f>(P73-AE73)</f>
        <v>-54713.919999999925</v>
      </c>
      <c r="AH73" s="409">
        <f>SUM(AH74:AH81)</f>
        <v>13</v>
      </c>
      <c r="AI73" s="407">
        <f>SUM(AI74:AI81)</f>
        <v>666815.56000000006</v>
      </c>
    </row>
    <row r="74" spans="1:35" x14ac:dyDescent="0.2">
      <c r="A74" s="410" t="s">
        <v>3</v>
      </c>
      <c r="B74" s="411"/>
      <c r="C74" s="412"/>
      <c r="D74" s="412"/>
      <c r="E74" s="412"/>
      <c r="F74" s="412"/>
      <c r="G74" s="412"/>
      <c r="H74" s="412"/>
      <c r="I74" s="412"/>
      <c r="J74" s="412"/>
      <c r="K74" s="412"/>
      <c r="L74" s="412"/>
      <c r="M74" s="412"/>
      <c r="N74" s="413"/>
      <c r="O74" s="412"/>
      <c r="P74" s="301"/>
      <c r="Q74" s="414"/>
      <c r="R74" s="412"/>
      <c r="S74" s="412"/>
      <c r="T74" s="412"/>
      <c r="U74" s="412"/>
      <c r="V74" s="412"/>
      <c r="W74" s="412"/>
      <c r="X74" s="412"/>
      <c r="Y74" s="301"/>
      <c r="Z74" s="415"/>
      <c r="AA74" s="412"/>
      <c r="AB74" s="416"/>
      <c r="AC74" s="415"/>
      <c r="AD74" s="417"/>
      <c r="AE74" s="417"/>
      <c r="AF74" s="417"/>
      <c r="AG74" s="415"/>
      <c r="AH74" s="418"/>
      <c r="AI74" s="415"/>
    </row>
    <row r="75" spans="1:35" x14ac:dyDescent="0.2">
      <c r="A75" s="410" t="s">
        <v>577</v>
      </c>
      <c r="B75" s="411"/>
      <c r="C75" s="412"/>
      <c r="D75" s="412"/>
      <c r="E75" s="412"/>
      <c r="F75" s="412"/>
      <c r="G75" s="412"/>
      <c r="H75" s="412"/>
      <c r="I75" s="412"/>
      <c r="J75" s="412"/>
      <c r="K75" s="419"/>
      <c r="L75" s="412"/>
      <c r="M75" s="412"/>
      <c r="N75" s="413"/>
      <c r="O75" s="412"/>
      <c r="P75" s="301"/>
      <c r="Q75" s="414"/>
      <c r="R75" s="412"/>
      <c r="S75" s="412"/>
      <c r="T75" s="412"/>
      <c r="U75" s="412"/>
      <c r="V75" s="412"/>
      <c r="W75" s="412"/>
      <c r="X75" s="412"/>
      <c r="Y75" s="301"/>
      <c r="Z75" s="420"/>
      <c r="AA75" s="412"/>
      <c r="AB75" s="416"/>
      <c r="AC75" s="415"/>
      <c r="AD75" s="417"/>
      <c r="AE75" s="417"/>
      <c r="AF75" s="417"/>
      <c r="AG75" s="415"/>
      <c r="AH75" s="418"/>
      <c r="AI75" s="415"/>
    </row>
    <row r="76" spans="1:35" x14ac:dyDescent="0.2">
      <c r="A76" s="410" t="s">
        <v>642</v>
      </c>
      <c r="B76" s="411"/>
      <c r="C76" s="412"/>
      <c r="D76" s="412"/>
      <c r="E76" s="412"/>
      <c r="F76" s="412"/>
      <c r="G76" s="412"/>
      <c r="H76" s="412"/>
      <c r="I76" s="412"/>
      <c r="J76" s="412"/>
      <c r="K76" s="419"/>
      <c r="L76" s="412"/>
      <c r="M76" s="412"/>
      <c r="N76" s="413"/>
      <c r="O76" s="412"/>
      <c r="P76" s="301"/>
      <c r="Q76" s="414"/>
      <c r="R76" s="412"/>
      <c r="S76" s="412"/>
      <c r="T76" s="412"/>
      <c r="U76" s="412"/>
      <c r="V76" s="412"/>
      <c r="W76" s="412"/>
      <c r="X76" s="412"/>
      <c r="Y76" s="301"/>
      <c r="Z76" s="420"/>
      <c r="AA76" s="412"/>
      <c r="AB76" s="416"/>
      <c r="AC76" s="415"/>
      <c r="AD76" s="417"/>
      <c r="AE76" s="417"/>
      <c r="AF76" s="417"/>
      <c r="AG76" s="415"/>
      <c r="AH76" s="418"/>
      <c r="AI76" s="415"/>
    </row>
    <row r="77" spans="1:35" x14ac:dyDescent="0.2">
      <c r="A77" s="410" t="s">
        <v>578</v>
      </c>
      <c r="B77" s="421">
        <v>1</v>
      </c>
      <c r="C77" s="422">
        <v>2499.86</v>
      </c>
      <c r="D77" s="423">
        <v>2338.5</v>
      </c>
      <c r="E77" s="424"/>
      <c r="F77" s="424"/>
      <c r="G77" s="424"/>
      <c r="H77" s="424"/>
      <c r="I77" s="424"/>
      <c r="J77" s="424"/>
      <c r="K77" s="424">
        <f>SUM(C77:J77)</f>
        <v>4838.3600000000006</v>
      </c>
      <c r="L77" s="424">
        <v>1000</v>
      </c>
      <c r="M77" s="424"/>
      <c r="N77" s="422">
        <f>SUM(L77:M77)</f>
        <v>1000</v>
      </c>
      <c r="O77" s="423">
        <f>(K77*12)+N77</f>
        <v>59060.320000000007</v>
      </c>
      <c r="P77" s="422">
        <f>(O77*B77)</f>
        <v>59060.320000000007</v>
      </c>
      <c r="Q77" s="418">
        <v>1</v>
      </c>
      <c r="R77" s="412">
        <v>2499.86</v>
      </c>
      <c r="S77" s="412">
        <v>2338.5</v>
      </c>
      <c r="T77" s="412"/>
      <c r="U77" s="412"/>
      <c r="V77" s="412"/>
      <c r="W77" s="412"/>
      <c r="X77" s="412"/>
      <c r="Y77" s="301"/>
      <c r="Z77" s="420">
        <f>SUM(R77:Y77)</f>
        <v>4838.3600000000006</v>
      </c>
      <c r="AA77" s="412">
        <v>1000</v>
      </c>
      <c r="AB77" s="416"/>
      <c r="AC77" s="415">
        <f>SUM(AA77:AB77)</f>
        <v>1000</v>
      </c>
      <c r="AD77" s="417">
        <f>(Z77*12)+AC77</f>
        <v>59060.320000000007</v>
      </c>
      <c r="AE77" s="417">
        <f>(AD77*Q77)</f>
        <v>59060.320000000007</v>
      </c>
      <c r="AF77" s="417">
        <f t="shared" ref="AF77:AG80" si="20">(O77-AD77)</f>
        <v>0</v>
      </c>
      <c r="AG77" s="415">
        <f t="shared" si="20"/>
        <v>0</v>
      </c>
      <c r="AH77" s="418">
        <v>1</v>
      </c>
      <c r="AI77" s="415">
        <v>59060.56</v>
      </c>
    </row>
    <row r="78" spans="1:35" x14ac:dyDescent="0.2">
      <c r="A78" s="410" t="s">
        <v>579</v>
      </c>
      <c r="B78" s="421">
        <v>2</v>
      </c>
      <c r="C78" s="422">
        <v>2439.23</v>
      </c>
      <c r="D78" s="423">
        <v>1768.19</v>
      </c>
      <c r="E78" s="424"/>
      <c r="F78" s="424"/>
      <c r="G78" s="424"/>
      <c r="H78" s="424"/>
      <c r="I78" s="424"/>
      <c r="J78" s="424"/>
      <c r="K78" s="424">
        <f>SUM(C78:J78)</f>
        <v>4207.42</v>
      </c>
      <c r="L78" s="424">
        <v>1000</v>
      </c>
      <c r="M78" s="424"/>
      <c r="N78" s="422">
        <f>SUM(L78:M78)</f>
        <v>1000</v>
      </c>
      <c r="O78" s="423">
        <f>(K78*12)+N78</f>
        <v>51489.04</v>
      </c>
      <c r="P78" s="422">
        <f>(O78*B78)</f>
        <v>102978.08</v>
      </c>
      <c r="Q78" s="418">
        <v>4</v>
      </c>
      <c r="R78" s="412">
        <v>2460.34</v>
      </c>
      <c r="S78" s="412">
        <v>1768.19</v>
      </c>
      <c r="T78" s="412"/>
      <c r="U78" s="412"/>
      <c r="V78" s="412"/>
      <c r="W78" s="412"/>
      <c r="X78" s="412"/>
      <c r="Y78" s="301"/>
      <c r="Z78" s="420">
        <f>SUM(R78:Y78)</f>
        <v>4228.5300000000007</v>
      </c>
      <c r="AA78" s="412">
        <v>1000</v>
      </c>
      <c r="AB78" s="416"/>
      <c r="AC78" s="415">
        <f>SUM(AA78:AB78)</f>
        <v>1000</v>
      </c>
      <c r="AD78" s="417">
        <f>(Z78*12)+AC78</f>
        <v>51742.360000000008</v>
      </c>
      <c r="AE78" s="417">
        <f>(AD78*Q78)</f>
        <v>206969.44000000003</v>
      </c>
      <c r="AF78" s="417">
        <f t="shared" si="20"/>
        <v>-253.32000000000698</v>
      </c>
      <c r="AG78" s="415">
        <f t="shared" si="20"/>
        <v>-103991.36000000003</v>
      </c>
      <c r="AH78" s="418">
        <v>5</v>
      </c>
      <c r="AI78" s="415">
        <v>258711.80000000005</v>
      </c>
    </row>
    <row r="79" spans="1:35" x14ac:dyDescent="0.2">
      <c r="A79" s="410" t="s">
        <v>580</v>
      </c>
      <c r="B79" s="421">
        <v>2</v>
      </c>
      <c r="C79" s="422">
        <v>2443.9549999999999</v>
      </c>
      <c r="D79" s="423">
        <v>1735.54</v>
      </c>
      <c r="E79" s="424"/>
      <c r="F79" s="424"/>
      <c r="G79" s="424"/>
      <c r="H79" s="424"/>
      <c r="I79" s="424"/>
      <c r="J79" s="424"/>
      <c r="K79" s="424">
        <f>SUM(C79:J79)</f>
        <v>4179.4949999999999</v>
      </c>
      <c r="L79" s="424">
        <v>1000</v>
      </c>
      <c r="M79" s="424"/>
      <c r="N79" s="422">
        <f>SUM(L79:M79)</f>
        <v>1000</v>
      </c>
      <c r="O79" s="423">
        <f>(K79*12)+N79</f>
        <v>51153.94</v>
      </c>
      <c r="P79" s="422">
        <f>(O79*B79)</f>
        <v>102307.88</v>
      </c>
      <c r="Q79" s="418">
        <v>2</v>
      </c>
      <c r="R79" s="412">
        <v>2443.96</v>
      </c>
      <c r="S79" s="412">
        <v>1735.54</v>
      </c>
      <c r="T79" s="412"/>
      <c r="U79" s="412"/>
      <c r="V79" s="412"/>
      <c r="W79" s="412"/>
      <c r="X79" s="412"/>
      <c r="Y79" s="301"/>
      <c r="Z79" s="420">
        <f>SUM(R79:Y79)</f>
        <v>4179.5</v>
      </c>
      <c r="AA79" s="412">
        <v>1000</v>
      </c>
      <c r="AB79" s="416"/>
      <c r="AC79" s="415">
        <f>SUM(AA79:AB79)</f>
        <v>1000</v>
      </c>
      <c r="AD79" s="417">
        <f>(Z79*12)+AC79</f>
        <v>51154</v>
      </c>
      <c r="AE79" s="417">
        <f>(AD79*Q79)</f>
        <v>102308</v>
      </c>
      <c r="AF79" s="417">
        <f t="shared" si="20"/>
        <v>-5.9999999997671694E-2</v>
      </c>
      <c r="AG79" s="415">
        <f t="shared" si="20"/>
        <v>-0.11999999999534339</v>
      </c>
      <c r="AH79" s="418">
        <v>2</v>
      </c>
      <c r="AI79" s="415">
        <v>102308</v>
      </c>
    </row>
    <row r="80" spans="1:35" x14ac:dyDescent="0.2">
      <c r="A80" s="410" t="s">
        <v>581</v>
      </c>
      <c r="B80" s="421">
        <v>6</v>
      </c>
      <c r="C80" s="422">
        <v>2292.415</v>
      </c>
      <c r="D80" s="423">
        <v>1735.54</v>
      </c>
      <c r="E80" s="424"/>
      <c r="F80" s="424"/>
      <c r="G80" s="424"/>
      <c r="H80" s="424"/>
      <c r="I80" s="424"/>
      <c r="J80" s="424"/>
      <c r="K80" s="424">
        <f>SUM(C80:J80)</f>
        <v>4027.9549999999999</v>
      </c>
      <c r="L80" s="424">
        <v>1000</v>
      </c>
      <c r="M80" s="424"/>
      <c r="N80" s="422">
        <f>SUM(L80:M80)</f>
        <v>1000</v>
      </c>
      <c r="O80" s="423">
        <f>(K80*12)+N80</f>
        <v>49335.46</v>
      </c>
      <c r="P80" s="422">
        <f>(O80*B80)</f>
        <v>296012.76</v>
      </c>
      <c r="Q80" s="418">
        <v>5</v>
      </c>
      <c r="R80" s="412">
        <v>2293.38</v>
      </c>
      <c r="S80" s="412">
        <v>1735.54</v>
      </c>
      <c r="T80" s="412"/>
      <c r="U80" s="412"/>
      <c r="V80" s="412"/>
      <c r="W80" s="412"/>
      <c r="X80" s="412"/>
      <c r="Y80" s="301"/>
      <c r="Z80" s="420">
        <f>SUM(R80:Y80)</f>
        <v>4028.92</v>
      </c>
      <c r="AA80" s="412">
        <v>1000</v>
      </c>
      <c r="AB80" s="416"/>
      <c r="AC80" s="415">
        <f>SUM(AA80:AB80)</f>
        <v>1000</v>
      </c>
      <c r="AD80" s="417">
        <f>(Z80*12)+AC80</f>
        <v>49347.040000000001</v>
      </c>
      <c r="AE80" s="417">
        <f>(AD80*Q80)</f>
        <v>246735.2</v>
      </c>
      <c r="AF80" s="417">
        <f t="shared" si="20"/>
        <v>-11.580000000001746</v>
      </c>
      <c r="AG80" s="415">
        <f t="shared" si="20"/>
        <v>49277.56</v>
      </c>
      <c r="AH80" s="418">
        <v>5</v>
      </c>
      <c r="AI80" s="415">
        <v>246735.2</v>
      </c>
    </row>
    <row r="81" spans="1:35" x14ac:dyDescent="0.2">
      <c r="A81" s="425" t="s">
        <v>12</v>
      </c>
      <c r="B81" s="426"/>
      <c r="C81" s="422"/>
      <c r="D81" s="423"/>
      <c r="E81" s="424"/>
      <c r="F81" s="424"/>
      <c r="G81" s="424"/>
      <c r="H81" s="424"/>
      <c r="I81" s="424"/>
      <c r="J81" s="424"/>
      <c r="K81" s="424"/>
      <c r="L81" s="424"/>
      <c r="M81" s="424"/>
      <c r="N81" s="422"/>
      <c r="O81" s="423"/>
      <c r="P81" s="422"/>
      <c r="Q81" s="418"/>
      <c r="R81" s="412"/>
      <c r="S81" s="412"/>
      <c r="T81" s="412"/>
      <c r="U81" s="412"/>
      <c r="V81" s="412"/>
      <c r="W81" s="412"/>
      <c r="X81" s="412"/>
      <c r="Y81" s="301"/>
      <c r="Z81" s="415"/>
      <c r="AA81" s="412"/>
      <c r="AB81" s="416"/>
      <c r="AC81" s="415"/>
      <c r="AD81" s="417"/>
      <c r="AE81" s="417" t="s">
        <v>77</v>
      </c>
      <c r="AF81" s="417"/>
      <c r="AG81" s="415"/>
      <c r="AH81" s="418"/>
      <c r="AI81" s="415" t="s">
        <v>77</v>
      </c>
    </row>
    <row r="82" spans="1:35" x14ac:dyDescent="0.2">
      <c r="A82" s="427" t="s">
        <v>4</v>
      </c>
      <c r="B82" s="428">
        <f>SUM(B83:B88)</f>
        <v>34</v>
      </c>
      <c r="C82" s="429">
        <f>SUM(C83:C88)</f>
        <v>5045.6349170437406</v>
      </c>
      <c r="D82" s="430">
        <f>SUM(D83:D88)</f>
        <v>5129.3194419306183</v>
      </c>
      <c r="E82" s="431"/>
      <c r="F82" s="431"/>
      <c r="G82" s="431"/>
      <c r="H82" s="431"/>
      <c r="I82" s="431"/>
      <c r="J82" s="431"/>
      <c r="K82" s="430">
        <f>SUM(K83:K88)</f>
        <v>10174.954358974359</v>
      </c>
      <c r="L82" s="430">
        <f>SUM(L83:L88)</f>
        <v>4000</v>
      </c>
      <c r="M82" s="431"/>
      <c r="N82" s="430">
        <f t="shared" ref="N82:Y82" si="21">SUM(N83:N88)</f>
        <v>4000</v>
      </c>
      <c r="O82" s="430">
        <f t="shared" si="21"/>
        <v>126099.45230769232</v>
      </c>
      <c r="P82" s="430">
        <f t="shared" si="21"/>
        <v>1211474.08</v>
      </c>
      <c r="Q82" s="432">
        <f t="shared" si="21"/>
        <v>42</v>
      </c>
      <c r="R82" s="433">
        <f t="shared" si="21"/>
        <v>5081.3999999999996</v>
      </c>
      <c r="S82" s="434">
        <f t="shared" si="21"/>
        <v>6942.16</v>
      </c>
      <c r="T82" s="434">
        <f t="shared" si="21"/>
        <v>0</v>
      </c>
      <c r="U82" s="434">
        <f t="shared" si="21"/>
        <v>0</v>
      </c>
      <c r="V82" s="434">
        <f t="shared" si="21"/>
        <v>0</v>
      </c>
      <c r="W82" s="434">
        <f t="shared" si="21"/>
        <v>0</v>
      </c>
      <c r="X82" s="435">
        <f t="shared" si="21"/>
        <v>0</v>
      </c>
      <c r="Y82" s="433">
        <f t="shared" si="21"/>
        <v>0</v>
      </c>
      <c r="Z82" s="434">
        <f>SUM(R82:Y82)</f>
        <v>12023.56</v>
      </c>
      <c r="AA82" s="434">
        <f>SUM(AA83:AA87)</f>
        <v>4000</v>
      </c>
      <c r="AB82" s="434">
        <f>SUM(AB83:AB87)</f>
        <v>0</v>
      </c>
      <c r="AC82" s="434">
        <f>SUM(AC83:AC87)</f>
        <v>4000</v>
      </c>
      <c r="AD82" s="434">
        <f>(AC82+Z82)*12</f>
        <v>192282.72</v>
      </c>
      <c r="AE82" s="434">
        <f>SUM(AE83:AE87)</f>
        <v>1644980.64</v>
      </c>
      <c r="AF82" s="433">
        <f>SUM(AF83:AF87)</f>
        <v>-22183.26769230768</v>
      </c>
      <c r="AG82" s="434">
        <f>SUM(AG83:AG87)</f>
        <v>-433506.55999999982</v>
      </c>
      <c r="AH82" s="436">
        <f>SUM(AH83:AH88)</f>
        <v>42</v>
      </c>
      <c r="AI82" s="434">
        <f>SUM(AI83:AI87)</f>
        <v>1644980.64</v>
      </c>
    </row>
    <row r="83" spans="1:35" x14ac:dyDescent="0.2">
      <c r="A83" s="437" t="s">
        <v>13</v>
      </c>
      <c r="B83" s="421">
        <v>3</v>
      </c>
      <c r="C83" s="422">
        <v>1116.5433333333333</v>
      </c>
      <c r="D83" s="423">
        <v>1083.3333333333333</v>
      </c>
      <c r="E83" s="424"/>
      <c r="F83" s="424"/>
      <c r="G83" s="424"/>
      <c r="H83" s="424"/>
      <c r="I83" s="424"/>
      <c r="J83" s="424"/>
      <c r="K83" s="424">
        <f>SUM(C83:J83)</f>
        <v>2199.8766666666666</v>
      </c>
      <c r="L83" s="424">
        <v>1000</v>
      </c>
      <c r="M83" s="424"/>
      <c r="N83" s="422">
        <f>SUM(L83:M83)</f>
        <v>1000</v>
      </c>
      <c r="O83" s="423">
        <f>(K83*12)+N83</f>
        <v>27398.519999999997</v>
      </c>
      <c r="P83" s="422">
        <f>(O83*B83)</f>
        <v>82195.56</v>
      </c>
      <c r="Q83" s="414">
        <v>3</v>
      </c>
      <c r="R83" s="412">
        <v>1116.54</v>
      </c>
      <c r="S83" s="412">
        <v>1735.54</v>
      </c>
      <c r="T83" s="412"/>
      <c r="U83" s="412"/>
      <c r="V83" s="412"/>
      <c r="W83" s="412"/>
      <c r="X83" s="412"/>
      <c r="Y83" s="301"/>
      <c r="Z83" s="420">
        <f>SUM(R83:Y83)</f>
        <v>2852.08</v>
      </c>
      <c r="AA83" s="412">
        <v>1000</v>
      </c>
      <c r="AB83" s="416"/>
      <c r="AC83" s="415">
        <f>SUM(AA83:AB83)</f>
        <v>1000</v>
      </c>
      <c r="AD83" s="417">
        <f>(Z83*12)+AC83</f>
        <v>35224.959999999999</v>
      </c>
      <c r="AE83" s="417">
        <f>(AD83*Q83)</f>
        <v>105674.88</v>
      </c>
      <c r="AF83" s="417">
        <f>(O83-AD83)</f>
        <v>-7826.4400000000023</v>
      </c>
      <c r="AG83" s="415">
        <f>(P83-AE83)</f>
        <v>-23479.320000000007</v>
      </c>
      <c r="AH83" s="418">
        <v>3</v>
      </c>
      <c r="AI83" s="415">
        <v>105674.88</v>
      </c>
    </row>
    <row r="84" spans="1:35" x14ac:dyDescent="0.2">
      <c r="A84" s="410" t="s">
        <v>582</v>
      </c>
      <c r="B84" s="421"/>
      <c r="C84" s="422"/>
      <c r="D84" s="423" t="s">
        <v>77</v>
      </c>
      <c r="E84" s="424"/>
      <c r="F84" s="424"/>
      <c r="G84" s="424"/>
      <c r="H84" s="424"/>
      <c r="I84" s="424"/>
      <c r="J84" s="424"/>
      <c r="K84" s="424" t="s">
        <v>77</v>
      </c>
      <c r="L84" s="424" t="s">
        <v>77</v>
      </c>
      <c r="M84" s="424"/>
      <c r="N84" s="422" t="s">
        <v>77</v>
      </c>
      <c r="O84" s="423" t="s">
        <v>77</v>
      </c>
      <c r="P84" s="422" t="s">
        <v>77</v>
      </c>
      <c r="Q84" s="414"/>
      <c r="R84" s="412"/>
      <c r="S84" s="412"/>
      <c r="T84" s="412"/>
      <c r="U84" s="412"/>
      <c r="V84" s="412"/>
      <c r="W84" s="412"/>
      <c r="X84" s="412"/>
      <c r="Y84" s="301"/>
      <c r="Z84" s="420"/>
      <c r="AA84" s="412"/>
      <c r="AB84" s="416"/>
      <c r="AC84" s="415" t="s">
        <v>77</v>
      </c>
      <c r="AD84" s="417" t="s">
        <v>77</v>
      </c>
      <c r="AE84" s="417"/>
      <c r="AF84" s="417"/>
      <c r="AG84" s="415"/>
      <c r="AH84" s="418"/>
      <c r="AI84" s="415"/>
    </row>
    <row r="85" spans="1:35" x14ac:dyDescent="0.2">
      <c r="A85" s="438" t="s">
        <v>583</v>
      </c>
      <c r="B85" s="439">
        <v>13</v>
      </c>
      <c r="C85" s="422">
        <v>1378.8492307692309</v>
      </c>
      <c r="D85" s="423">
        <v>1424.4284615384615</v>
      </c>
      <c r="E85" s="424"/>
      <c r="F85" s="424"/>
      <c r="G85" s="424"/>
      <c r="H85" s="424"/>
      <c r="I85" s="424"/>
      <c r="J85" s="424"/>
      <c r="K85" s="424">
        <f>SUM(C85:J85)</f>
        <v>2803.2776923076926</v>
      </c>
      <c r="L85" s="424">
        <v>1000</v>
      </c>
      <c r="M85" s="424"/>
      <c r="N85" s="422">
        <f>SUM(L85:M85)</f>
        <v>1000</v>
      </c>
      <c r="O85" s="423">
        <f>(K85*12)+N85</f>
        <v>34639.332307692312</v>
      </c>
      <c r="P85" s="422">
        <f>(O85*B85)</f>
        <v>450311.32000000007</v>
      </c>
      <c r="Q85" s="414">
        <v>13</v>
      </c>
      <c r="R85" s="412">
        <v>1516.84</v>
      </c>
      <c r="S85" s="412">
        <v>1735.54</v>
      </c>
      <c r="T85" s="412"/>
      <c r="U85" s="412"/>
      <c r="V85" s="412"/>
      <c r="W85" s="412"/>
      <c r="X85" s="412"/>
      <c r="Y85" s="301"/>
      <c r="Z85" s="420">
        <f>SUM(R85:Y85)</f>
        <v>3252.38</v>
      </c>
      <c r="AA85" s="412">
        <v>1000</v>
      </c>
      <c r="AB85" s="416"/>
      <c r="AC85" s="415">
        <f>SUM(AA85:AB85)</f>
        <v>1000</v>
      </c>
      <c r="AD85" s="417">
        <f>(Z85*12)+AC85</f>
        <v>40028.559999999998</v>
      </c>
      <c r="AE85" s="417">
        <f>(AD85*Q85)</f>
        <v>520371.27999999997</v>
      </c>
      <c r="AF85" s="417">
        <f t="shared" ref="AF85:AG87" si="22">(O85-AD85)</f>
        <v>-5389.2276923076861</v>
      </c>
      <c r="AG85" s="415">
        <f t="shared" si="22"/>
        <v>-70059.959999999905</v>
      </c>
      <c r="AH85" s="418">
        <v>13</v>
      </c>
      <c r="AI85" s="415">
        <v>520371.27999999997</v>
      </c>
    </row>
    <row r="86" spans="1:35" x14ac:dyDescent="0.2">
      <c r="A86" s="410" t="s">
        <v>584</v>
      </c>
      <c r="B86" s="421">
        <v>1</v>
      </c>
      <c r="C86" s="422">
        <v>982.5</v>
      </c>
      <c r="D86" s="423">
        <v>1070</v>
      </c>
      <c r="E86" s="424"/>
      <c r="F86" s="424"/>
      <c r="G86" s="424"/>
      <c r="H86" s="424"/>
      <c r="I86" s="424"/>
      <c r="J86" s="424"/>
      <c r="K86" s="424">
        <f>SUM(C86:J86)</f>
        <v>2052.5</v>
      </c>
      <c r="L86" s="424">
        <v>1000</v>
      </c>
      <c r="M86" s="424"/>
      <c r="N86" s="422">
        <f>SUM(L86:M86)</f>
        <v>1000</v>
      </c>
      <c r="O86" s="423">
        <f>(K86*12)+N86</f>
        <v>25630</v>
      </c>
      <c r="P86" s="422">
        <f>(O86*B86)</f>
        <v>25630</v>
      </c>
      <c r="Q86" s="414">
        <v>1</v>
      </c>
      <c r="R86" s="412">
        <v>982.5</v>
      </c>
      <c r="S86" s="412">
        <v>1735.54</v>
      </c>
      <c r="T86" s="412"/>
      <c r="U86" s="412"/>
      <c r="V86" s="412"/>
      <c r="W86" s="412"/>
      <c r="X86" s="412"/>
      <c r="Y86" s="301"/>
      <c r="Z86" s="420">
        <f>SUM(R86:Y86)</f>
        <v>2718.04</v>
      </c>
      <c r="AA86" s="412">
        <v>1000</v>
      </c>
      <c r="AB86" s="416"/>
      <c r="AC86" s="415">
        <f>SUM(AA86:AB86)</f>
        <v>1000</v>
      </c>
      <c r="AD86" s="417">
        <f>(Z86*12)+AC86</f>
        <v>33616.479999999996</v>
      </c>
      <c r="AE86" s="417">
        <f>(AD86*Q86)</f>
        <v>33616.479999999996</v>
      </c>
      <c r="AF86" s="417">
        <f t="shared" si="22"/>
        <v>-7986.4799999999959</v>
      </c>
      <c r="AG86" s="415">
        <f t="shared" si="22"/>
        <v>-7986.4799999999959</v>
      </c>
      <c r="AH86" s="418">
        <v>1</v>
      </c>
      <c r="AI86" s="415">
        <v>33616.479999999996</v>
      </c>
    </row>
    <row r="87" spans="1:35" x14ac:dyDescent="0.2">
      <c r="A87" s="410" t="s">
        <v>14</v>
      </c>
      <c r="B87" s="421">
        <v>17</v>
      </c>
      <c r="C87" s="422">
        <v>1567.7423529411765</v>
      </c>
      <c r="D87" s="423">
        <v>1551.5576470588235</v>
      </c>
      <c r="E87" s="424"/>
      <c r="F87" s="424"/>
      <c r="G87" s="424"/>
      <c r="H87" s="424"/>
      <c r="I87" s="424"/>
      <c r="J87" s="424"/>
      <c r="K87" s="424">
        <f>SUM(C87:J87)</f>
        <v>3119.3</v>
      </c>
      <c r="L87" s="424">
        <v>1000</v>
      </c>
      <c r="M87" s="424"/>
      <c r="N87" s="422">
        <f>SUM(L87:M87)</f>
        <v>1000</v>
      </c>
      <c r="O87" s="423">
        <f>(K87*12)+N87</f>
        <v>38431.600000000006</v>
      </c>
      <c r="P87" s="422">
        <f>(O87*B87)</f>
        <v>653337.20000000007</v>
      </c>
      <c r="Q87" s="414">
        <v>25</v>
      </c>
      <c r="R87" s="412">
        <v>1465.52</v>
      </c>
      <c r="S87" s="412">
        <v>1735.54</v>
      </c>
      <c r="T87" s="412"/>
      <c r="U87" s="412"/>
      <c r="V87" s="412"/>
      <c r="W87" s="412"/>
      <c r="X87" s="412"/>
      <c r="Y87" s="301"/>
      <c r="Z87" s="420">
        <f>SUM(R87:Y87)</f>
        <v>3201.06</v>
      </c>
      <c r="AA87" s="412">
        <v>1000</v>
      </c>
      <c r="AB87" s="416"/>
      <c r="AC87" s="415">
        <f>SUM(AA87:AB87)</f>
        <v>1000</v>
      </c>
      <c r="AD87" s="417">
        <f>(Z87*12)+AC87</f>
        <v>39412.720000000001</v>
      </c>
      <c r="AE87" s="417">
        <f>(AD87*Q87)</f>
        <v>985318</v>
      </c>
      <c r="AF87" s="417">
        <f t="shared" si="22"/>
        <v>-981.11999999999534</v>
      </c>
      <c r="AG87" s="415">
        <f t="shared" si="22"/>
        <v>-331980.79999999993</v>
      </c>
      <c r="AH87" s="418">
        <v>25</v>
      </c>
      <c r="AI87" s="415">
        <v>985318</v>
      </c>
    </row>
    <row r="88" spans="1:35" x14ac:dyDescent="0.2">
      <c r="A88" s="410" t="s">
        <v>585</v>
      </c>
      <c r="B88" s="426"/>
      <c r="C88" s="422"/>
      <c r="D88" s="423"/>
      <c r="E88" s="424"/>
      <c r="F88" s="424"/>
      <c r="G88" s="424"/>
      <c r="H88" s="424"/>
      <c r="I88" s="424"/>
      <c r="J88" s="424"/>
      <c r="K88" s="424"/>
      <c r="L88" s="424"/>
      <c r="M88" s="424"/>
      <c r="N88" s="422"/>
      <c r="O88" s="423"/>
      <c r="P88" s="422"/>
      <c r="Q88" s="414"/>
      <c r="R88" s="412"/>
      <c r="S88" s="412"/>
      <c r="T88" s="412"/>
      <c r="U88" s="412"/>
      <c r="V88" s="412"/>
      <c r="W88" s="412"/>
      <c r="X88" s="412"/>
      <c r="Y88" s="301"/>
      <c r="Z88" s="415"/>
      <c r="AA88" s="412"/>
      <c r="AB88" s="416"/>
      <c r="AC88" s="415"/>
      <c r="AD88" s="417"/>
      <c r="AE88" s="440"/>
      <c r="AF88" s="417"/>
      <c r="AG88" s="415"/>
      <c r="AH88" s="418"/>
      <c r="AI88" s="415"/>
    </row>
    <row r="89" spans="1:35" x14ac:dyDescent="0.2">
      <c r="A89" s="399" t="s">
        <v>5</v>
      </c>
      <c r="B89" s="441">
        <f>SUM(B90:B95)</f>
        <v>69</v>
      </c>
      <c r="C89" s="442">
        <f>SUM(C90:C95)</f>
        <v>5180.485287637699</v>
      </c>
      <c r="D89" s="430">
        <f>SUM(D90:D95)</f>
        <v>6085.2614932680535</v>
      </c>
      <c r="E89" s="443"/>
      <c r="F89" s="443"/>
      <c r="G89" s="443"/>
      <c r="H89" s="443"/>
      <c r="I89" s="443"/>
      <c r="J89" s="444"/>
      <c r="K89" s="429">
        <f>SUM(K90:K95)</f>
        <v>11265.746780905753</v>
      </c>
      <c r="L89" s="430">
        <f>SUM(L90:L95)</f>
        <v>5000</v>
      </c>
      <c r="M89" s="431"/>
      <c r="N89" s="430">
        <f t="shared" ref="N89:Y89" si="23">SUM(N90:N95)</f>
        <v>5000</v>
      </c>
      <c r="O89" s="430">
        <f t="shared" si="23"/>
        <v>140188.96137086902</v>
      </c>
      <c r="P89" s="430">
        <f t="shared" si="23"/>
        <v>1819401.8399999999</v>
      </c>
      <c r="Q89" s="445">
        <f t="shared" si="23"/>
        <v>72</v>
      </c>
      <c r="R89" s="446">
        <f t="shared" si="23"/>
        <v>5310.46</v>
      </c>
      <c r="S89" s="434">
        <f t="shared" si="23"/>
        <v>6395.66</v>
      </c>
      <c r="T89" s="434">
        <f t="shared" si="23"/>
        <v>0</v>
      </c>
      <c r="U89" s="434">
        <f t="shared" si="23"/>
        <v>0</v>
      </c>
      <c r="V89" s="434">
        <f t="shared" si="23"/>
        <v>0</v>
      </c>
      <c r="W89" s="434">
        <f t="shared" si="23"/>
        <v>0</v>
      </c>
      <c r="X89" s="434">
        <f t="shared" si="23"/>
        <v>0</v>
      </c>
      <c r="Y89" s="434">
        <f t="shared" si="23"/>
        <v>0</v>
      </c>
      <c r="Z89" s="447">
        <f>SUM(R89:Y89)</f>
        <v>11706.119999999999</v>
      </c>
      <c r="AA89" s="433">
        <f>SUM(AA90:AA95)</f>
        <v>5000</v>
      </c>
      <c r="AB89" s="448"/>
      <c r="AC89" s="449">
        <f>SUM(AA89:AB89)</f>
        <v>5000</v>
      </c>
      <c r="AD89" s="447">
        <f t="shared" ref="AD89:AI89" si="24">SUM(AD90:AD95)</f>
        <v>145473.44</v>
      </c>
      <c r="AE89" s="447">
        <f t="shared" si="24"/>
        <v>1996321.08</v>
      </c>
      <c r="AF89" s="447">
        <f t="shared" si="24"/>
        <v>-5284.478629130972</v>
      </c>
      <c r="AG89" s="447">
        <f t="shared" si="24"/>
        <v>-176919.24000000005</v>
      </c>
      <c r="AH89" s="418">
        <f t="shared" si="24"/>
        <v>72</v>
      </c>
      <c r="AI89" s="447">
        <f t="shared" si="24"/>
        <v>1996321.08</v>
      </c>
    </row>
    <row r="90" spans="1:35" x14ac:dyDescent="0.2">
      <c r="A90" s="410" t="s">
        <v>15</v>
      </c>
      <c r="B90" s="421">
        <v>19</v>
      </c>
      <c r="C90" s="422">
        <v>1118.9194736842105</v>
      </c>
      <c r="D90" s="423">
        <v>1261.826842105263</v>
      </c>
      <c r="E90" s="424"/>
      <c r="F90" s="424"/>
      <c r="G90" s="424"/>
      <c r="H90" s="424"/>
      <c r="I90" s="424"/>
      <c r="J90" s="424"/>
      <c r="K90" s="424">
        <f>SUM(C90:J90)</f>
        <v>2380.7463157894736</v>
      </c>
      <c r="L90" s="424">
        <v>1000</v>
      </c>
      <c r="M90" s="424"/>
      <c r="N90" s="422">
        <f>SUM(L90:M90)</f>
        <v>1000</v>
      </c>
      <c r="O90" s="423">
        <f>(K90*12)+N90</f>
        <v>29568.955789473683</v>
      </c>
      <c r="P90" s="422">
        <f>(O90*B90)</f>
        <v>561810.15999999992</v>
      </c>
      <c r="Q90" s="414">
        <v>19</v>
      </c>
      <c r="R90" s="412">
        <v>1206.6099999999999</v>
      </c>
      <c r="S90" s="412">
        <v>1301.8499999999999</v>
      </c>
      <c r="T90" s="412"/>
      <c r="U90" s="412"/>
      <c r="V90" s="412"/>
      <c r="W90" s="412"/>
      <c r="X90" s="412"/>
      <c r="Y90" s="301"/>
      <c r="Z90" s="420">
        <f>SUM(R90:Y90)</f>
        <v>2508.46</v>
      </c>
      <c r="AA90" s="412">
        <v>1000</v>
      </c>
      <c r="AB90" s="416"/>
      <c r="AC90" s="415">
        <f>SUM(AA90:AB90)</f>
        <v>1000</v>
      </c>
      <c r="AD90" s="417">
        <f>(Z90*12)+AC90</f>
        <v>31101.52</v>
      </c>
      <c r="AE90" s="417">
        <f>(AD90*Q90)</f>
        <v>590928.88</v>
      </c>
      <c r="AF90" s="417">
        <f t="shared" ref="AF90:AG92" si="25">(O90-AD90)</f>
        <v>-1532.5642105263178</v>
      </c>
      <c r="AG90" s="415">
        <f t="shared" si="25"/>
        <v>-29118.720000000088</v>
      </c>
      <c r="AH90" s="418">
        <v>19</v>
      </c>
      <c r="AI90" s="415">
        <v>590928.88</v>
      </c>
    </row>
    <row r="91" spans="1:35" x14ac:dyDescent="0.2">
      <c r="A91" s="410" t="s">
        <v>586</v>
      </c>
      <c r="B91" s="421">
        <v>1</v>
      </c>
      <c r="C91" s="422">
        <v>1555.6</v>
      </c>
      <c r="D91" s="423">
        <v>1528.19</v>
      </c>
      <c r="E91" s="424"/>
      <c r="F91" s="424"/>
      <c r="G91" s="424"/>
      <c r="H91" s="424"/>
      <c r="I91" s="424"/>
      <c r="J91" s="424"/>
      <c r="K91" s="424">
        <f>SUM(C91:J91)</f>
        <v>3083.79</v>
      </c>
      <c r="L91" s="424">
        <v>1000</v>
      </c>
      <c r="M91" s="424"/>
      <c r="N91" s="422">
        <f>SUM(L91:M91)</f>
        <v>1000</v>
      </c>
      <c r="O91" s="423">
        <f>(K91*12)+N91</f>
        <v>38005.479999999996</v>
      </c>
      <c r="P91" s="422">
        <f>(O91*B91)</f>
        <v>38005.479999999996</v>
      </c>
      <c r="Q91" s="414">
        <v>1</v>
      </c>
      <c r="R91" s="412">
        <v>1555.6</v>
      </c>
      <c r="S91" s="412">
        <v>1528.19</v>
      </c>
      <c r="T91" s="412"/>
      <c r="U91" s="412"/>
      <c r="V91" s="412"/>
      <c r="W91" s="412"/>
      <c r="X91" s="412"/>
      <c r="Y91" s="301"/>
      <c r="Z91" s="420">
        <f>SUM(R91:Y91)</f>
        <v>3083.79</v>
      </c>
      <c r="AA91" s="412">
        <v>1000</v>
      </c>
      <c r="AB91" s="416"/>
      <c r="AC91" s="415">
        <f>SUM(AA91:AB91)</f>
        <v>1000</v>
      </c>
      <c r="AD91" s="417">
        <f>(Z91*12)+AC91</f>
        <v>38005.479999999996</v>
      </c>
      <c r="AE91" s="417">
        <f>(AD91*Q91)</f>
        <v>38005.479999999996</v>
      </c>
      <c r="AF91" s="417">
        <f t="shared" si="25"/>
        <v>0</v>
      </c>
      <c r="AG91" s="415">
        <f t="shared" si="25"/>
        <v>0</v>
      </c>
      <c r="AH91" s="418">
        <v>1</v>
      </c>
      <c r="AI91" s="415">
        <v>38005.479999999996</v>
      </c>
    </row>
    <row r="92" spans="1:35" x14ac:dyDescent="0.2">
      <c r="A92" s="410" t="s">
        <v>587</v>
      </c>
      <c r="B92" s="421">
        <v>3</v>
      </c>
      <c r="C92" s="422">
        <v>852.04666666666662</v>
      </c>
      <c r="D92" s="423">
        <v>1070</v>
      </c>
      <c r="E92" s="424"/>
      <c r="F92" s="424"/>
      <c r="G92" s="424"/>
      <c r="H92" s="424"/>
      <c r="I92" s="424"/>
      <c r="J92" s="424"/>
      <c r="K92" s="424">
        <f>SUM(C92:J92)</f>
        <v>1922.0466666666666</v>
      </c>
      <c r="L92" s="424">
        <v>1000</v>
      </c>
      <c r="M92" s="424"/>
      <c r="N92" s="422">
        <f>SUM(L92:M92)</f>
        <v>1000</v>
      </c>
      <c r="O92" s="423">
        <f>(K92*12)+N92</f>
        <v>24064.559999999998</v>
      </c>
      <c r="P92" s="422">
        <f>(O92*B92)</f>
        <v>72193.679999999993</v>
      </c>
      <c r="Q92" s="414">
        <v>3</v>
      </c>
      <c r="R92" s="412">
        <v>852.36</v>
      </c>
      <c r="S92" s="412">
        <v>1163.33</v>
      </c>
      <c r="T92" s="412"/>
      <c r="U92" s="412"/>
      <c r="V92" s="412"/>
      <c r="W92" s="412"/>
      <c r="X92" s="412"/>
      <c r="Y92" s="301"/>
      <c r="Z92" s="420">
        <f>SUM(R92:Y92)</f>
        <v>2015.69</v>
      </c>
      <c r="AA92" s="412">
        <v>1000</v>
      </c>
      <c r="AB92" s="416"/>
      <c r="AC92" s="415">
        <f>SUM(AA92:AB92)</f>
        <v>1000</v>
      </c>
      <c r="AD92" s="417">
        <f>(Z92*12)+AC92</f>
        <v>25188.28</v>
      </c>
      <c r="AE92" s="417">
        <f>(AD92*Q92)</f>
        <v>75564.84</v>
      </c>
      <c r="AF92" s="417">
        <f t="shared" si="25"/>
        <v>-1123.7200000000012</v>
      </c>
      <c r="AG92" s="415">
        <f t="shared" si="25"/>
        <v>-3371.1600000000035</v>
      </c>
      <c r="AH92" s="418">
        <v>3</v>
      </c>
      <c r="AI92" s="415">
        <v>75564.84</v>
      </c>
    </row>
    <row r="93" spans="1:35" x14ac:dyDescent="0.2">
      <c r="A93" s="410" t="s">
        <v>588</v>
      </c>
      <c r="B93" s="421" t="s">
        <v>77</v>
      </c>
      <c r="C93" s="422" t="s">
        <v>77</v>
      </c>
      <c r="D93" s="423" t="s">
        <v>77</v>
      </c>
      <c r="E93" s="424" t="s">
        <v>77</v>
      </c>
      <c r="F93" s="424" t="s">
        <v>77</v>
      </c>
      <c r="G93" s="424" t="s">
        <v>77</v>
      </c>
      <c r="H93" s="424" t="s">
        <v>77</v>
      </c>
      <c r="I93" s="424" t="s">
        <v>77</v>
      </c>
      <c r="J93" s="424" t="s">
        <v>77</v>
      </c>
      <c r="K93" s="424" t="s">
        <v>77</v>
      </c>
      <c r="L93" s="424" t="s">
        <v>77</v>
      </c>
      <c r="M93" s="424" t="s">
        <v>77</v>
      </c>
      <c r="N93" s="422" t="s">
        <v>77</v>
      </c>
      <c r="O93" s="423" t="s">
        <v>77</v>
      </c>
      <c r="P93" s="422" t="s">
        <v>77</v>
      </c>
      <c r="Q93" s="414"/>
      <c r="R93" s="412"/>
      <c r="S93" s="412"/>
      <c r="T93" s="412"/>
      <c r="U93" s="412"/>
      <c r="V93" s="412"/>
      <c r="W93" s="412"/>
      <c r="X93" s="412"/>
      <c r="Y93" s="301"/>
      <c r="Z93" s="420"/>
      <c r="AA93" s="412"/>
      <c r="AB93" s="416"/>
      <c r="AC93" s="415" t="s">
        <v>77</v>
      </c>
      <c r="AD93" s="417" t="s">
        <v>77</v>
      </c>
      <c r="AE93" s="417" t="s">
        <v>77</v>
      </c>
      <c r="AF93" s="417" t="s">
        <v>77</v>
      </c>
      <c r="AG93" s="415" t="s">
        <v>77</v>
      </c>
      <c r="AH93" s="418"/>
      <c r="AI93" s="415" t="s">
        <v>77</v>
      </c>
    </row>
    <row r="94" spans="1:35" x14ac:dyDescent="0.2">
      <c r="A94" s="410" t="s">
        <v>643</v>
      </c>
      <c r="B94" s="421">
        <v>43</v>
      </c>
      <c r="C94" s="422">
        <v>848.38581395348831</v>
      </c>
      <c r="D94" s="423">
        <v>1155.2446511627907</v>
      </c>
      <c r="E94" s="424"/>
      <c r="F94" s="424"/>
      <c r="G94" s="424"/>
      <c r="H94" s="424"/>
      <c r="I94" s="424"/>
      <c r="J94" s="424"/>
      <c r="K94" s="424">
        <f>SUM(C94:J94)</f>
        <v>2003.6304651162791</v>
      </c>
      <c r="L94" s="424">
        <v>1000</v>
      </c>
      <c r="M94" s="424"/>
      <c r="N94" s="422">
        <f>SUM(L94:M94)</f>
        <v>1000</v>
      </c>
      <c r="O94" s="423">
        <f>(K94*12)+N94</f>
        <v>25043.565581395349</v>
      </c>
      <c r="P94" s="422">
        <f>(O94*B94)</f>
        <v>1076873.32</v>
      </c>
      <c r="Q94" s="414">
        <v>46</v>
      </c>
      <c r="R94" s="412">
        <v>890.36</v>
      </c>
      <c r="S94" s="412">
        <v>1232.29</v>
      </c>
      <c r="T94" s="412"/>
      <c r="U94" s="412"/>
      <c r="V94" s="412"/>
      <c r="W94" s="412"/>
      <c r="X94" s="412"/>
      <c r="Y94" s="301"/>
      <c r="Z94" s="420">
        <f>SUM(R94:Y94)</f>
        <v>2122.65</v>
      </c>
      <c r="AA94" s="412">
        <v>1000</v>
      </c>
      <c r="AB94" s="416"/>
      <c r="AC94" s="415">
        <f>SUM(AA94:AB94)</f>
        <v>1000</v>
      </c>
      <c r="AD94" s="417">
        <f>(Z94*12)+AC94</f>
        <v>26471.800000000003</v>
      </c>
      <c r="AE94" s="417">
        <f>(AD94*Q94)</f>
        <v>1217702.8</v>
      </c>
      <c r="AF94" s="417">
        <f>(O94-AD94)</f>
        <v>-1428.2344186046539</v>
      </c>
      <c r="AG94" s="415">
        <f>(P94-AE94)</f>
        <v>-140829.47999999998</v>
      </c>
      <c r="AH94" s="418">
        <v>46</v>
      </c>
      <c r="AI94" s="415">
        <v>1217702.8</v>
      </c>
    </row>
    <row r="95" spans="1:35" x14ac:dyDescent="0.2">
      <c r="A95" s="410" t="s">
        <v>589</v>
      </c>
      <c r="B95" s="421">
        <v>3</v>
      </c>
      <c r="C95" s="422">
        <v>805.5333333333333</v>
      </c>
      <c r="D95" s="423">
        <v>1070</v>
      </c>
      <c r="E95" s="424"/>
      <c r="F95" s="424"/>
      <c r="G95" s="424"/>
      <c r="H95" s="424"/>
      <c r="I95" s="424"/>
      <c r="J95" s="424"/>
      <c r="K95" s="424">
        <f>SUM(C95:J95)</f>
        <v>1875.5333333333333</v>
      </c>
      <c r="L95" s="424">
        <v>1000</v>
      </c>
      <c r="M95" s="424"/>
      <c r="N95" s="422">
        <f>SUM(L95:M95)</f>
        <v>1000</v>
      </c>
      <c r="O95" s="423">
        <f>(K95*12)+N95</f>
        <v>23506.400000000001</v>
      </c>
      <c r="P95" s="422">
        <f>(O95*B95)</f>
        <v>70519.200000000012</v>
      </c>
      <c r="Q95" s="414">
        <v>3</v>
      </c>
      <c r="R95" s="412">
        <v>805.53</v>
      </c>
      <c r="S95" s="412">
        <v>1170</v>
      </c>
      <c r="T95" s="412"/>
      <c r="U95" s="412"/>
      <c r="V95" s="412"/>
      <c r="W95" s="412"/>
      <c r="X95" s="412"/>
      <c r="Y95" s="301"/>
      <c r="Z95" s="420">
        <f>SUM(R95:Y95)</f>
        <v>1975.53</v>
      </c>
      <c r="AA95" s="412">
        <v>1000</v>
      </c>
      <c r="AB95" s="416"/>
      <c r="AC95" s="415">
        <f>SUM(AA95:AB95)</f>
        <v>1000</v>
      </c>
      <c r="AD95" s="417">
        <f>(Z95*12)+AC95</f>
        <v>24706.36</v>
      </c>
      <c r="AE95" s="417">
        <f>(AD95*Q95)</f>
        <v>74119.08</v>
      </c>
      <c r="AF95" s="417">
        <f>(O95-AD95)</f>
        <v>-1199.9599999999991</v>
      </c>
      <c r="AG95" s="415">
        <f>(P95-AE95)</f>
        <v>-3599.8799999999901</v>
      </c>
      <c r="AH95" s="418">
        <v>3</v>
      </c>
      <c r="AI95" s="415">
        <v>74119.08</v>
      </c>
    </row>
    <row r="96" spans="1:35" x14ac:dyDescent="0.2">
      <c r="A96" s="450" t="s">
        <v>6</v>
      </c>
      <c r="B96" s="441">
        <f>SUM(B97:B102)</f>
        <v>98</v>
      </c>
      <c r="C96" s="442">
        <f>SUM(C97:C102)</f>
        <v>3203.0733261105088</v>
      </c>
      <c r="D96" s="430">
        <f>SUM(D97:D102)</f>
        <v>4287.9121668472371</v>
      </c>
      <c r="E96" s="443"/>
      <c r="F96" s="443"/>
      <c r="G96" s="443"/>
      <c r="H96" s="443"/>
      <c r="I96" s="444"/>
      <c r="J96" s="443"/>
      <c r="K96" s="430">
        <f>SUM(K97:K102)</f>
        <v>7490.9854929577468</v>
      </c>
      <c r="L96" s="430">
        <f>SUM(L97:L102)</f>
        <v>4000</v>
      </c>
      <c r="M96" s="431"/>
      <c r="N96" s="430">
        <f t="shared" ref="N96:Y96" si="26">SUM(N97:N102)</f>
        <v>4000</v>
      </c>
      <c r="O96" s="430">
        <f t="shared" si="26"/>
        <v>93891.825915492955</v>
      </c>
      <c r="P96" s="430">
        <f t="shared" si="26"/>
        <v>2230855.64</v>
      </c>
      <c r="Q96" s="445">
        <f t="shared" si="26"/>
        <v>108</v>
      </c>
      <c r="R96" s="446">
        <f t="shared" si="26"/>
        <v>2444.42</v>
      </c>
      <c r="S96" s="434">
        <f t="shared" si="26"/>
        <v>3464.8900000000003</v>
      </c>
      <c r="T96" s="433">
        <f t="shared" si="26"/>
        <v>0</v>
      </c>
      <c r="U96" s="434">
        <f t="shared" si="26"/>
        <v>0</v>
      </c>
      <c r="V96" s="434">
        <f t="shared" si="26"/>
        <v>0</v>
      </c>
      <c r="W96" s="434">
        <f t="shared" si="26"/>
        <v>0</v>
      </c>
      <c r="X96" s="434">
        <f t="shared" si="26"/>
        <v>0</v>
      </c>
      <c r="Y96" s="435">
        <f t="shared" si="26"/>
        <v>0</v>
      </c>
      <c r="Z96" s="449">
        <f>SUM(R96:Y96)</f>
        <v>5909.31</v>
      </c>
      <c r="AA96" s="433">
        <f>SUM(AA97:AA101)</f>
        <v>3000</v>
      </c>
      <c r="AB96" s="448"/>
      <c r="AC96" s="449">
        <f>SUM(AA96:AB96)</f>
        <v>3000</v>
      </c>
      <c r="AD96" s="447">
        <f>SUM(AD97:AD101)</f>
        <v>73911.719999999987</v>
      </c>
      <c r="AE96" s="447">
        <f>SUM(AE97:AE101)</f>
        <v>2602212.3599999994</v>
      </c>
      <c r="AF96" s="447">
        <f>SUM(AF97:AF101)</f>
        <v>-3458.4540845070333</v>
      </c>
      <c r="AG96" s="447">
        <f>SUM(AG97:AG101)</f>
        <v>-394795.2799999995</v>
      </c>
      <c r="AH96" s="418">
        <f>SUM(AH97:AH102)</f>
        <v>108</v>
      </c>
      <c r="AI96" s="447">
        <f>SUM(AI97:AI101)</f>
        <v>2602212.3599999994</v>
      </c>
    </row>
    <row r="97" spans="1:35" x14ac:dyDescent="0.2">
      <c r="A97" s="410" t="s">
        <v>16</v>
      </c>
      <c r="B97" s="421">
        <v>13</v>
      </c>
      <c r="C97" s="422">
        <v>874.37615384615378</v>
      </c>
      <c r="D97" s="423">
        <v>1086.8223076923077</v>
      </c>
      <c r="E97" s="424"/>
      <c r="F97" s="424"/>
      <c r="G97" s="424"/>
      <c r="H97" s="424"/>
      <c r="I97" s="424"/>
      <c r="J97" s="424"/>
      <c r="K97" s="424">
        <f>SUM(C97:J97)</f>
        <v>1961.1984615384615</v>
      </c>
      <c r="L97" s="424">
        <v>1000</v>
      </c>
      <c r="M97" s="424"/>
      <c r="N97" s="422">
        <f>SUM(L97:M97)</f>
        <v>1000</v>
      </c>
      <c r="O97" s="423">
        <f>(K97*12)+N97</f>
        <v>24534.381538461537</v>
      </c>
      <c r="P97" s="422">
        <f>(O97*B97)</f>
        <v>318946.95999999996</v>
      </c>
      <c r="Q97" s="414">
        <v>12</v>
      </c>
      <c r="R97" s="412">
        <v>879.15</v>
      </c>
      <c r="S97" s="412">
        <v>1161.55</v>
      </c>
      <c r="T97" s="412"/>
      <c r="U97" s="412"/>
      <c r="V97" s="412"/>
      <c r="W97" s="412"/>
      <c r="X97" s="412"/>
      <c r="Y97" s="301"/>
      <c r="Z97" s="420">
        <f>SUM(R97:Y97)</f>
        <v>2040.6999999999998</v>
      </c>
      <c r="AA97" s="412">
        <v>1000</v>
      </c>
      <c r="AB97" s="416"/>
      <c r="AC97" s="415">
        <f>SUM(AA97:AB97)</f>
        <v>1000</v>
      </c>
      <c r="AD97" s="417">
        <f>(Z97*12)+AC97</f>
        <v>25488.399999999998</v>
      </c>
      <c r="AE97" s="417">
        <f>(AD97*Q97)</f>
        <v>305860.8</v>
      </c>
      <c r="AF97" s="417">
        <f>(O97-AD97)</f>
        <v>-954.01846153846054</v>
      </c>
      <c r="AG97" s="415">
        <f>(P97-AE97)</f>
        <v>13086.159999999974</v>
      </c>
      <c r="AH97" s="418">
        <v>12</v>
      </c>
      <c r="AI97" s="415">
        <v>305860.8</v>
      </c>
    </row>
    <row r="98" spans="1:35" x14ac:dyDescent="0.2">
      <c r="A98" s="410" t="s">
        <v>590</v>
      </c>
      <c r="B98" s="421">
        <v>13</v>
      </c>
      <c r="C98" s="422">
        <v>817.60153846153844</v>
      </c>
      <c r="D98" s="423">
        <v>1070</v>
      </c>
      <c r="E98" s="424"/>
      <c r="F98" s="424"/>
      <c r="G98" s="424"/>
      <c r="H98" s="424"/>
      <c r="I98" s="424"/>
      <c r="J98" s="424"/>
      <c r="K98" s="424">
        <f>SUM(C98:J98)</f>
        <v>1887.6015384615384</v>
      </c>
      <c r="L98" s="424">
        <v>1000</v>
      </c>
      <c r="M98" s="424"/>
      <c r="N98" s="422">
        <f>SUM(L98:M98)</f>
        <v>1000</v>
      </c>
      <c r="O98" s="423">
        <f>(K98*12)+N98</f>
        <v>23651.218461538461</v>
      </c>
      <c r="P98" s="422">
        <f>(O98*B98)</f>
        <v>307465.83999999997</v>
      </c>
      <c r="Q98" s="414">
        <v>13</v>
      </c>
      <c r="R98" s="412">
        <v>817.6</v>
      </c>
      <c r="S98" s="412">
        <v>1150</v>
      </c>
      <c r="T98" s="412"/>
      <c r="U98" s="412"/>
      <c r="V98" s="412"/>
      <c r="W98" s="412"/>
      <c r="X98" s="412"/>
      <c r="Y98" s="301"/>
      <c r="Z98" s="420">
        <f>SUM(R98:Y98)</f>
        <v>1967.6</v>
      </c>
      <c r="AA98" s="412">
        <v>1000</v>
      </c>
      <c r="AB98" s="416"/>
      <c r="AC98" s="415">
        <f>SUM(AA98:AB98)</f>
        <v>1000</v>
      </c>
      <c r="AD98" s="417">
        <f>(Z98*12)+AC98</f>
        <v>24611.199999999997</v>
      </c>
      <c r="AE98" s="417">
        <f>(AD98*Q98)</f>
        <v>319945.59999999998</v>
      </c>
      <c r="AF98" s="417">
        <f>(O98-AD98)</f>
        <v>-959.98153846153582</v>
      </c>
      <c r="AG98" s="415">
        <f>(P98-AE98)</f>
        <v>-12479.760000000009</v>
      </c>
      <c r="AH98" s="418">
        <v>13</v>
      </c>
      <c r="AI98" s="415">
        <v>319945.59999999998</v>
      </c>
    </row>
    <row r="99" spans="1:35" x14ac:dyDescent="0.2">
      <c r="A99" s="410" t="s">
        <v>591</v>
      </c>
      <c r="B99" s="411" t="s">
        <v>77</v>
      </c>
      <c r="C99" s="422" t="s">
        <v>77</v>
      </c>
      <c r="D99" s="423" t="s">
        <v>77</v>
      </c>
      <c r="E99" s="424"/>
      <c r="F99" s="424"/>
      <c r="G99" s="424"/>
      <c r="H99" s="424"/>
      <c r="I99" s="424"/>
      <c r="J99" s="424"/>
      <c r="K99" s="424" t="s">
        <v>77</v>
      </c>
      <c r="L99" s="424" t="s">
        <v>77</v>
      </c>
      <c r="M99" s="424"/>
      <c r="N99" s="422" t="s">
        <v>77</v>
      </c>
      <c r="O99" s="423" t="s">
        <v>77</v>
      </c>
      <c r="P99" s="422" t="s">
        <v>77</v>
      </c>
      <c r="Q99" s="414" t="s">
        <v>77</v>
      </c>
      <c r="R99" s="412"/>
      <c r="S99" s="412"/>
      <c r="T99" s="412"/>
      <c r="U99" s="412"/>
      <c r="V99" s="412"/>
      <c r="W99" s="412"/>
      <c r="X99" s="412"/>
      <c r="Y99" s="301"/>
      <c r="Z99" s="420"/>
      <c r="AA99" s="412"/>
      <c r="AB99" s="416"/>
      <c r="AC99" s="415"/>
      <c r="AD99" s="417" t="s">
        <v>77</v>
      </c>
      <c r="AE99" s="417" t="s">
        <v>77</v>
      </c>
      <c r="AF99" s="417"/>
      <c r="AG99" s="415"/>
      <c r="AH99" s="418" t="s">
        <v>77</v>
      </c>
      <c r="AI99" s="415" t="s">
        <v>77</v>
      </c>
    </row>
    <row r="100" spans="1:35" x14ac:dyDescent="0.2">
      <c r="A100" s="410" t="s">
        <v>644</v>
      </c>
      <c r="B100" s="421">
        <v>1</v>
      </c>
      <c r="C100" s="422">
        <v>799.88</v>
      </c>
      <c r="D100" s="423">
        <v>1070</v>
      </c>
      <c r="E100" s="424"/>
      <c r="F100" s="424"/>
      <c r="G100" s="424"/>
      <c r="H100" s="424"/>
      <c r="I100" s="424"/>
      <c r="J100" s="424"/>
      <c r="K100" s="424">
        <f>SUM(C100:J100)</f>
        <v>1869.88</v>
      </c>
      <c r="L100" s="424">
        <v>1000</v>
      </c>
      <c r="M100" s="424"/>
      <c r="N100" s="422">
        <f>SUM(L100:M100)</f>
        <v>1000</v>
      </c>
      <c r="O100" s="423">
        <f>(K100*12)+N100</f>
        <v>23438.560000000001</v>
      </c>
      <c r="P100" s="422">
        <f>(O100*B100)</f>
        <v>23438.560000000001</v>
      </c>
      <c r="Q100" s="414"/>
      <c r="R100" s="412"/>
      <c r="S100" s="412"/>
      <c r="T100" s="412"/>
      <c r="U100" s="412"/>
      <c r="V100" s="412"/>
      <c r="W100" s="412"/>
      <c r="X100" s="412"/>
      <c r="Y100" s="301"/>
      <c r="Z100" s="420"/>
      <c r="AA100" s="412"/>
      <c r="AB100" s="416"/>
      <c r="AC100" s="415"/>
      <c r="AD100" s="417" t="s">
        <v>77</v>
      </c>
      <c r="AE100" s="417" t="s">
        <v>77</v>
      </c>
      <c r="AF100" s="417"/>
      <c r="AG100" s="415"/>
      <c r="AH100" s="418"/>
      <c r="AI100" s="415" t="s">
        <v>77</v>
      </c>
    </row>
    <row r="101" spans="1:35" x14ac:dyDescent="0.2">
      <c r="A101" s="410" t="s">
        <v>645</v>
      </c>
      <c r="B101" s="421">
        <v>71</v>
      </c>
      <c r="C101" s="422">
        <v>711.21563380281691</v>
      </c>
      <c r="D101" s="423">
        <v>1061.0898591549296</v>
      </c>
      <c r="E101" s="424"/>
      <c r="F101" s="424"/>
      <c r="G101" s="424"/>
      <c r="H101" s="424"/>
      <c r="I101" s="424"/>
      <c r="J101" s="424"/>
      <c r="K101" s="424">
        <f>SUM(C101:J101)</f>
        <v>1772.3054929577465</v>
      </c>
      <c r="L101" s="424">
        <v>1000</v>
      </c>
      <c r="M101" s="424"/>
      <c r="N101" s="422">
        <f>SUM(L101:M101)</f>
        <v>1000</v>
      </c>
      <c r="O101" s="423">
        <f>(K101*12)+N101</f>
        <v>22267.665915492958</v>
      </c>
      <c r="P101" s="422">
        <f>(O101*B101)</f>
        <v>1581004.28</v>
      </c>
      <c r="Q101" s="414">
        <v>83</v>
      </c>
      <c r="R101" s="412">
        <v>747.67</v>
      </c>
      <c r="S101" s="412">
        <v>1153.3399999999999</v>
      </c>
      <c r="T101" s="412"/>
      <c r="U101" s="412"/>
      <c r="V101" s="412"/>
      <c r="W101" s="412"/>
      <c r="X101" s="412"/>
      <c r="Y101" s="301"/>
      <c r="Z101" s="420">
        <f>SUM(R101:Y101)</f>
        <v>1901.0099999999998</v>
      </c>
      <c r="AA101" s="412">
        <v>1000</v>
      </c>
      <c r="AB101" s="416"/>
      <c r="AC101" s="415">
        <f>SUM(AA101:AB101)</f>
        <v>1000</v>
      </c>
      <c r="AD101" s="417">
        <f>(Z101*12)+AC101</f>
        <v>23812.119999999995</v>
      </c>
      <c r="AE101" s="417">
        <f>(AD101*Q101)</f>
        <v>1976405.9599999995</v>
      </c>
      <c r="AF101" s="417">
        <f>(O101-AD101)</f>
        <v>-1544.4540845070369</v>
      </c>
      <c r="AG101" s="415">
        <f>(P101-AE101)</f>
        <v>-395401.67999999947</v>
      </c>
      <c r="AH101" s="418">
        <v>83</v>
      </c>
      <c r="AI101" s="415">
        <v>1976405.9599999995</v>
      </c>
    </row>
    <row r="102" spans="1:35" x14ac:dyDescent="0.2">
      <c r="A102" s="410" t="s">
        <v>646</v>
      </c>
      <c r="B102" s="383"/>
      <c r="C102" s="412"/>
      <c r="D102" s="412"/>
      <c r="E102" s="412"/>
      <c r="F102" s="412"/>
      <c r="G102" s="412"/>
      <c r="H102" s="412"/>
      <c r="I102" s="412"/>
      <c r="J102" s="412"/>
      <c r="K102" s="412"/>
      <c r="L102" s="412"/>
      <c r="M102" s="412"/>
      <c r="N102" s="301"/>
      <c r="O102" s="451"/>
      <c r="P102" s="301"/>
      <c r="Q102" s="414"/>
      <c r="R102" s="412"/>
      <c r="S102" s="412"/>
      <c r="T102" s="412"/>
      <c r="U102" s="412"/>
      <c r="V102" s="412"/>
      <c r="W102" s="412"/>
      <c r="X102" s="412"/>
      <c r="Y102" s="301"/>
      <c r="Z102" s="415"/>
      <c r="AA102" s="412"/>
      <c r="AB102" s="416"/>
      <c r="AC102" s="415"/>
      <c r="AD102" s="417"/>
      <c r="AE102" s="417"/>
      <c r="AF102" s="417"/>
      <c r="AG102" s="415"/>
      <c r="AH102" s="418"/>
      <c r="AI102" s="415"/>
    </row>
    <row r="103" spans="1:35" x14ac:dyDescent="0.2">
      <c r="A103" s="452" t="s">
        <v>647</v>
      </c>
      <c r="B103" s="383"/>
      <c r="C103" s="412"/>
      <c r="D103" s="412"/>
      <c r="E103" s="412"/>
      <c r="F103" s="412"/>
      <c r="G103" s="412"/>
      <c r="H103" s="412"/>
      <c r="I103" s="412"/>
      <c r="J103" s="412"/>
      <c r="K103" s="412"/>
      <c r="L103" s="412"/>
      <c r="M103" s="412"/>
      <c r="N103" s="301"/>
      <c r="O103" s="451"/>
      <c r="P103" s="301"/>
      <c r="Q103" s="414"/>
      <c r="R103" s="412"/>
      <c r="S103" s="412"/>
      <c r="T103" s="412"/>
      <c r="U103" s="412"/>
      <c r="V103" s="412"/>
      <c r="W103" s="412"/>
      <c r="X103" s="412"/>
      <c r="Y103" s="301"/>
      <c r="Z103" s="415"/>
      <c r="AA103" s="412"/>
      <c r="AB103" s="301"/>
      <c r="AC103" s="415"/>
      <c r="AD103" s="412"/>
      <c r="AE103" s="417"/>
      <c r="AF103" s="417"/>
      <c r="AG103" s="415"/>
      <c r="AH103" s="418"/>
      <c r="AI103" s="415"/>
    </row>
    <row r="104" spans="1:35" x14ac:dyDescent="0.2">
      <c r="A104" s="390" t="s">
        <v>648</v>
      </c>
      <c r="B104" s="391">
        <f t="shared" ref="B104:AI104" si="27">SUM(B105:B121)</f>
        <v>634</v>
      </c>
      <c r="C104" s="453">
        <f t="shared" si="27"/>
        <v>23739.23</v>
      </c>
      <c r="D104" s="454">
        <f t="shared" si="27"/>
        <v>0</v>
      </c>
      <c r="E104" s="454">
        <f t="shared" si="27"/>
        <v>0</v>
      </c>
      <c r="F104" s="454">
        <f t="shared" si="27"/>
        <v>0</v>
      </c>
      <c r="G104" s="454">
        <f t="shared" si="27"/>
        <v>0</v>
      </c>
      <c r="H104" s="454">
        <f t="shared" si="27"/>
        <v>0</v>
      </c>
      <c r="I104" s="454">
        <f t="shared" si="27"/>
        <v>0</v>
      </c>
      <c r="J104" s="454">
        <f t="shared" si="27"/>
        <v>0</v>
      </c>
      <c r="K104" s="454">
        <f t="shared" si="27"/>
        <v>23739.23</v>
      </c>
      <c r="L104" s="454">
        <f t="shared" si="27"/>
        <v>7000</v>
      </c>
      <c r="M104" s="454">
        <f t="shared" si="27"/>
        <v>0</v>
      </c>
      <c r="N104" s="455">
        <f t="shared" si="27"/>
        <v>7000</v>
      </c>
      <c r="O104" s="456">
        <f t="shared" si="27"/>
        <v>291870.76</v>
      </c>
      <c r="P104" s="457">
        <f t="shared" si="27"/>
        <v>21429385.839999996</v>
      </c>
      <c r="Q104" s="458">
        <f t="shared" si="27"/>
        <v>648</v>
      </c>
      <c r="R104" s="453">
        <f t="shared" si="27"/>
        <v>59771.22</v>
      </c>
      <c r="S104" s="454">
        <f t="shared" si="27"/>
        <v>0</v>
      </c>
      <c r="T104" s="454">
        <f t="shared" si="27"/>
        <v>0</v>
      </c>
      <c r="U104" s="454">
        <f t="shared" si="27"/>
        <v>0</v>
      </c>
      <c r="V104" s="454">
        <f t="shared" si="27"/>
        <v>0</v>
      </c>
      <c r="W104" s="454">
        <f t="shared" si="27"/>
        <v>0</v>
      </c>
      <c r="X104" s="454">
        <f t="shared" si="27"/>
        <v>0</v>
      </c>
      <c r="Y104" s="455">
        <f t="shared" si="27"/>
        <v>0</v>
      </c>
      <c r="Z104" s="459">
        <f t="shared" si="27"/>
        <v>59771.22</v>
      </c>
      <c r="AA104" s="459">
        <f t="shared" si="27"/>
        <v>17000</v>
      </c>
      <c r="AB104" s="459">
        <f t="shared" si="27"/>
        <v>0</v>
      </c>
      <c r="AC104" s="459">
        <f t="shared" si="27"/>
        <v>17000</v>
      </c>
      <c r="AD104" s="459">
        <f t="shared" si="27"/>
        <v>734254.64</v>
      </c>
      <c r="AE104" s="459">
        <f t="shared" si="27"/>
        <v>22180947.240000002</v>
      </c>
      <c r="AF104" s="459">
        <f t="shared" si="27"/>
        <v>-442383.87999999989</v>
      </c>
      <c r="AG104" s="459">
        <f t="shared" si="27"/>
        <v>-751561.400000002</v>
      </c>
      <c r="AH104" s="460">
        <f t="shared" si="27"/>
        <v>648</v>
      </c>
      <c r="AI104" s="459">
        <f t="shared" si="27"/>
        <v>22180947.240000002</v>
      </c>
    </row>
    <row r="105" spans="1:35" x14ac:dyDescent="0.2">
      <c r="A105" s="462" t="s">
        <v>649</v>
      </c>
      <c r="B105" s="383">
        <v>15</v>
      </c>
      <c r="C105" s="412">
        <v>4188.4399999999996</v>
      </c>
      <c r="D105" s="412"/>
      <c r="E105" s="412"/>
      <c r="F105" s="412"/>
      <c r="G105" s="412"/>
      <c r="H105" s="412"/>
      <c r="I105" s="412"/>
      <c r="J105" s="412"/>
      <c r="K105" s="424">
        <f>SUM(C105:J105)</f>
        <v>4188.4399999999996</v>
      </c>
      <c r="L105" s="412">
        <v>1000</v>
      </c>
      <c r="M105" s="412"/>
      <c r="N105" s="422">
        <f>SUM(L105:M105)</f>
        <v>1000</v>
      </c>
      <c r="O105" s="423">
        <f>(K105*12)+N105</f>
        <v>51261.279999999999</v>
      </c>
      <c r="P105" s="422">
        <f>(O105*B105)</f>
        <v>768919.2</v>
      </c>
      <c r="Q105" s="414">
        <v>14</v>
      </c>
      <c r="R105" s="412">
        <v>4215.72</v>
      </c>
      <c r="S105" s="412"/>
      <c r="T105" s="412"/>
      <c r="U105" s="412"/>
      <c r="V105" s="412"/>
      <c r="W105" s="412"/>
      <c r="X105" s="412"/>
      <c r="Y105" s="301"/>
      <c r="Z105" s="420">
        <f t="shared" ref="Z105:Z121" si="28">SUM(R105:Y105)</f>
        <v>4215.72</v>
      </c>
      <c r="AA105" s="412">
        <v>1000</v>
      </c>
      <c r="AB105" s="301"/>
      <c r="AC105" s="415">
        <f t="shared" ref="AC105:AC121" si="29">SUM(AA105:AB105)</f>
        <v>1000</v>
      </c>
      <c r="AD105" s="417">
        <f t="shared" ref="AD105:AD121" si="30">(Z105*12)+AC105</f>
        <v>51588.639999999999</v>
      </c>
      <c r="AE105" s="417">
        <f t="shared" ref="AE105:AE121" si="31">(AD105*Q105)</f>
        <v>722240.96</v>
      </c>
      <c r="AF105" s="417">
        <f t="shared" ref="AF105:AF121" si="32">(O105-AD105)</f>
        <v>-327.36000000000058</v>
      </c>
      <c r="AG105" s="415">
        <f t="shared" ref="AG105:AG121" si="33">(P105-AE105)</f>
        <v>46678.239999999991</v>
      </c>
      <c r="AH105" s="418">
        <v>14</v>
      </c>
      <c r="AI105" s="415">
        <v>722240.96</v>
      </c>
    </row>
    <row r="106" spans="1:35" x14ac:dyDescent="0.2">
      <c r="A106" s="462" t="s">
        <v>650</v>
      </c>
      <c r="B106" s="383">
        <v>4</v>
      </c>
      <c r="C106" s="412">
        <v>6186.46</v>
      </c>
      <c r="D106" s="413"/>
      <c r="E106" s="463"/>
      <c r="F106" s="464"/>
      <c r="G106" s="464"/>
      <c r="H106" s="423"/>
      <c r="I106" s="412"/>
      <c r="J106" s="412"/>
      <c r="K106" s="424">
        <f>SUM(C106:J106)</f>
        <v>6186.46</v>
      </c>
      <c r="L106" s="412">
        <v>1000</v>
      </c>
      <c r="M106" s="412"/>
      <c r="N106" s="422">
        <f>SUM(L106:M106)</f>
        <v>1000</v>
      </c>
      <c r="O106" s="423">
        <f>(K106*12)+N106</f>
        <v>75237.52</v>
      </c>
      <c r="P106" s="422">
        <f>(O106*B106)</f>
        <v>300950.08</v>
      </c>
      <c r="Q106" s="414">
        <v>3</v>
      </c>
      <c r="R106" s="412">
        <v>7400.7</v>
      </c>
      <c r="S106" s="412"/>
      <c r="T106" s="412"/>
      <c r="U106" s="412"/>
      <c r="V106" s="412"/>
      <c r="W106" s="412"/>
      <c r="X106" s="412"/>
      <c r="Y106" s="301"/>
      <c r="Z106" s="420">
        <f t="shared" si="28"/>
        <v>7400.7</v>
      </c>
      <c r="AA106" s="412">
        <v>1000</v>
      </c>
      <c r="AB106" s="301"/>
      <c r="AC106" s="415">
        <f t="shared" si="29"/>
        <v>1000</v>
      </c>
      <c r="AD106" s="417">
        <f t="shared" si="30"/>
        <v>89808.4</v>
      </c>
      <c r="AE106" s="417">
        <f t="shared" si="31"/>
        <v>269425.19999999995</v>
      </c>
      <c r="AF106" s="417">
        <f t="shared" si="32"/>
        <v>-14570.87999999999</v>
      </c>
      <c r="AG106" s="415">
        <f t="shared" si="33"/>
        <v>31524.880000000063</v>
      </c>
      <c r="AH106" s="418">
        <v>3</v>
      </c>
      <c r="AI106" s="415">
        <v>269425.19999999995</v>
      </c>
    </row>
    <row r="107" spans="1:35" x14ac:dyDescent="0.2">
      <c r="A107" s="462" t="s">
        <v>651</v>
      </c>
      <c r="B107" s="383"/>
      <c r="C107" s="412"/>
      <c r="D107" s="413"/>
      <c r="E107" s="463"/>
      <c r="F107" s="464"/>
      <c r="G107" s="464"/>
      <c r="H107" s="423"/>
      <c r="I107" s="412"/>
      <c r="J107" s="412"/>
      <c r="K107" s="412"/>
      <c r="L107" s="412"/>
      <c r="M107" s="412"/>
      <c r="N107" s="413"/>
      <c r="O107" s="412"/>
      <c r="P107" s="301"/>
      <c r="Q107" s="414">
        <v>1</v>
      </c>
      <c r="R107" s="412">
        <v>4200.53</v>
      </c>
      <c r="S107" s="412"/>
      <c r="T107" s="412"/>
      <c r="U107" s="412"/>
      <c r="V107" s="412"/>
      <c r="W107" s="412"/>
      <c r="X107" s="412"/>
      <c r="Y107" s="301"/>
      <c r="Z107" s="420">
        <f t="shared" si="28"/>
        <v>4200.53</v>
      </c>
      <c r="AA107" s="412">
        <v>1000</v>
      </c>
      <c r="AB107" s="301"/>
      <c r="AC107" s="415">
        <f t="shared" si="29"/>
        <v>1000</v>
      </c>
      <c r="AD107" s="417">
        <f t="shared" si="30"/>
        <v>51406.36</v>
      </c>
      <c r="AE107" s="417">
        <f t="shared" si="31"/>
        <v>51406.36</v>
      </c>
      <c r="AF107" s="417">
        <f t="shared" si="32"/>
        <v>-51406.36</v>
      </c>
      <c r="AG107" s="415">
        <f t="shared" si="33"/>
        <v>-51406.36</v>
      </c>
      <c r="AH107" s="418">
        <v>1</v>
      </c>
      <c r="AI107" s="415">
        <v>51406.36</v>
      </c>
    </row>
    <row r="108" spans="1:35" x14ac:dyDescent="0.2">
      <c r="A108" s="462" t="s">
        <v>652</v>
      </c>
      <c r="B108" s="383"/>
      <c r="C108" s="412"/>
      <c r="D108" s="413"/>
      <c r="E108" s="463"/>
      <c r="F108" s="464"/>
      <c r="G108" s="464"/>
      <c r="H108" s="423"/>
      <c r="I108" s="412"/>
      <c r="J108" s="412"/>
      <c r="K108" s="412"/>
      <c r="L108" s="412"/>
      <c r="M108" s="412"/>
      <c r="N108" s="413"/>
      <c r="O108" s="412"/>
      <c r="P108" s="301"/>
      <c r="Q108" s="414">
        <v>33</v>
      </c>
      <c r="R108" s="412">
        <v>3182.6</v>
      </c>
      <c r="S108" s="412"/>
      <c r="T108" s="412"/>
      <c r="U108" s="412"/>
      <c r="V108" s="412"/>
      <c r="W108" s="412"/>
      <c r="X108" s="412"/>
      <c r="Y108" s="301"/>
      <c r="Z108" s="420">
        <f t="shared" si="28"/>
        <v>3182.6</v>
      </c>
      <c r="AA108" s="412">
        <v>1000</v>
      </c>
      <c r="AB108" s="301"/>
      <c r="AC108" s="415">
        <f t="shared" si="29"/>
        <v>1000</v>
      </c>
      <c r="AD108" s="417">
        <f t="shared" si="30"/>
        <v>39191.199999999997</v>
      </c>
      <c r="AE108" s="417">
        <f t="shared" si="31"/>
        <v>1293309.5999999999</v>
      </c>
      <c r="AF108" s="417">
        <f t="shared" si="32"/>
        <v>-39191.199999999997</v>
      </c>
      <c r="AG108" s="415">
        <f t="shared" si="33"/>
        <v>-1293309.5999999999</v>
      </c>
      <c r="AH108" s="418">
        <v>33</v>
      </c>
      <c r="AI108" s="415">
        <v>1293309.5999999999</v>
      </c>
    </row>
    <row r="109" spans="1:35" x14ac:dyDescent="0.2">
      <c r="A109" s="461">
        <v>240</v>
      </c>
      <c r="B109" s="383"/>
      <c r="C109" s="412"/>
      <c r="D109" s="413"/>
      <c r="E109" s="463"/>
      <c r="F109" s="464"/>
      <c r="G109" s="464"/>
      <c r="H109" s="423"/>
      <c r="I109" s="412"/>
      <c r="J109" s="412"/>
      <c r="K109" s="412"/>
      <c r="L109" s="412"/>
      <c r="M109" s="412"/>
      <c r="N109" s="413"/>
      <c r="O109" s="412"/>
      <c r="P109" s="301"/>
      <c r="Q109" s="414">
        <v>4</v>
      </c>
      <c r="R109" s="412">
        <v>7190.73</v>
      </c>
      <c r="S109" s="412"/>
      <c r="T109" s="412"/>
      <c r="U109" s="412"/>
      <c r="V109" s="412"/>
      <c r="W109" s="412"/>
      <c r="X109" s="412"/>
      <c r="Y109" s="301"/>
      <c r="Z109" s="420">
        <f t="shared" si="28"/>
        <v>7190.73</v>
      </c>
      <c r="AA109" s="412">
        <v>1000</v>
      </c>
      <c r="AB109" s="301"/>
      <c r="AC109" s="415">
        <f t="shared" si="29"/>
        <v>1000</v>
      </c>
      <c r="AD109" s="417">
        <f t="shared" si="30"/>
        <v>87288.76</v>
      </c>
      <c r="AE109" s="417">
        <f t="shared" si="31"/>
        <v>349155.04</v>
      </c>
      <c r="AF109" s="417">
        <f t="shared" si="32"/>
        <v>-87288.76</v>
      </c>
      <c r="AG109" s="415">
        <f t="shared" si="33"/>
        <v>-349155.04</v>
      </c>
      <c r="AH109" s="418">
        <v>4</v>
      </c>
      <c r="AI109" s="415">
        <v>349155.04</v>
      </c>
    </row>
    <row r="110" spans="1:35" x14ac:dyDescent="0.2">
      <c r="A110" s="462" t="s">
        <v>653</v>
      </c>
      <c r="B110" s="383"/>
      <c r="C110" s="412"/>
      <c r="D110" s="413"/>
      <c r="E110" s="463"/>
      <c r="F110" s="464"/>
      <c r="G110" s="464"/>
      <c r="H110" s="423"/>
      <c r="I110" s="412"/>
      <c r="J110" s="412"/>
      <c r="K110" s="412"/>
      <c r="L110" s="412"/>
      <c r="M110" s="412"/>
      <c r="N110" s="413"/>
      <c r="O110" s="412"/>
      <c r="P110" s="301"/>
      <c r="Q110" s="414">
        <v>1</v>
      </c>
      <c r="R110" s="412">
        <v>5660.52</v>
      </c>
      <c r="S110" s="412"/>
      <c r="T110" s="412"/>
      <c r="U110" s="412"/>
      <c r="V110" s="412"/>
      <c r="W110" s="412"/>
      <c r="X110" s="412"/>
      <c r="Y110" s="301"/>
      <c r="Z110" s="420">
        <f t="shared" si="28"/>
        <v>5660.52</v>
      </c>
      <c r="AA110" s="412">
        <v>1000</v>
      </c>
      <c r="AB110" s="301"/>
      <c r="AC110" s="415">
        <f t="shared" si="29"/>
        <v>1000</v>
      </c>
      <c r="AD110" s="417">
        <f t="shared" si="30"/>
        <v>68926.240000000005</v>
      </c>
      <c r="AE110" s="417">
        <f t="shared" si="31"/>
        <v>68926.240000000005</v>
      </c>
      <c r="AF110" s="417">
        <f t="shared" si="32"/>
        <v>-68926.240000000005</v>
      </c>
      <c r="AG110" s="415">
        <f t="shared" si="33"/>
        <v>-68926.240000000005</v>
      </c>
      <c r="AH110" s="418">
        <v>1</v>
      </c>
      <c r="AI110" s="415">
        <v>68926.240000000005</v>
      </c>
    </row>
    <row r="111" spans="1:35" x14ac:dyDescent="0.2">
      <c r="A111" s="461" t="s">
        <v>654</v>
      </c>
      <c r="B111" s="383">
        <v>96</v>
      </c>
      <c r="C111" s="412">
        <v>3563.97</v>
      </c>
      <c r="D111" s="413"/>
      <c r="E111" s="463"/>
      <c r="F111" s="464"/>
      <c r="G111" s="464"/>
      <c r="H111" s="423"/>
      <c r="I111" s="412"/>
      <c r="J111" s="412"/>
      <c r="K111" s="424">
        <f>SUM(C111:J111)</f>
        <v>3563.97</v>
      </c>
      <c r="L111" s="412">
        <v>1000</v>
      </c>
      <c r="M111" s="412"/>
      <c r="N111" s="422">
        <f>SUM(L111:M111)</f>
        <v>1000</v>
      </c>
      <c r="O111" s="423">
        <f>(K111*12)+N111</f>
        <v>43767.64</v>
      </c>
      <c r="P111" s="422">
        <f>(O111*B111)</f>
        <v>4201693.4399999995</v>
      </c>
      <c r="Q111" s="414">
        <v>56</v>
      </c>
      <c r="R111" s="412">
        <v>3980.56</v>
      </c>
      <c r="S111" s="412"/>
      <c r="T111" s="412"/>
      <c r="U111" s="412"/>
      <c r="V111" s="412"/>
      <c r="W111" s="412"/>
      <c r="X111" s="412"/>
      <c r="Y111" s="301"/>
      <c r="Z111" s="420">
        <f t="shared" si="28"/>
        <v>3980.56</v>
      </c>
      <c r="AA111" s="412">
        <v>1000</v>
      </c>
      <c r="AB111" s="301"/>
      <c r="AC111" s="415">
        <f t="shared" si="29"/>
        <v>1000</v>
      </c>
      <c r="AD111" s="417">
        <f t="shared" si="30"/>
        <v>48766.720000000001</v>
      </c>
      <c r="AE111" s="417">
        <f t="shared" si="31"/>
        <v>2730936.3200000003</v>
      </c>
      <c r="AF111" s="417">
        <f t="shared" si="32"/>
        <v>-4999.0800000000017</v>
      </c>
      <c r="AG111" s="415">
        <f t="shared" si="33"/>
        <v>1470757.1199999992</v>
      </c>
      <c r="AH111" s="418">
        <v>56</v>
      </c>
      <c r="AI111" s="415">
        <v>2730936.3200000003</v>
      </c>
    </row>
    <row r="112" spans="1:35" x14ac:dyDescent="0.2">
      <c r="A112" s="465" t="s">
        <v>655</v>
      </c>
      <c r="B112" s="383"/>
      <c r="C112" s="412"/>
      <c r="D112" s="413"/>
      <c r="E112" s="463"/>
      <c r="F112" s="464"/>
      <c r="G112" s="464"/>
      <c r="H112" s="423"/>
      <c r="I112" s="412"/>
      <c r="J112" s="412"/>
      <c r="K112" s="412"/>
      <c r="L112" s="412"/>
      <c r="M112" s="412"/>
      <c r="N112" s="413"/>
      <c r="O112" s="412"/>
      <c r="P112" s="301"/>
      <c r="Q112" s="414">
        <v>1</v>
      </c>
      <c r="R112" s="412">
        <v>2985.42</v>
      </c>
      <c r="S112" s="412"/>
      <c r="T112" s="412"/>
      <c r="U112" s="412"/>
      <c r="V112" s="412"/>
      <c r="W112" s="412"/>
      <c r="X112" s="412"/>
      <c r="Y112" s="301"/>
      <c r="Z112" s="420">
        <f t="shared" si="28"/>
        <v>2985.42</v>
      </c>
      <c r="AA112" s="412">
        <v>1000</v>
      </c>
      <c r="AB112" s="301"/>
      <c r="AC112" s="415">
        <f t="shared" si="29"/>
        <v>1000</v>
      </c>
      <c r="AD112" s="417">
        <f t="shared" si="30"/>
        <v>36825.040000000001</v>
      </c>
      <c r="AE112" s="417">
        <f t="shared" si="31"/>
        <v>36825.040000000001</v>
      </c>
      <c r="AF112" s="417">
        <f t="shared" si="32"/>
        <v>-36825.040000000001</v>
      </c>
      <c r="AG112" s="415">
        <f t="shared" si="33"/>
        <v>-36825.040000000001</v>
      </c>
      <c r="AH112" s="418">
        <v>1</v>
      </c>
      <c r="AI112" s="415">
        <v>36825.040000000001</v>
      </c>
    </row>
    <row r="113" spans="1:35" x14ac:dyDescent="0.2">
      <c r="A113" s="465" t="s">
        <v>656</v>
      </c>
      <c r="B113" s="383">
        <v>88</v>
      </c>
      <c r="C113" s="412">
        <v>2978.58</v>
      </c>
      <c r="D113" s="413"/>
      <c r="E113" s="412"/>
      <c r="F113" s="412"/>
      <c r="G113" s="412"/>
      <c r="H113" s="412"/>
      <c r="I113" s="412"/>
      <c r="J113" s="412"/>
      <c r="K113" s="424">
        <f>SUM(C113:J113)</f>
        <v>2978.58</v>
      </c>
      <c r="L113" s="412">
        <v>1000</v>
      </c>
      <c r="M113" s="412"/>
      <c r="N113" s="422">
        <f>SUM(L113:M113)</f>
        <v>1000</v>
      </c>
      <c r="O113" s="423">
        <f>(K113*12)+N113</f>
        <v>36742.959999999999</v>
      </c>
      <c r="P113" s="422">
        <f>(O113*B113)</f>
        <v>3233380.48</v>
      </c>
      <c r="Q113" s="414">
        <v>76</v>
      </c>
      <c r="R113" s="412">
        <v>2985.4</v>
      </c>
      <c r="S113" s="412"/>
      <c r="T113" s="412"/>
      <c r="U113" s="412"/>
      <c r="V113" s="412"/>
      <c r="W113" s="412"/>
      <c r="X113" s="412"/>
      <c r="Y113" s="301"/>
      <c r="Z113" s="420">
        <f t="shared" si="28"/>
        <v>2985.4</v>
      </c>
      <c r="AA113" s="412">
        <v>1000</v>
      </c>
      <c r="AB113" s="301"/>
      <c r="AC113" s="415">
        <f t="shared" si="29"/>
        <v>1000</v>
      </c>
      <c r="AD113" s="417">
        <f t="shared" si="30"/>
        <v>36824.800000000003</v>
      </c>
      <c r="AE113" s="417">
        <f t="shared" si="31"/>
        <v>2798684.8000000003</v>
      </c>
      <c r="AF113" s="417">
        <f t="shared" si="32"/>
        <v>-81.840000000003783</v>
      </c>
      <c r="AG113" s="415">
        <f t="shared" si="33"/>
        <v>434695.6799999997</v>
      </c>
      <c r="AH113" s="418">
        <v>76</v>
      </c>
      <c r="AI113" s="415">
        <v>2798684.8000000003</v>
      </c>
    </row>
    <row r="114" spans="1:35" x14ac:dyDescent="0.2">
      <c r="A114" s="465" t="s">
        <v>657</v>
      </c>
      <c r="B114" s="383"/>
      <c r="C114" s="412"/>
      <c r="D114" s="412"/>
      <c r="E114" s="412"/>
      <c r="F114" s="412"/>
      <c r="G114" s="412"/>
      <c r="H114" s="412"/>
      <c r="I114" s="412"/>
      <c r="J114" s="412"/>
      <c r="K114" s="412"/>
      <c r="L114" s="412"/>
      <c r="M114" s="412"/>
      <c r="N114" s="413"/>
      <c r="O114" s="412"/>
      <c r="P114" s="301"/>
      <c r="Q114" s="414">
        <v>3</v>
      </c>
      <c r="R114" s="412">
        <v>2239.0500000000002</v>
      </c>
      <c r="S114" s="412"/>
      <c r="T114" s="412"/>
      <c r="U114" s="412"/>
      <c r="V114" s="412"/>
      <c r="W114" s="412"/>
      <c r="X114" s="412"/>
      <c r="Y114" s="301"/>
      <c r="Z114" s="420">
        <f t="shared" si="28"/>
        <v>2239.0500000000002</v>
      </c>
      <c r="AA114" s="412">
        <v>1000</v>
      </c>
      <c r="AB114" s="301"/>
      <c r="AC114" s="415">
        <f t="shared" si="29"/>
        <v>1000</v>
      </c>
      <c r="AD114" s="417">
        <f t="shared" si="30"/>
        <v>27868.600000000002</v>
      </c>
      <c r="AE114" s="417">
        <f t="shared" si="31"/>
        <v>83605.8</v>
      </c>
      <c r="AF114" s="417">
        <f t="shared" si="32"/>
        <v>-27868.600000000002</v>
      </c>
      <c r="AG114" s="415">
        <f t="shared" si="33"/>
        <v>-83605.8</v>
      </c>
      <c r="AH114" s="418">
        <v>3</v>
      </c>
      <c r="AI114" s="415">
        <v>83605.8</v>
      </c>
    </row>
    <row r="115" spans="1:35" x14ac:dyDescent="0.2">
      <c r="A115" s="465" t="s">
        <v>658</v>
      </c>
      <c r="B115" s="383">
        <v>48</v>
      </c>
      <c r="C115" s="412">
        <v>3465.09</v>
      </c>
      <c r="D115" s="412"/>
      <c r="E115" s="412"/>
      <c r="F115" s="412"/>
      <c r="G115" s="412"/>
      <c r="H115" s="412"/>
      <c r="I115" s="412"/>
      <c r="J115" s="412"/>
      <c r="K115" s="424">
        <f>SUM(C115:J115)</f>
        <v>3465.09</v>
      </c>
      <c r="L115" s="412">
        <v>1000</v>
      </c>
      <c r="M115" s="412"/>
      <c r="N115" s="422">
        <f>SUM(L115:M115)</f>
        <v>1000</v>
      </c>
      <c r="O115" s="423">
        <f>(K115*12)+N115</f>
        <v>42581.08</v>
      </c>
      <c r="P115" s="422">
        <f>(O115*B115)</f>
        <v>2043891.84</v>
      </c>
      <c r="Q115" s="414">
        <v>43</v>
      </c>
      <c r="R115" s="412">
        <v>3525.41</v>
      </c>
      <c r="S115" s="412"/>
      <c r="T115" s="412"/>
      <c r="U115" s="412"/>
      <c r="V115" s="412"/>
      <c r="W115" s="412"/>
      <c r="X115" s="412"/>
      <c r="Y115" s="301"/>
      <c r="Z115" s="420">
        <f t="shared" si="28"/>
        <v>3525.41</v>
      </c>
      <c r="AA115" s="412">
        <v>1000</v>
      </c>
      <c r="AB115" s="301"/>
      <c r="AC115" s="415">
        <f t="shared" si="29"/>
        <v>1000</v>
      </c>
      <c r="AD115" s="417">
        <f t="shared" si="30"/>
        <v>43304.92</v>
      </c>
      <c r="AE115" s="417">
        <f t="shared" si="31"/>
        <v>1862111.5599999998</v>
      </c>
      <c r="AF115" s="417">
        <f t="shared" si="32"/>
        <v>-723.83999999999651</v>
      </c>
      <c r="AG115" s="415">
        <f t="shared" si="33"/>
        <v>181780.28000000026</v>
      </c>
      <c r="AH115" s="418">
        <v>43</v>
      </c>
      <c r="AI115" s="415">
        <v>1862111.5599999998</v>
      </c>
    </row>
    <row r="116" spans="1:35" x14ac:dyDescent="0.2">
      <c r="A116" s="465" t="s">
        <v>659</v>
      </c>
      <c r="B116" s="383">
        <v>20</v>
      </c>
      <c r="C116" s="412">
        <v>1001.99</v>
      </c>
      <c r="D116" s="412"/>
      <c r="E116" s="412"/>
      <c r="F116" s="412"/>
      <c r="G116" s="412"/>
      <c r="H116" s="412"/>
      <c r="I116" s="412"/>
      <c r="J116" s="412"/>
      <c r="K116" s="424">
        <f>SUM(C116:J116)</f>
        <v>1001.99</v>
      </c>
      <c r="L116" s="412">
        <v>1000</v>
      </c>
      <c r="M116" s="412"/>
      <c r="N116" s="422">
        <f>SUM(L116:M116)</f>
        <v>1000</v>
      </c>
      <c r="O116" s="423">
        <f>(K116*12)+N116</f>
        <v>13023.880000000001</v>
      </c>
      <c r="P116" s="422">
        <f>(O116*B116)</f>
        <v>260477.60000000003</v>
      </c>
      <c r="Q116" s="414">
        <v>21</v>
      </c>
      <c r="R116" s="412">
        <v>1004.02</v>
      </c>
      <c r="S116" s="412"/>
      <c r="T116" s="412"/>
      <c r="U116" s="412"/>
      <c r="V116" s="412"/>
      <c r="W116" s="412"/>
      <c r="X116" s="412"/>
      <c r="Y116" s="301"/>
      <c r="Z116" s="420">
        <f t="shared" si="28"/>
        <v>1004.02</v>
      </c>
      <c r="AA116" s="412">
        <v>1000</v>
      </c>
      <c r="AB116" s="301"/>
      <c r="AC116" s="415">
        <f t="shared" si="29"/>
        <v>1000</v>
      </c>
      <c r="AD116" s="417">
        <f t="shared" si="30"/>
        <v>13048.24</v>
      </c>
      <c r="AE116" s="417">
        <f t="shared" si="31"/>
        <v>274013.03999999998</v>
      </c>
      <c r="AF116" s="417">
        <f t="shared" si="32"/>
        <v>-24.359999999998763</v>
      </c>
      <c r="AG116" s="415">
        <f t="shared" si="33"/>
        <v>-13535.439999999944</v>
      </c>
      <c r="AH116" s="418">
        <v>21</v>
      </c>
      <c r="AI116" s="415">
        <v>274013.03999999998</v>
      </c>
    </row>
    <row r="117" spans="1:35" x14ac:dyDescent="0.2">
      <c r="A117" s="465" t="s">
        <v>660</v>
      </c>
      <c r="B117" s="383"/>
      <c r="C117" s="412"/>
      <c r="D117" s="412"/>
      <c r="E117" s="412"/>
      <c r="F117" s="412"/>
      <c r="G117" s="412"/>
      <c r="H117" s="412"/>
      <c r="I117" s="412"/>
      <c r="J117" s="412"/>
      <c r="K117" s="412"/>
      <c r="L117" s="412"/>
      <c r="M117" s="412"/>
      <c r="N117" s="423" t="s">
        <v>77</v>
      </c>
      <c r="O117" s="412"/>
      <c r="P117" s="301"/>
      <c r="Q117" s="414">
        <v>1</v>
      </c>
      <c r="R117" s="412">
        <v>2400.3000000000002</v>
      </c>
      <c r="S117" s="412"/>
      <c r="T117" s="412"/>
      <c r="U117" s="412"/>
      <c r="V117" s="412"/>
      <c r="W117" s="412"/>
      <c r="X117" s="412"/>
      <c r="Y117" s="301"/>
      <c r="Z117" s="420">
        <f t="shared" si="28"/>
        <v>2400.3000000000002</v>
      </c>
      <c r="AA117" s="412">
        <v>1000</v>
      </c>
      <c r="AB117" s="301"/>
      <c r="AC117" s="415">
        <f t="shared" si="29"/>
        <v>1000</v>
      </c>
      <c r="AD117" s="417">
        <f t="shared" si="30"/>
        <v>29803.600000000002</v>
      </c>
      <c r="AE117" s="417">
        <f t="shared" si="31"/>
        <v>29803.600000000002</v>
      </c>
      <c r="AF117" s="417">
        <f t="shared" si="32"/>
        <v>-29803.600000000002</v>
      </c>
      <c r="AG117" s="415">
        <f t="shared" si="33"/>
        <v>-29803.600000000002</v>
      </c>
      <c r="AH117" s="418">
        <v>1</v>
      </c>
      <c r="AI117" s="415">
        <v>29803.600000000002</v>
      </c>
    </row>
    <row r="118" spans="1:35" x14ac:dyDescent="0.2">
      <c r="A118" s="465" t="s">
        <v>661</v>
      </c>
      <c r="B118" s="383"/>
      <c r="C118" s="412"/>
      <c r="D118" s="412"/>
      <c r="E118" s="412"/>
      <c r="F118" s="412"/>
      <c r="G118" s="412"/>
      <c r="H118" s="412"/>
      <c r="I118" s="412"/>
      <c r="J118" s="412"/>
      <c r="K118" s="412"/>
      <c r="L118" s="412"/>
      <c r="M118" s="412"/>
      <c r="N118" s="423" t="s">
        <v>77</v>
      </c>
      <c r="O118" s="412"/>
      <c r="P118" s="301"/>
      <c r="Q118" s="414">
        <v>1</v>
      </c>
      <c r="R118" s="412">
        <v>3200.4</v>
      </c>
      <c r="S118" s="412"/>
      <c r="T118" s="412"/>
      <c r="U118" s="412"/>
      <c r="V118" s="412"/>
      <c r="W118" s="412"/>
      <c r="X118" s="412"/>
      <c r="Y118" s="301"/>
      <c r="Z118" s="420">
        <f t="shared" si="28"/>
        <v>3200.4</v>
      </c>
      <c r="AA118" s="412">
        <v>1000</v>
      </c>
      <c r="AB118" s="301"/>
      <c r="AC118" s="415">
        <f t="shared" si="29"/>
        <v>1000</v>
      </c>
      <c r="AD118" s="417">
        <f t="shared" si="30"/>
        <v>39404.800000000003</v>
      </c>
      <c r="AE118" s="417">
        <f t="shared" si="31"/>
        <v>39404.800000000003</v>
      </c>
      <c r="AF118" s="417">
        <f t="shared" si="32"/>
        <v>-39404.800000000003</v>
      </c>
      <c r="AG118" s="415">
        <f t="shared" si="33"/>
        <v>-39404.800000000003</v>
      </c>
      <c r="AH118" s="418">
        <v>1</v>
      </c>
      <c r="AI118" s="415">
        <v>39404.800000000003</v>
      </c>
    </row>
    <row r="119" spans="1:35" x14ac:dyDescent="0.2">
      <c r="A119" s="465" t="s">
        <v>662</v>
      </c>
      <c r="B119" s="383"/>
      <c r="C119" s="412"/>
      <c r="D119" s="412"/>
      <c r="E119" s="412"/>
      <c r="F119" s="412"/>
      <c r="G119" s="412"/>
      <c r="H119" s="412"/>
      <c r="I119" s="412"/>
      <c r="J119" s="412"/>
      <c r="K119" s="412"/>
      <c r="L119" s="412"/>
      <c r="M119" s="412"/>
      <c r="N119" s="423" t="s">
        <v>77</v>
      </c>
      <c r="O119" s="412"/>
      <c r="P119" s="301"/>
      <c r="Q119" s="414">
        <v>28</v>
      </c>
      <c r="R119" s="412">
        <v>1246.1400000000001</v>
      </c>
      <c r="S119" s="412"/>
      <c r="T119" s="412"/>
      <c r="U119" s="412"/>
      <c r="V119" s="412"/>
      <c r="W119" s="412"/>
      <c r="X119" s="412"/>
      <c r="Y119" s="301"/>
      <c r="Z119" s="420">
        <f t="shared" si="28"/>
        <v>1246.1400000000001</v>
      </c>
      <c r="AA119" s="412">
        <v>1000</v>
      </c>
      <c r="AB119" s="301"/>
      <c r="AC119" s="415">
        <f t="shared" si="29"/>
        <v>1000</v>
      </c>
      <c r="AD119" s="417">
        <f t="shared" si="30"/>
        <v>15953.68</v>
      </c>
      <c r="AE119" s="417">
        <f t="shared" si="31"/>
        <v>446703.04000000004</v>
      </c>
      <c r="AF119" s="417">
        <f t="shared" si="32"/>
        <v>-15953.68</v>
      </c>
      <c r="AG119" s="415">
        <f t="shared" si="33"/>
        <v>-446703.04000000004</v>
      </c>
      <c r="AH119" s="418">
        <v>28</v>
      </c>
      <c r="AI119" s="415">
        <v>446703.04000000004</v>
      </c>
    </row>
    <row r="120" spans="1:35" x14ac:dyDescent="0.2">
      <c r="A120" s="465" t="s">
        <v>663</v>
      </c>
      <c r="B120" s="383"/>
      <c r="C120" s="412"/>
      <c r="D120" s="412"/>
      <c r="E120" s="412"/>
      <c r="F120" s="412"/>
      <c r="G120" s="412"/>
      <c r="H120" s="412"/>
      <c r="I120" s="412"/>
      <c r="J120" s="412"/>
      <c r="K120" s="412"/>
      <c r="L120" s="412"/>
      <c r="M120" s="412"/>
      <c r="N120" s="423" t="s">
        <v>77</v>
      </c>
      <c r="O120" s="412"/>
      <c r="P120" s="301"/>
      <c r="Q120" s="414">
        <v>6</v>
      </c>
      <c r="R120" s="412">
        <v>1865.88</v>
      </c>
      <c r="S120" s="412"/>
      <c r="T120" s="412"/>
      <c r="U120" s="412"/>
      <c r="V120" s="412"/>
      <c r="W120" s="412"/>
      <c r="X120" s="412"/>
      <c r="Y120" s="301"/>
      <c r="Z120" s="420">
        <f t="shared" si="28"/>
        <v>1865.88</v>
      </c>
      <c r="AA120" s="412">
        <v>1000</v>
      </c>
      <c r="AB120" s="301"/>
      <c r="AC120" s="415">
        <f t="shared" si="29"/>
        <v>1000</v>
      </c>
      <c r="AD120" s="417">
        <f t="shared" si="30"/>
        <v>23390.560000000001</v>
      </c>
      <c r="AE120" s="417">
        <f t="shared" si="31"/>
        <v>140343.36000000002</v>
      </c>
      <c r="AF120" s="417">
        <f t="shared" si="32"/>
        <v>-23390.560000000001</v>
      </c>
      <c r="AG120" s="415">
        <f t="shared" si="33"/>
        <v>-140343.36000000002</v>
      </c>
      <c r="AH120" s="418">
        <v>6</v>
      </c>
      <c r="AI120" s="415">
        <v>140343.36000000002</v>
      </c>
    </row>
    <row r="121" spans="1:35" x14ac:dyDescent="0.2">
      <c r="A121" s="465" t="s">
        <v>664</v>
      </c>
      <c r="B121" s="383">
        <v>363</v>
      </c>
      <c r="C121" s="412">
        <v>2354.6999999999998</v>
      </c>
      <c r="D121" s="412"/>
      <c r="E121" s="412"/>
      <c r="F121" s="412"/>
      <c r="G121" s="412"/>
      <c r="H121" s="412"/>
      <c r="I121" s="412"/>
      <c r="J121" s="412"/>
      <c r="K121" s="424">
        <f>SUM(C121:J121)</f>
        <v>2354.6999999999998</v>
      </c>
      <c r="L121" s="412">
        <v>1000</v>
      </c>
      <c r="M121" s="412"/>
      <c r="N121" s="422">
        <f>SUM(L121:M121)</f>
        <v>1000</v>
      </c>
      <c r="O121" s="423">
        <f>(K121*12)+N121</f>
        <v>29256.399999999998</v>
      </c>
      <c r="P121" s="422">
        <f>(O121*B121)</f>
        <v>10620073.199999999</v>
      </c>
      <c r="Q121" s="414">
        <v>356</v>
      </c>
      <c r="R121" s="412">
        <v>2487.84</v>
      </c>
      <c r="S121" s="412"/>
      <c r="T121" s="412"/>
      <c r="U121" s="412"/>
      <c r="V121" s="412"/>
      <c r="W121" s="412"/>
      <c r="X121" s="412"/>
      <c r="Y121" s="301"/>
      <c r="Z121" s="420">
        <f t="shared" si="28"/>
        <v>2487.84</v>
      </c>
      <c r="AA121" s="412">
        <v>1000</v>
      </c>
      <c r="AB121" s="301"/>
      <c r="AC121" s="415">
        <f t="shared" si="29"/>
        <v>1000</v>
      </c>
      <c r="AD121" s="417">
        <f t="shared" si="30"/>
        <v>30854.080000000002</v>
      </c>
      <c r="AE121" s="417">
        <f t="shared" si="31"/>
        <v>10984052.48</v>
      </c>
      <c r="AF121" s="417">
        <f t="shared" si="32"/>
        <v>-1597.6800000000039</v>
      </c>
      <c r="AG121" s="415">
        <f t="shared" si="33"/>
        <v>-363979.28000000119</v>
      </c>
      <c r="AH121" s="418">
        <v>356</v>
      </c>
      <c r="AI121" s="415">
        <v>10984052.48</v>
      </c>
    </row>
    <row r="122" spans="1:35" x14ac:dyDescent="0.2">
      <c r="A122" s="452" t="s">
        <v>77</v>
      </c>
      <c r="B122" s="383"/>
      <c r="C122" s="412"/>
      <c r="D122" s="412"/>
      <c r="E122" s="412"/>
      <c r="F122" s="412"/>
      <c r="G122" s="412"/>
      <c r="H122" s="412"/>
      <c r="I122" s="412"/>
      <c r="J122" s="412"/>
      <c r="K122" s="412"/>
      <c r="L122" s="412"/>
      <c r="M122" s="412"/>
      <c r="N122" s="423" t="s">
        <v>77</v>
      </c>
      <c r="O122" s="412"/>
      <c r="P122" s="301"/>
      <c r="Q122" s="414"/>
      <c r="R122" s="412"/>
      <c r="S122" s="412"/>
      <c r="T122" s="412"/>
      <c r="U122" s="412"/>
      <c r="V122" s="412"/>
      <c r="W122" s="412"/>
      <c r="X122" s="412"/>
      <c r="Y122" s="301"/>
      <c r="Z122" s="415"/>
      <c r="AA122" s="412"/>
      <c r="AB122" s="301"/>
      <c r="AC122" s="415"/>
      <c r="AD122" s="412"/>
      <c r="AE122" s="417"/>
      <c r="AF122" s="417"/>
      <c r="AG122" s="415"/>
      <c r="AH122" s="418"/>
      <c r="AI122" s="415"/>
    </row>
    <row r="123" spans="1:35" x14ac:dyDescent="0.2">
      <c r="A123" s="390" t="s">
        <v>665</v>
      </c>
      <c r="B123" s="391">
        <f>SUM(B124)</f>
        <v>1</v>
      </c>
      <c r="C123" s="455">
        <f>SUM(C124)</f>
        <v>5532</v>
      </c>
      <c r="D123" s="453"/>
      <c r="E123" s="453"/>
      <c r="F123" s="453"/>
      <c r="G123" s="453"/>
      <c r="H123" s="453"/>
      <c r="I123" s="453"/>
      <c r="J123" s="454"/>
      <c r="K123" s="453">
        <f t="shared" ref="K123:AI123" si="34">SUM(K124)</f>
        <v>5532</v>
      </c>
      <c r="L123" s="454">
        <f t="shared" si="34"/>
        <v>1000</v>
      </c>
      <c r="M123" s="454">
        <f t="shared" si="34"/>
        <v>0</v>
      </c>
      <c r="N123" s="454">
        <f t="shared" si="34"/>
        <v>1000</v>
      </c>
      <c r="O123" s="453">
        <f t="shared" si="34"/>
        <v>67384</v>
      </c>
      <c r="P123" s="466">
        <f t="shared" si="34"/>
        <v>67384</v>
      </c>
      <c r="Q123" s="458">
        <f t="shared" si="34"/>
        <v>1</v>
      </c>
      <c r="R123" s="453">
        <f t="shared" si="34"/>
        <v>5532</v>
      </c>
      <c r="S123" s="454">
        <f t="shared" si="34"/>
        <v>0</v>
      </c>
      <c r="T123" s="454">
        <f t="shared" si="34"/>
        <v>0</v>
      </c>
      <c r="U123" s="454">
        <f t="shared" si="34"/>
        <v>0</v>
      </c>
      <c r="V123" s="454">
        <f t="shared" si="34"/>
        <v>0</v>
      </c>
      <c r="W123" s="454">
        <f t="shared" si="34"/>
        <v>0</v>
      </c>
      <c r="X123" s="454">
        <f t="shared" si="34"/>
        <v>0</v>
      </c>
      <c r="Y123" s="454">
        <f t="shared" si="34"/>
        <v>0</v>
      </c>
      <c r="Z123" s="454">
        <f t="shared" si="34"/>
        <v>5532</v>
      </c>
      <c r="AA123" s="454">
        <f t="shared" si="34"/>
        <v>1000</v>
      </c>
      <c r="AB123" s="454">
        <f t="shared" si="34"/>
        <v>0</v>
      </c>
      <c r="AC123" s="454">
        <f t="shared" si="34"/>
        <v>1000</v>
      </c>
      <c r="AD123" s="454">
        <f t="shared" si="34"/>
        <v>67384</v>
      </c>
      <c r="AE123" s="454">
        <f t="shared" si="34"/>
        <v>67384</v>
      </c>
      <c r="AF123" s="454">
        <f t="shared" si="34"/>
        <v>0</v>
      </c>
      <c r="AG123" s="454">
        <f t="shared" si="34"/>
        <v>0</v>
      </c>
      <c r="AH123" s="460">
        <f t="shared" si="34"/>
        <v>1</v>
      </c>
      <c r="AI123" s="454">
        <f t="shared" si="34"/>
        <v>67384</v>
      </c>
    </row>
    <row r="124" spans="1:35" x14ac:dyDescent="0.2">
      <c r="A124" s="452" t="s">
        <v>666</v>
      </c>
      <c r="B124" s="383">
        <v>1</v>
      </c>
      <c r="C124" s="412">
        <v>5532</v>
      </c>
      <c r="D124" s="412"/>
      <c r="E124" s="412"/>
      <c r="F124" s="412"/>
      <c r="G124" s="412"/>
      <c r="H124" s="412"/>
      <c r="I124" s="412"/>
      <c r="J124" s="412"/>
      <c r="K124" s="424">
        <f>SUM(C124:J124)</f>
        <v>5532</v>
      </c>
      <c r="L124" s="412">
        <v>1000</v>
      </c>
      <c r="M124" s="412"/>
      <c r="N124" s="422">
        <f>SUM(L124:M124)</f>
        <v>1000</v>
      </c>
      <c r="O124" s="423">
        <f>(K124*12)+N124</f>
        <v>67384</v>
      </c>
      <c r="P124" s="422">
        <f>(O124*B124)</f>
        <v>67384</v>
      </c>
      <c r="Q124" s="414">
        <v>1</v>
      </c>
      <c r="R124" s="412">
        <v>5532</v>
      </c>
      <c r="S124" s="412"/>
      <c r="T124" s="412"/>
      <c r="U124" s="412"/>
      <c r="V124" s="412"/>
      <c r="W124" s="412"/>
      <c r="X124" s="412"/>
      <c r="Y124" s="301"/>
      <c r="Z124" s="415">
        <f>SUM(R124:Y124)</f>
        <v>5532</v>
      </c>
      <c r="AA124" s="412">
        <v>1000</v>
      </c>
      <c r="AB124" s="301"/>
      <c r="AC124" s="415">
        <f>SUM(AA124:AB124)</f>
        <v>1000</v>
      </c>
      <c r="AD124" s="417">
        <f>(Z124*12)+AC124</f>
        <v>67384</v>
      </c>
      <c r="AE124" s="417">
        <f>(AD124*Q124)</f>
        <v>67384</v>
      </c>
      <c r="AF124" s="417"/>
      <c r="AG124" s="415"/>
      <c r="AH124" s="418">
        <v>1</v>
      </c>
      <c r="AI124" s="415">
        <v>67384</v>
      </c>
    </row>
    <row r="125" spans="1:35" x14ac:dyDescent="0.2">
      <c r="A125" s="452" t="s">
        <v>647</v>
      </c>
      <c r="B125" s="383"/>
      <c r="C125" s="412"/>
      <c r="D125" s="412"/>
      <c r="E125" s="412"/>
      <c r="F125" s="412"/>
      <c r="G125" s="412"/>
      <c r="H125" s="412"/>
      <c r="I125" s="412"/>
      <c r="J125" s="412"/>
      <c r="K125" s="412"/>
      <c r="L125" s="412"/>
      <c r="M125" s="412"/>
      <c r="N125" s="413"/>
      <c r="O125" s="412"/>
      <c r="P125" s="301"/>
      <c r="Q125" s="414"/>
      <c r="R125" s="412"/>
      <c r="S125" s="412"/>
      <c r="T125" s="412"/>
      <c r="U125" s="412"/>
      <c r="V125" s="412"/>
      <c r="W125" s="412"/>
      <c r="X125" s="412"/>
      <c r="Y125" s="301"/>
      <c r="Z125" s="415"/>
      <c r="AA125" s="412"/>
      <c r="AB125" s="301"/>
      <c r="AC125" s="415"/>
      <c r="AD125" s="412"/>
      <c r="AE125" s="417"/>
      <c r="AF125" s="417"/>
      <c r="AG125" s="415"/>
      <c r="AH125" s="418"/>
      <c r="AI125" s="415"/>
    </row>
    <row r="126" spans="1:35" ht="12.75" thickBot="1" x14ac:dyDescent="0.25">
      <c r="A126" s="467" t="s">
        <v>0</v>
      </c>
      <c r="B126" s="468">
        <f t="shared" ref="B126:AH126" si="35">SUM(B123+B104+B72)</f>
        <v>847</v>
      </c>
      <c r="C126" s="469">
        <f t="shared" si="35"/>
        <v>52375.883530791951</v>
      </c>
      <c r="D126" s="469">
        <f t="shared" si="35"/>
        <v>23080.263102045908</v>
      </c>
      <c r="E126" s="469">
        <f t="shared" si="35"/>
        <v>0</v>
      </c>
      <c r="F126" s="469">
        <f t="shared" si="35"/>
        <v>0</v>
      </c>
      <c r="G126" s="469">
        <f t="shared" si="35"/>
        <v>0</v>
      </c>
      <c r="H126" s="469">
        <f t="shared" si="35"/>
        <v>0</v>
      </c>
      <c r="I126" s="469">
        <f t="shared" si="35"/>
        <v>0</v>
      </c>
      <c r="J126" s="469">
        <f t="shared" si="35"/>
        <v>0</v>
      </c>
      <c r="K126" s="469">
        <f t="shared" si="35"/>
        <v>75456.146632837859</v>
      </c>
      <c r="L126" s="469">
        <f t="shared" si="35"/>
        <v>25000</v>
      </c>
      <c r="M126" s="469">
        <f t="shared" si="35"/>
        <v>0</v>
      </c>
      <c r="N126" s="469">
        <f t="shared" si="35"/>
        <v>25000</v>
      </c>
      <c r="O126" s="469">
        <f t="shared" si="35"/>
        <v>930473.75959405431</v>
      </c>
      <c r="P126" s="470">
        <f t="shared" si="35"/>
        <v>27318860.439999998</v>
      </c>
      <c r="Q126" s="471">
        <f t="shared" si="35"/>
        <v>883</v>
      </c>
      <c r="R126" s="472">
        <f t="shared" si="35"/>
        <v>87837.040000000008</v>
      </c>
      <c r="S126" s="469">
        <f t="shared" si="35"/>
        <v>24380.48</v>
      </c>
      <c r="T126" s="469">
        <f t="shared" si="35"/>
        <v>0</v>
      </c>
      <c r="U126" s="469">
        <f t="shared" si="35"/>
        <v>0</v>
      </c>
      <c r="V126" s="469">
        <f t="shared" si="35"/>
        <v>0</v>
      </c>
      <c r="W126" s="469">
        <f t="shared" si="35"/>
        <v>0</v>
      </c>
      <c r="X126" s="469">
        <f t="shared" si="35"/>
        <v>0</v>
      </c>
      <c r="Y126" s="469">
        <f t="shared" si="35"/>
        <v>0</v>
      </c>
      <c r="Z126" s="469">
        <f t="shared" si="35"/>
        <v>112217.52</v>
      </c>
      <c r="AA126" s="469">
        <f t="shared" si="35"/>
        <v>34000</v>
      </c>
      <c r="AB126" s="469">
        <f t="shared" si="35"/>
        <v>0</v>
      </c>
      <c r="AC126" s="469">
        <f t="shared" si="35"/>
        <v>34000</v>
      </c>
      <c r="AD126" s="469">
        <f t="shared" si="35"/>
        <v>1424610.2400000002</v>
      </c>
      <c r="AE126" s="469">
        <f t="shared" si="35"/>
        <v>29106918.280000001</v>
      </c>
      <c r="AF126" s="469">
        <f t="shared" si="35"/>
        <v>-494136.48040594568</v>
      </c>
      <c r="AG126" s="469">
        <f t="shared" si="35"/>
        <v>-1788057.8400000015</v>
      </c>
      <c r="AH126" s="473">
        <f t="shared" si="35"/>
        <v>884</v>
      </c>
      <c r="AI126" s="469">
        <v>29158660.880000003</v>
      </c>
    </row>
    <row r="127" spans="1:35" x14ac:dyDescent="0.2">
      <c r="A127" s="23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57"/>
      <c r="AF127" s="257"/>
      <c r="AG127" s="257"/>
      <c r="AH127" s="257"/>
      <c r="AI127" s="257"/>
    </row>
    <row r="128" spans="1:35" x14ac:dyDescent="0.2">
      <c r="A128" s="23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57"/>
      <c r="AF128" s="257"/>
      <c r="AG128" s="257"/>
      <c r="AH128" s="257"/>
      <c r="AI128" s="257"/>
    </row>
    <row r="129" spans="1:35" ht="16.5" thickBot="1" x14ac:dyDescent="0.3">
      <c r="A129" s="474" t="s">
        <v>667</v>
      </c>
      <c r="B129" s="475"/>
      <c r="C129" s="475"/>
      <c r="D129" s="475"/>
      <c r="E129" s="475"/>
      <c r="F129" s="475"/>
      <c r="G129" s="475"/>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c r="AH129" s="475"/>
      <c r="AI129" s="475"/>
    </row>
    <row r="130" spans="1:35" ht="12.75" thickBot="1" x14ac:dyDescent="0.25">
      <c r="A130" s="1378" t="s">
        <v>42</v>
      </c>
      <c r="B130" s="1381" t="s">
        <v>356</v>
      </c>
      <c r="C130" s="1381"/>
      <c r="D130" s="1381"/>
      <c r="E130" s="1381"/>
      <c r="F130" s="1381"/>
      <c r="G130" s="1381"/>
      <c r="H130" s="1381"/>
      <c r="I130" s="1381"/>
      <c r="J130" s="1381"/>
      <c r="K130" s="1381"/>
      <c r="L130" s="1381"/>
      <c r="M130" s="1381"/>
      <c r="N130" s="1381"/>
      <c r="O130" s="1381"/>
      <c r="P130" s="1381"/>
      <c r="Q130" s="1382" t="s">
        <v>378</v>
      </c>
      <c r="R130" s="1381"/>
      <c r="S130" s="1381"/>
      <c r="T130" s="1381"/>
      <c r="U130" s="1381"/>
      <c r="V130" s="1381"/>
      <c r="W130" s="1381"/>
      <c r="X130" s="1381"/>
      <c r="Y130" s="1381"/>
      <c r="Z130" s="1381"/>
      <c r="AA130" s="1381"/>
      <c r="AB130" s="1381"/>
      <c r="AC130" s="1381"/>
      <c r="AD130" s="1381"/>
      <c r="AE130" s="1383"/>
      <c r="AF130" s="1384" t="s">
        <v>379</v>
      </c>
      <c r="AG130" s="1385"/>
      <c r="AH130" s="1384" t="s">
        <v>380</v>
      </c>
      <c r="AI130" s="1385"/>
    </row>
    <row r="131" spans="1:35" ht="138" x14ac:dyDescent="0.2">
      <c r="A131" s="1379"/>
      <c r="B131" s="365" t="s">
        <v>11</v>
      </c>
      <c r="C131" s="366" t="s">
        <v>130</v>
      </c>
      <c r="D131" s="367" t="s">
        <v>245</v>
      </c>
      <c r="E131" s="367" t="s">
        <v>132</v>
      </c>
      <c r="F131" s="367" t="s">
        <v>154</v>
      </c>
      <c r="G131" s="367" t="s">
        <v>155</v>
      </c>
      <c r="H131" s="367" t="s">
        <v>156</v>
      </c>
      <c r="I131" s="367" t="s">
        <v>157</v>
      </c>
      <c r="J131" s="367" t="s">
        <v>133</v>
      </c>
      <c r="K131" s="367" t="s">
        <v>134</v>
      </c>
      <c r="L131" s="367" t="s">
        <v>135</v>
      </c>
      <c r="M131" s="367" t="s">
        <v>153</v>
      </c>
      <c r="N131" s="368" t="s">
        <v>104</v>
      </c>
      <c r="O131" s="369" t="s">
        <v>138</v>
      </c>
      <c r="P131" s="371" t="s">
        <v>137</v>
      </c>
      <c r="Q131" s="365" t="s">
        <v>11</v>
      </c>
      <c r="R131" s="366" t="s">
        <v>130</v>
      </c>
      <c r="S131" s="367" t="s">
        <v>131</v>
      </c>
      <c r="T131" s="367" t="s">
        <v>132</v>
      </c>
      <c r="U131" s="367" t="s">
        <v>154</v>
      </c>
      <c r="V131" s="367" t="s">
        <v>155</v>
      </c>
      <c r="W131" s="367" t="s">
        <v>156</v>
      </c>
      <c r="X131" s="367" t="s">
        <v>157</v>
      </c>
      <c r="Y131" s="367" t="s">
        <v>133</v>
      </c>
      <c r="Z131" s="367" t="s">
        <v>134</v>
      </c>
      <c r="AA131" s="367" t="s">
        <v>135</v>
      </c>
      <c r="AB131" s="367" t="s">
        <v>153</v>
      </c>
      <c r="AC131" s="368" t="s">
        <v>104</v>
      </c>
      <c r="AD131" s="369" t="s">
        <v>138</v>
      </c>
      <c r="AE131" s="371" t="s">
        <v>425</v>
      </c>
      <c r="AF131" s="372" t="s">
        <v>142</v>
      </c>
      <c r="AG131" s="372" t="s">
        <v>141</v>
      </c>
      <c r="AH131" s="372" t="s">
        <v>11</v>
      </c>
      <c r="AI131" s="371" t="s">
        <v>426</v>
      </c>
    </row>
    <row r="132" spans="1:35" ht="12.75" thickBot="1" x14ac:dyDescent="0.25">
      <c r="A132" s="1380"/>
      <c r="B132" s="373" t="s">
        <v>43</v>
      </c>
      <c r="C132" s="374" t="s">
        <v>44</v>
      </c>
      <c r="D132" s="375" t="s">
        <v>45</v>
      </c>
      <c r="E132" s="375" t="s">
        <v>46</v>
      </c>
      <c r="F132" s="376" t="s">
        <v>47</v>
      </c>
      <c r="G132" s="376" t="s">
        <v>48</v>
      </c>
      <c r="H132" s="376" t="s">
        <v>63</v>
      </c>
      <c r="I132" s="376" t="s">
        <v>103</v>
      </c>
      <c r="J132" s="376" t="s">
        <v>136</v>
      </c>
      <c r="K132" s="376" t="s">
        <v>140</v>
      </c>
      <c r="L132" s="376" t="s">
        <v>162</v>
      </c>
      <c r="M132" s="376" t="s">
        <v>163</v>
      </c>
      <c r="N132" s="377" t="s">
        <v>165</v>
      </c>
      <c r="O132" s="378" t="s">
        <v>166</v>
      </c>
      <c r="P132" s="381" t="s">
        <v>167</v>
      </c>
      <c r="Q132" s="373" t="s">
        <v>43</v>
      </c>
      <c r="R132" s="374" t="s">
        <v>44</v>
      </c>
      <c r="S132" s="375" t="s">
        <v>45</v>
      </c>
      <c r="T132" s="375" t="s">
        <v>46</v>
      </c>
      <c r="U132" s="376" t="s">
        <v>47</v>
      </c>
      <c r="V132" s="376" t="s">
        <v>48</v>
      </c>
      <c r="W132" s="376" t="s">
        <v>63</v>
      </c>
      <c r="X132" s="376" t="s">
        <v>103</v>
      </c>
      <c r="Y132" s="376" t="s">
        <v>136</v>
      </c>
      <c r="Z132" s="376" t="s">
        <v>140</v>
      </c>
      <c r="AA132" s="376" t="s">
        <v>162</v>
      </c>
      <c r="AB132" s="376" t="s">
        <v>163</v>
      </c>
      <c r="AC132" s="377" t="s">
        <v>165</v>
      </c>
      <c r="AD132" s="378" t="s">
        <v>166</v>
      </c>
      <c r="AE132" s="381" t="s">
        <v>167</v>
      </c>
      <c r="AF132" s="380"/>
      <c r="AG132" s="373"/>
      <c r="AH132" s="380"/>
      <c r="AI132" s="373"/>
    </row>
    <row r="133" spans="1:35" x14ac:dyDescent="0.2">
      <c r="A133" s="388"/>
      <c r="B133" s="476"/>
      <c r="C133" s="384"/>
      <c r="D133" s="384"/>
      <c r="E133" s="384"/>
      <c r="F133" s="384"/>
      <c r="G133" s="384"/>
      <c r="H133" s="384"/>
      <c r="I133" s="384"/>
      <c r="J133" s="384"/>
      <c r="K133" s="384"/>
      <c r="L133" s="384"/>
      <c r="M133" s="384"/>
      <c r="N133" s="234"/>
      <c r="O133" s="385"/>
      <c r="P133" s="389"/>
      <c r="Q133" s="476"/>
      <c r="R133" s="384"/>
      <c r="S133" s="384"/>
      <c r="T133" s="384"/>
      <c r="U133" s="384"/>
      <c r="V133" s="384"/>
      <c r="W133" s="384"/>
      <c r="X133" s="384"/>
      <c r="Y133" s="384"/>
      <c r="Z133" s="384"/>
      <c r="AA133" s="384"/>
      <c r="AB133" s="384"/>
      <c r="AC133" s="234"/>
      <c r="AD133" s="385"/>
      <c r="AE133" s="389"/>
      <c r="AF133" s="389"/>
      <c r="AG133" s="383"/>
      <c r="AH133" s="477"/>
      <c r="AI133" s="383"/>
    </row>
    <row r="134" spans="1:35" x14ac:dyDescent="0.2">
      <c r="A134" s="478" t="s">
        <v>49</v>
      </c>
      <c r="B134" s="476">
        <f t="shared" ref="B134:AI134" si="36">B135+B144+B151+B158</f>
        <v>612</v>
      </c>
      <c r="C134" s="479">
        <f t="shared" si="36"/>
        <v>26400.266</v>
      </c>
      <c r="D134" s="479">
        <f t="shared" si="36"/>
        <v>21305</v>
      </c>
      <c r="E134" s="479">
        <f t="shared" si="36"/>
        <v>0</v>
      </c>
      <c r="F134" s="479">
        <f t="shared" si="36"/>
        <v>0</v>
      </c>
      <c r="G134" s="479">
        <f t="shared" si="36"/>
        <v>0</v>
      </c>
      <c r="H134" s="479">
        <f t="shared" si="36"/>
        <v>0</v>
      </c>
      <c r="I134" s="479">
        <f t="shared" si="36"/>
        <v>0</v>
      </c>
      <c r="J134" s="479">
        <f t="shared" si="36"/>
        <v>0</v>
      </c>
      <c r="K134" s="479">
        <f t="shared" si="36"/>
        <v>47705.266000000003</v>
      </c>
      <c r="L134" s="479">
        <f t="shared" si="36"/>
        <v>18000</v>
      </c>
      <c r="M134" s="479">
        <f t="shared" si="36"/>
        <v>10000</v>
      </c>
      <c r="N134" s="480">
        <f t="shared" si="36"/>
        <v>28000</v>
      </c>
      <c r="O134" s="481">
        <f t="shared" si="36"/>
        <v>600463.19200000004</v>
      </c>
      <c r="P134" s="482">
        <f t="shared" si="36"/>
        <v>16717784.08</v>
      </c>
      <c r="Q134" s="476">
        <f t="shared" si="36"/>
        <v>612</v>
      </c>
      <c r="R134" s="479">
        <f t="shared" si="36"/>
        <v>26400.266</v>
      </c>
      <c r="S134" s="479">
        <f t="shared" si="36"/>
        <v>23395</v>
      </c>
      <c r="T134" s="479">
        <f t="shared" si="36"/>
        <v>0</v>
      </c>
      <c r="U134" s="479">
        <f t="shared" si="36"/>
        <v>0</v>
      </c>
      <c r="V134" s="479">
        <f t="shared" si="36"/>
        <v>0</v>
      </c>
      <c r="W134" s="479">
        <f t="shared" si="36"/>
        <v>0</v>
      </c>
      <c r="X134" s="479">
        <f t="shared" si="36"/>
        <v>0</v>
      </c>
      <c r="Y134" s="479">
        <f t="shared" si="36"/>
        <v>0</v>
      </c>
      <c r="Z134" s="479">
        <f t="shared" si="36"/>
        <v>49795.266000000003</v>
      </c>
      <c r="AA134" s="479">
        <f t="shared" si="36"/>
        <v>17000</v>
      </c>
      <c r="AB134" s="479">
        <f t="shared" si="36"/>
        <v>10000</v>
      </c>
      <c r="AC134" s="480">
        <f t="shared" si="36"/>
        <v>28000</v>
      </c>
      <c r="AD134" s="481">
        <f t="shared" si="36"/>
        <v>622543.19200000004</v>
      </c>
      <c r="AE134" s="482">
        <f t="shared" si="36"/>
        <v>17260464.079999998</v>
      </c>
      <c r="AF134" s="482">
        <f t="shared" si="36"/>
        <v>22080</v>
      </c>
      <c r="AG134" s="483">
        <f t="shared" si="36"/>
        <v>542680</v>
      </c>
      <c r="AH134" s="477">
        <f t="shared" si="36"/>
        <v>612</v>
      </c>
      <c r="AI134" s="483">
        <f t="shared" si="36"/>
        <v>17260464.079999998</v>
      </c>
    </row>
    <row r="135" spans="1:35" x14ac:dyDescent="0.2">
      <c r="A135" s="478" t="s">
        <v>7</v>
      </c>
      <c r="B135" s="476">
        <f t="shared" ref="B135:AI135" si="37">SUM(B136:B143)</f>
        <v>12</v>
      </c>
      <c r="C135" s="479">
        <f t="shared" si="37"/>
        <v>7126</v>
      </c>
      <c r="D135" s="479">
        <f t="shared" si="37"/>
        <v>4675</v>
      </c>
      <c r="E135" s="479">
        <f t="shared" si="37"/>
        <v>0</v>
      </c>
      <c r="F135" s="479">
        <f t="shared" si="37"/>
        <v>0</v>
      </c>
      <c r="G135" s="479">
        <f t="shared" si="37"/>
        <v>0</v>
      </c>
      <c r="H135" s="479">
        <f t="shared" si="37"/>
        <v>0</v>
      </c>
      <c r="I135" s="479">
        <f t="shared" si="37"/>
        <v>0</v>
      </c>
      <c r="J135" s="479">
        <f t="shared" si="37"/>
        <v>0</v>
      </c>
      <c r="K135" s="479">
        <f t="shared" si="37"/>
        <v>11801</v>
      </c>
      <c r="L135" s="479">
        <f t="shared" si="37"/>
        <v>3000</v>
      </c>
      <c r="M135" s="479">
        <f t="shared" si="37"/>
        <v>3000</v>
      </c>
      <c r="N135" s="480">
        <f t="shared" si="37"/>
        <v>6000</v>
      </c>
      <c r="O135" s="481">
        <f t="shared" si="37"/>
        <v>147612</v>
      </c>
      <c r="P135" s="482">
        <f t="shared" si="37"/>
        <v>590592</v>
      </c>
      <c r="Q135" s="476">
        <f t="shared" si="37"/>
        <v>12</v>
      </c>
      <c r="R135" s="479">
        <f t="shared" si="37"/>
        <v>7126</v>
      </c>
      <c r="S135" s="479">
        <f t="shared" si="37"/>
        <v>4675</v>
      </c>
      <c r="T135" s="479">
        <f t="shared" si="37"/>
        <v>0</v>
      </c>
      <c r="U135" s="479">
        <f t="shared" si="37"/>
        <v>0</v>
      </c>
      <c r="V135" s="479">
        <f t="shared" si="37"/>
        <v>0</v>
      </c>
      <c r="W135" s="479">
        <f t="shared" si="37"/>
        <v>0</v>
      </c>
      <c r="X135" s="479">
        <f t="shared" si="37"/>
        <v>0</v>
      </c>
      <c r="Y135" s="479">
        <f t="shared" si="37"/>
        <v>0</v>
      </c>
      <c r="Z135" s="479">
        <f t="shared" si="37"/>
        <v>11801</v>
      </c>
      <c r="AA135" s="479">
        <f t="shared" si="37"/>
        <v>3000</v>
      </c>
      <c r="AB135" s="479">
        <f t="shared" si="37"/>
        <v>3000</v>
      </c>
      <c r="AC135" s="480">
        <f t="shared" si="37"/>
        <v>6000</v>
      </c>
      <c r="AD135" s="481">
        <f t="shared" si="37"/>
        <v>147612</v>
      </c>
      <c r="AE135" s="482">
        <f t="shared" si="37"/>
        <v>590592</v>
      </c>
      <c r="AF135" s="482">
        <f t="shared" si="37"/>
        <v>0</v>
      </c>
      <c r="AG135" s="483">
        <f t="shared" si="37"/>
        <v>0</v>
      </c>
      <c r="AH135" s="477">
        <f t="shared" si="37"/>
        <v>12</v>
      </c>
      <c r="AI135" s="483">
        <f t="shared" si="37"/>
        <v>590592</v>
      </c>
    </row>
    <row r="136" spans="1:35" x14ac:dyDescent="0.2">
      <c r="A136" s="478" t="s">
        <v>3</v>
      </c>
      <c r="B136" s="476"/>
      <c r="C136" s="479"/>
      <c r="D136" s="479"/>
      <c r="E136" s="479"/>
      <c r="F136" s="479"/>
      <c r="G136" s="479"/>
      <c r="H136" s="479"/>
      <c r="I136" s="479"/>
      <c r="J136" s="479"/>
      <c r="K136" s="479"/>
      <c r="L136" s="479"/>
      <c r="M136" s="479"/>
      <c r="N136" s="480"/>
      <c r="O136" s="481"/>
      <c r="P136" s="482"/>
      <c r="Q136" s="476"/>
      <c r="R136" s="479"/>
      <c r="S136" s="479"/>
      <c r="T136" s="479"/>
      <c r="U136" s="479"/>
      <c r="V136" s="479"/>
      <c r="W136" s="479"/>
      <c r="X136" s="479"/>
      <c r="Y136" s="479"/>
      <c r="Z136" s="479"/>
      <c r="AA136" s="479"/>
      <c r="AB136" s="479"/>
      <c r="AC136" s="480"/>
      <c r="AD136" s="481"/>
      <c r="AE136" s="482"/>
      <c r="AF136" s="482"/>
      <c r="AG136" s="483"/>
      <c r="AH136" s="477"/>
      <c r="AI136" s="483"/>
    </row>
    <row r="137" spans="1:35" x14ac:dyDescent="0.2">
      <c r="A137" s="478" t="s">
        <v>577</v>
      </c>
      <c r="B137" s="476"/>
      <c r="C137" s="479"/>
      <c r="D137" s="479"/>
      <c r="E137" s="479"/>
      <c r="F137" s="479"/>
      <c r="G137" s="479"/>
      <c r="H137" s="479"/>
      <c r="I137" s="479"/>
      <c r="J137" s="479"/>
      <c r="K137" s="479"/>
      <c r="L137" s="479"/>
      <c r="M137" s="479"/>
      <c r="N137" s="480"/>
      <c r="O137" s="481"/>
      <c r="P137" s="482"/>
      <c r="Q137" s="476"/>
      <c r="R137" s="479"/>
      <c r="S137" s="479"/>
      <c r="T137" s="479"/>
      <c r="U137" s="479"/>
      <c r="V137" s="479"/>
      <c r="W137" s="479"/>
      <c r="X137" s="479"/>
      <c r="Y137" s="479"/>
      <c r="Z137" s="479"/>
      <c r="AA137" s="479"/>
      <c r="AB137" s="479"/>
      <c r="AC137" s="480"/>
      <c r="AD137" s="481"/>
      <c r="AE137" s="482"/>
      <c r="AF137" s="482"/>
      <c r="AG137" s="483"/>
      <c r="AH137" s="477"/>
      <c r="AI137" s="483"/>
    </row>
    <row r="138" spans="1:35" x14ac:dyDescent="0.2">
      <c r="A138" s="478" t="s">
        <v>642</v>
      </c>
      <c r="B138" s="476"/>
      <c r="C138" s="479"/>
      <c r="D138" s="479"/>
      <c r="E138" s="479"/>
      <c r="F138" s="479"/>
      <c r="G138" s="479"/>
      <c r="H138" s="479"/>
      <c r="I138" s="479"/>
      <c r="J138" s="479"/>
      <c r="K138" s="479"/>
      <c r="L138" s="479"/>
      <c r="M138" s="479"/>
      <c r="N138" s="480"/>
      <c r="O138" s="481"/>
      <c r="P138" s="482"/>
      <c r="Q138" s="476"/>
      <c r="R138" s="479"/>
      <c r="S138" s="479"/>
      <c r="T138" s="479"/>
      <c r="U138" s="479"/>
      <c r="V138" s="479"/>
      <c r="W138" s="479"/>
      <c r="X138" s="479"/>
      <c r="Y138" s="479"/>
      <c r="Z138" s="479"/>
      <c r="AA138" s="479"/>
      <c r="AB138" s="479"/>
      <c r="AC138" s="480"/>
      <c r="AD138" s="481"/>
      <c r="AE138" s="482"/>
      <c r="AF138" s="482"/>
      <c r="AG138" s="483"/>
      <c r="AH138" s="477"/>
      <c r="AI138" s="483"/>
    </row>
    <row r="139" spans="1:35" x14ac:dyDescent="0.2">
      <c r="A139" s="478" t="s">
        <v>578</v>
      </c>
      <c r="B139" s="476"/>
      <c r="C139" s="479"/>
      <c r="D139" s="479"/>
      <c r="E139" s="479"/>
      <c r="F139" s="479"/>
      <c r="G139" s="479"/>
      <c r="H139" s="479"/>
      <c r="I139" s="479"/>
      <c r="J139" s="479"/>
      <c r="K139" s="479"/>
      <c r="L139" s="479"/>
      <c r="M139" s="479"/>
      <c r="N139" s="480"/>
      <c r="O139" s="481"/>
      <c r="P139" s="482"/>
      <c r="Q139" s="476"/>
      <c r="R139" s="479"/>
      <c r="S139" s="479"/>
      <c r="T139" s="479"/>
      <c r="U139" s="479"/>
      <c r="V139" s="479"/>
      <c r="W139" s="479"/>
      <c r="X139" s="479"/>
      <c r="Y139" s="479"/>
      <c r="Z139" s="479"/>
      <c r="AA139" s="479"/>
      <c r="AB139" s="479"/>
      <c r="AC139" s="480"/>
      <c r="AD139" s="481"/>
      <c r="AE139" s="482"/>
      <c r="AF139" s="482"/>
      <c r="AG139" s="483"/>
      <c r="AH139" s="477"/>
      <c r="AI139" s="483"/>
    </row>
    <row r="140" spans="1:35" x14ac:dyDescent="0.2">
      <c r="A140" s="478" t="s">
        <v>579</v>
      </c>
      <c r="B140" s="476"/>
      <c r="C140" s="479"/>
      <c r="D140" s="479"/>
      <c r="E140" s="479"/>
      <c r="F140" s="479"/>
      <c r="G140" s="479"/>
      <c r="H140" s="479"/>
      <c r="I140" s="479"/>
      <c r="J140" s="479"/>
      <c r="K140" s="479"/>
      <c r="L140" s="479"/>
      <c r="M140" s="479"/>
      <c r="N140" s="480"/>
      <c r="O140" s="481"/>
      <c r="P140" s="482"/>
      <c r="Q140" s="476"/>
      <c r="R140" s="479"/>
      <c r="S140" s="479"/>
      <c r="T140" s="479"/>
      <c r="U140" s="479"/>
      <c r="V140" s="479"/>
      <c r="W140" s="479"/>
      <c r="X140" s="479"/>
      <c r="Y140" s="479"/>
      <c r="Z140" s="479"/>
      <c r="AA140" s="479"/>
      <c r="AB140" s="479"/>
      <c r="AC140" s="480"/>
      <c r="AD140" s="481"/>
      <c r="AE140" s="482"/>
      <c r="AF140" s="482"/>
      <c r="AG140" s="483"/>
      <c r="AH140" s="477"/>
      <c r="AI140" s="483"/>
    </row>
    <row r="141" spans="1:35" x14ac:dyDescent="0.2">
      <c r="A141" s="478" t="s">
        <v>580</v>
      </c>
      <c r="B141" s="476">
        <v>4</v>
      </c>
      <c r="C141" s="479">
        <v>2450</v>
      </c>
      <c r="D141" s="479">
        <v>1615</v>
      </c>
      <c r="E141" s="479"/>
      <c r="F141" s="479"/>
      <c r="G141" s="479"/>
      <c r="H141" s="479"/>
      <c r="I141" s="479"/>
      <c r="J141" s="479"/>
      <c r="K141" s="479">
        <f>SUM(C141:J141)</f>
        <v>4065</v>
      </c>
      <c r="L141" s="479">
        <v>1000</v>
      </c>
      <c r="M141" s="479">
        <v>1000</v>
      </c>
      <c r="N141" s="480">
        <f>L141+M141</f>
        <v>2000</v>
      </c>
      <c r="O141" s="481">
        <f>K141*12+N141</f>
        <v>50780</v>
      </c>
      <c r="P141" s="482">
        <f>O141*B141</f>
        <v>203120</v>
      </c>
      <c r="Q141" s="476">
        <v>4</v>
      </c>
      <c r="R141" s="479">
        <v>2450</v>
      </c>
      <c r="S141" s="479">
        <v>1615</v>
      </c>
      <c r="T141" s="479"/>
      <c r="U141" s="479"/>
      <c r="V141" s="479"/>
      <c r="W141" s="479"/>
      <c r="X141" s="479"/>
      <c r="Y141" s="479"/>
      <c r="Z141" s="479">
        <f>SUM(R141:Y141)</f>
        <v>4065</v>
      </c>
      <c r="AA141" s="479">
        <v>1000</v>
      </c>
      <c r="AB141" s="479">
        <v>1000</v>
      </c>
      <c r="AC141" s="480">
        <f>SUM(AA141:AB141)</f>
        <v>2000</v>
      </c>
      <c r="AD141" s="481">
        <f>Z141*12+AC141</f>
        <v>50780</v>
      </c>
      <c r="AE141" s="482">
        <f>AD141*Q141</f>
        <v>203120</v>
      </c>
      <c r="AF141" s="482">
        <f t="shared" ref="AF141:AG143" si="38">AD141-O141</f>
        <v>0</v>
      </c>
      <c r="AG141" s="483">
        <f t="shared" si="38"/>
        <v>0</v>
      </c>
      <c r="AH141" s="477">
        <v>4</v>
      </c>
      <c r="AI141" s="483">
        <v>203120</v>
      </c>
    </row>
    <row r="142" spans="1:35" x14ac:dyDescent="0.2">
      <c r="A142" s="478" t="s">
        <v>581</v>
      </c>
      <c r="B142" s="476">
        <v>7</v>
      </c>
      <c r="C142" s="479">
        <v>2340</v>
      </c>
      <c r="D142" s="479">
        <v>1530</v>
      </c>
      <c r="E142" s="479"/>
      <c r="F142" s="479"/>
      <c r="G142" s="479"/>
      <c r="H142" s="479"/>
      <c r="I142" s="479"/>
      <c r="J142" s="479"/>
      <c r="K142" s="479">
        <f>SUM(C142:J142)</f>
        <v>3870</v>
      </c>
      <c r="L142" s="479">
        <v>1000</v>
      </c>
      <c r="M142" s="479">
        <v>1000</v>
      </c>
      <c r="N142" s="480">
        <f>L142+M142</f>
        <v>2000</v>
      </c>
      <c r="O142" s="481">
        <f>K142*12+N142</f>
        <v>48440</v>
      </c>
      <c r="P142" s="482">
        <f>O142*B142</f>
        <v>339080</v>
      </c>
      <c r="Q142" s="476">
        <v>7</v>
      </c>
      <c r="R142" s="479">
        <v>2340</v>
      </c>
      <c r="S142" s="479">
        <v>1530</v>
      </c>
      <c r="T142" s="479"/>
      <c r="U142" s="479"/>
      <c r="V142" s="479"/>
      <c r="W142" s="479"/>
      <c r="X142" s="479"/>
      <c r="Y142" s="479"/>
      <c r="Z142" s="479">
        <f>SUM(R142:Y142)</f>
        <v>3870</v>
      </c>
      <c r="AA142" s="479">
        <v>1000</v>
      </c>
      <c r="AB142" s="479">
        <v>1000</v>
      </c>
      <c r="AC142" s="480">
        <f>SUM(AA142:AB142)</f>
        <v>2000</v>
      </c>
      <c r="AD142" s="481">
        <f>Z142*12+AC142</f>
        <v>48440</v>
      </c>
      <c r="AE142" s="482">
        <f>AD142*Q142</f>
        <v>339080</v>
      </c>
      <c r="AF142" s="482">
        <f t="shared" si="38"/>
        <v>0</v>
      </c>
      <c r="AG142" s="483">
        <f t="shared" si="38"/>
        <v>0</v>
      </c>
      <c r="AH142" s="477">
        <v>7</v>
      </c>
      <c r="AI142" s="483">
        <v>339080</v>
      </c>
    </row>
    <row r="143" spans="1:35" x14ac:dyDescent="0.2">
      <c r="A143" s="478" t="s">
        <v>12</v>
      </c>
      <c r="B143" s="476">
        <v>1</v>
      </c>
      <c r="C143" s="479">
        <v>2336</v>
      </c>
      <c r="D143" s="479">
        <v>1530</v>
      </c>
      <c r="E143" s="479"/>
      <c r="F143" s="479"/>
      <c r="G143" s="479"/>
      <c r="H143" s="479"/>
      <c r="I143" s="479"/>
      <c r="J143" s="479"/>
      <c r="K143" s="479">
        <f>SUM(C143:J143)</f>
        <v>3866</v>
      </c>
      <c r="L143" s="479">
        <v>1000</v>
      </c>
      <c r="M143" s="479">
        <v>1000</v>
      </c>
      <c r="N143" s="480">
        <f>L143+M143</f>
        <v>2000</v>
      </c>
      <c r="O143" s="481">
        <f>K143*12+N143</f>
        <v>48392</v>
      </c>
      <c r="P143" s="482">
        <f>O143*B143</f>
        <v>48392</v>
      </c>
      <c r="Q143" s="476">
        <v>1</v>
      </c>
      <c r="R143" s="479">
        <v>2336</v>
      </c>
      <c r="S143" s="479">
        <v>1530</v>
      </c>
      <c r="T143" s="479"/>
      <c r="U143" s="479"/>
      <c r="V143" s="479"/>
      <c r="W143" s="479"/>
      <c r="X143" s="479"/>
      <c r="Y143" s="479"/>
      <c r="Z143" s="479">
        <f>SUM(R143:Y143)</f>
        <v>3866</v>
      </c>
      <c r="AA143" s="479">
        <v>1000</v>
      </c>
      <c r="AB143" s="479">
        <v>1000</v>
      </c>
      <c r="AC143" s="480">
        <f>SUM(AA143:AB143)</f>
        <v>2000</v>
      </c>
      <c r="AD143" s="481">
        <f>Z143*12+AC143</f>
        <v>48392</v>
      </c>
      <c r="AE143" s="482">
        <f>AD143*Q143</f>
        <v>48392</v>
      </c>
      <c r="AF143" s="482">
        <f t="shared" si="38"/>
        <v>0</v>
      </c>
      <c r="AG143" s="483">
        <f t="shared" si="38"/>
        <v>0</v>
      </c>
      <c r="AH143" s="477">
        <v>1</v>
      </c>
      <c r="AI143" s="483">
        <v>48392</v>
      </c>
    </row>
    <row r="144" spans="1:35" x14ac:dyDescent="0.2">
      <c r="A144" s="478" t="s">
        <v>4</v>
      </c>
      <c r="B144" s="476">
        <f t="shared" ref="B144:Z144" si="39">SUM(B145:B150)</f>
        <v>33</v>
      </c>
      <c r="C144" s="479">
        <f t="shared" si="39"/>
        <v>8880</v>
      </c>
      <c r="D144" s="479">
        <f t="shared" si="39"/>
        <v>6780</v>
      </c>
      <c r="E144" s="479">
        <f t="shared" si="39"/>
        <v>0</v>
      </c>
      <c r="F144" s="479">
        <f t="shared" si="39"/>
        <v>0</v>
      </c>
      <c r="G144" s="479">
        <f t="shared" si="39"/>
        <v>0</v>
      </c>
      <c r="H144" s="479">
        <f t="shared" si="39"/>
        <v>0</v>
      </c>
      <c r="I144" s="479">
        <f t="shared" si="39"/>
        <v>0</v>
      </c>
      <c r="J144" s="479">
        <f t="shared" si="39"/>
        <v>0</v>
      </c>
      <c r="K144" s="479">
        <f t="shared" si="39"/>
        <v>15660</v>
      </c>
      <c r="L144" s="479">
        <f t="shared" si="39"/>
        <v>5000</v>
      </c>
      <c r="M144" s="479">
        <f t="shared" si="39"/>
        <v>4000</v>
      </c>
      <c r="N144" s="480">
        <f t="shared" si="39"/>
        <v>9000</v>
      </c>
      <c r="O144" s="481">
        <f t="shared" si="39"/>
        <v>196920</v>
      </c>
      <c r="P144" s="482">
        <f t="shared" si="39"/>
        <v>1294040</v>
      </c>
      <c r="Q144" s="476">
        <f t="shared" si="39"/>
        <v>33</v>
      </c>
      <c r="R144" s="479">
        <f t="shared" si="39"/>
        <v>8880</v>
      </c>
      <c r="S144" s="479">
        <f t="shared" si="39"/>
        <v>7040</v>
      </c>
      <c r="T144" s="479">
        <f t="shared" si="39"/>
        <v>0</v>
      </c>
      <c r="U144" s="479">
        <f t="shared" si="39"/>
        <v>0</v>
      </c>
      <c r="V144" s="479">
        <f t="shared" si="39"/>
        <v>0</v>
      </c>
      <c r="W144" s="479">
        <f t="shared" si="39"/>
        <v>0</v>
      </c>
      <c r="X144" s="479">
        <f t="shared" si="39"/>
        <v>0</v>
      </c>
      <c r="Y144" s="479">
        <f t="shared" si="39"/>
        <v>0</v>
      </c>
      <c r="Z144" s="479">
        <f t="shared" si="39"/>
        <v>15920</v>
      </c>
      <c r="AA144" s="479">
        <f>SUM(AA146:AA150)</f>
        <v>4000</v>
      </c>
      <c r="AB144" s="479">
        <f t="shared" ref="AB144:AI144" si="40">SUM(AB145:AB150)</f>
        <v>4000</v>
      </c>
      <c r="AC144" s="480">
        <f t="shared" si="40"/>
        <v>9000</v>
      </c>
      <c r="AD144" s="481">
        <f t="shared" si="40"/>
        <v>200040</v>
      </c>
      <c r="AE144" s="482">
        <f t="shared" si="40"/>
        <v>1311200</v>
      </c>
      <c r="AF144" s="482">
        <f t="shared" si="40"/>
        <v>3120</v>
      </c>
      <c r="AG144" s="483">
        <f t="shared" si="40"/>
        <v>17160</v>
      </c>
      <c r="AH144" s="477">
        <f t="shared" si="40"/>
        <v>33</v>
      </c>
      <c r="AI144" s="483">
        <f t="shared" si="40"/>
        <v>1311200</v>
      </c>
    </row>
    <row r="145" spans="1:35" x14ac:dyDescent="0.2">
      <c r="A145" s="478" t="s">
        <v>13</v>
      </c>
      <c r="B145" s="476">
        <v>1</v>
      </c>
      <c r="C145" s="479">
        <v>1850</v>
      </c>
      <c r="D145" s="479">
        <v>1530</v>
      </c>
      <c r="E145" s="479"/>
      <c r="F145" s="479"/>
      <c r="G145" s="479"/>
      <c r="H145" s="479"/>
      <c r="I145" s="479"/>
      <c r="J145" s="479"/>
      <c r="K145" s="479">
        <f t="shared" ref="K145:K150" si="41">SUM(C145:J145)</f>
        <v>3380</v>
      </c>
      <c r="L145" s="479">
        <v>1000</v>
      </c>
      <c r="M145" s="479"/>
      <c r="N145" s="480">
        <f t="shared" ref="N145:N150" si="42">L145+M145</f>
        <v>1000</v>
      </c>
      <c r="O145" s="481">
        <f t="shared" ref="O145:O150" si="43">K145*12+N145</f>
        <v>41560</v>
      </c>
      <c r="P145" s="482">
        <f t="shared" ref="P145:P150" si="44">O145*B145</f>
        <v>41560</v>
      </c>
      <c r="Q145" s="476">
        <v>1</v>
      </c>
      <c r="R145" s="479">
        <v>1850</v>
      </c>
      <c r="S145" s="479">
        <v>1530</v>
      </c>
      <c r="T145" s="479"/>
      <c r="U145" s="479"/>
      <c r="V145" s="479"/>
      <c r="W145" s="479"/>
      <c r="X145" s="479"/>
      <c r="Y145" s="479"/>
      <c r="Z145" s="479">
        <f t="shared" ref="Z145:Z150" si="45">SUM(R145:Y145)</f>
        <v>3380</v>
      </c>
      <c r="AA145" s="479">
        <v>1000</v>
      </c>
      <c r="AB145" s="479"/>
      <c r="AC145" s="480">
        <f t="shared" ref="AC145:AC150" si="46">SUM(AA145:AB145)</f>
        <v>1000</v>
      </c>
      <c r="AD145" s="481">
        <f t="shared" ref="AD145:AD150" si="47">Z145*12+AC145</f>
        <v>41560</v>
      </c>
      <c r="AE145" s="482">
        <f t="shared" ref="AE145:AE150" si="48">AD145*Q145</f>
        <v>41560</v>
      </c>
      <c r="AF145" s="482">
        <f t="shared" ref="AF145:AG150" si="49">AD145-O145</f>
        <v>0</v>
      </c>
      <c r="AG145" s="483">
        <f t="shared" si="49"/>
        <v>0</v>
      </c>
      <c r="AH145" s="477">
        <v>1</v>
      </c>
      <c r="AI145" s="483">
        <v>41560</v>
      </c>
    </row>
    <row r="146" spans="1:35" x14ac:dyDescent="0.2">
      <c r="A146" s="478" t="s">
        <v>582</v>
      </c>
      <c r="B146" s="476">
        <v>1</v>
      </c>
      <c r="C146" s="479">
        <v>1830</v>
      </c>
      <c r="D146" s="479">
        <v>1530</v>
      </c>
      <c r="E146" s="479"/>
      <c r="F146" s="479"/>
      <c r="G146" s="479"/>
      <c r="H146" s="479"/>
      <c r="I146" s="479"/>
      <c r="J146" s="479"/>
      <c r="K146" s="479">
        <f t="shared" si="41"/>
        <v>3360</v>
      </c>
      <c r="L146" s="479">
        <v>1000</v>
      </c>
      <c r="M146" s="479">
        <v>1000</v>
      </c>
      <c r="N146" s="480">
        <f t="shared" si="42"/>
        <v>2000</v>
      </c>
      <c r="O146" s="481">
        <f t="shared" si="43"/>
        <v>42320</v>
      </c>
      <c r="P146" s="482">
        <f t="shared" si="44"/>
        <v>42320</v>
      </c>
      <c r="Q146" s="476">
        <v>1</v>
      </c>
      <c r="R146" s="479">
        <v>1830</v>
      </c>
      <c r="S146" s="479">
        <v>1530</v>
      </c>
      <c r="T146" s="479"/>
      <c r="U146" s="479"/>
      <c r="V146" s="479"/>
      <c r="W146" s="479"/>
      <c r="X146" s="479"/>
      <c r="Y146" s="479"/>
      <c r="Z146" s="479">
        <f t="shared" si="45"/>
        <v>3360</v>
      </c>
      <c r="AA146" s="479">
        <v>1000</v>
      </c>
      <c r="AB146" s="479">
        <v>1000</v>
      </c>
      <c r="AC146" s="480">
        <f t="shared" si="46"/>
        <v>2000</v>
      </c>
      <c r="AD146" s="481">
        <f t="shared" si="47"/>
        <v>42320</v>
      </c>
      <c r="AE146" s="482">
        <f t="shared" si="48"/>
        <v>42320</v>
      </c>
      <c r="AF146" s="482">
        <f t="shared" si="49"/>
        <v>0</v>
      </c>
      <c r="AG146" s="483">
        <f t="shared" si="49"/>
        <v>0</v>
      </c>
      <c r="AH146" s="477">
        <v>1</v>
      </c>
      <c r="AI146" s="483">
        <v>42320</v>
      </c>
    </row>
    <row r="147" spans="1:35" x14ac:dyDescent="0.2">
      <c r="A147" s="478" t="s">
        <v>583</v>
      </c>
      <c r="B147" s="476">
        <v>7</v>
      </c>
      <c r="C147" s="479">
        <v>1780</v>
      </c>
      <c r="D147" s="479">
        <v>1100</v>
      </c>
      <c r="E147" s="479"/>
      <c r="F147" s="479"/>
      <c r="G147" s="479"/>
      <c r="H147" s="479"/>
      <c r="I147" s="479"/>
      <c r="J147" s="479"/>
      <c r="K147" s="479">
        <f t="shared" si="41"/>
        <v>2880</v>
      </c>
      <c r="L147" s="479">
        <v>1000</v>
      </c>
      <c r="M147" s="479">
        <v>1000</v>
      </c>
      <c r="N147" s="480">
        <f t="shared" si="42"/>
        <v>2000</v>
      </c>
      <c r="O147" s="481">
        <f t="shared" si="43"/>
        <v>36560</v>
      </c>
      <c r="P147" s="482">
        <f t="shared" si="44"/>
        <v>255920</v>
      </c>
      <c r="Q147" s="476">
        <v>7</v>
      </c>
      <c r="R147" s="479">
        <v>1780</v>
      </c>
      <c r="S147" s="479">
        <v>1230</v>
      </c>
      <c r="T147" s="479"/>
      <c r="U147" s="479"/>
      <c r="V147" s="479"/>
      <c r="W147" s="479"/>
      <c r="X147" s="479"/>
      <c r="Y147" s="479"/>
      <c r="Z147" s="479">
        <f t="shared" si="45"/>
        <v>3010</v>
      </c>
      <c r="AA147" s="479">
        <v>1000</v>
      </c>
      <c r="AB147" s="479">
        <v>1000</v>
      </c>
      <c r="AC147" s="480">
        <f t="shared" si="46"/>
        <v>2000</v>
      </c>
      <c r="AD147" s="481">
        <f t="shared" si="47"/>
        <v>38120</v>
      </c>
      <c r="AE147" s="482">
        <f t="shared" si="48"/>
        <v>266840</v>
      </c>
      <c r="AF147" s="482">
        <f t="shared" si="49"/>
        <v>1560</v>
      </c>
      <c r="AG147" s="483">
        <f t="shared" si="49"/>
        <v>10920</v>
      </c>
      <c r="AH147" s="477">
        <v>7</v>
      </c>
      <c r="AI147" s="483">
        <v>266840</v>
      </c>
    </row>
    <row r="148" spans="1:35" x14ac:dyDescent="0.2">
      <c r="A148" s="478" t="s">
        <v>584</v>
      </c>
      <c r="B148" s="476">
        <v>4</v>
      </c>
      <c r="C148" s="479">
        <v>1730</v>
      </c>
      <c r="D148" s="479">
        <v>1100</v>
      </c>
      <c r="E148" s="479"/>
      <c r="F148" s="479"/>
      <c r="G148" s="479"/>
      <c r="H148" s="479"/>
      <c r="I148" s="479"/>
      <c r="J148" s="479"/>
      <c r="K148" s="479">
        <f t="shared" si="41"/>
        <v>2830</v>
      </c>
      <c r="L148" s="479">
        <v>1000</v>
      </c>
      <c r="M148" s="479">
        <v>1000</v>
      </c>
      <c r="N148" s="480">
        <f t="shared" si="42"/>
        <v>2000</v>
      </c>
      <c r="O148" s="481">
        <f t="shared" si="43"/>
        <v>35960</v>
      </c>
      <c r="P148" s="482">
        <f t="shared" si="44"/>
        <v>143840</v>
      </c>
      <c r="Q148" s="476">
        <v>4</v>
      </c>
      <c r="R148" s="479">
        <v>1730</v>
      </c>
      <c r="S148" s="479">
        <v>1230</v>
      </c>
      <c r="T148" s="479"/>
      <c r="U148" s="479"/>
      <c r="V148" s="479"/>
      <c r="W148" s="479"/>
      <c r="X148" s="479"/>
      <c r="Y148" s="479"/>
      <c r="Z148" s="479">
        <f t="shared" si="45"/>
        <v>2960</v>
      </c>
      <c r="AA148" s="479">
        <v>1000</v>
      </c>
      <c r="AB148" s="479">
        <v>1000</v>
      </c>
      <c r="AC148" s="480">
        <f t="shared" si="46"/>
        <v>2000</v>
      </c>
      <c r="AD148" s="481">
        <f t="shared" si="47"/>
        <v>37520</v>
      </c>
      <c r="AE148" s="482">
        <f t="shared" si="48"/>
        <v>150080</v>
      </c>
      <c r="AF148" s="482">
        <f t="shared" si="49"/>
        <v>1560</v>
      </c>
      <c r="AG148" s="483">
        <f t="shared" si="49"/>
        <v>6240</v>
      </c>
      <c r="AH148" s="477">
        <v>4</v>
      </c>
      <c r="AI148" s="483">
        <v>150080</v>
      </c>
    </row>
    <row r="149" spans="1:35" x14ac:dyDescent="0.2">
      <c r="A149" s="478" t="s">
        <v>14</v>
      </c>
      <c r="B149" s="476">
        <v>20</v>
      </c>
      <c r="C149" s="479">
        <v>1690</v>
      </c>
      <c r="D149" s="479">
        <v>1520</v>
      </c>
      <c r="E149" s="479"/>
      <c r="F149" s="479"/>
      <c r="G149" s="479"/>
      <c r="H149" s="479"/>
      <c r="I149" s="479"/>
      <c r="J149" s="479"/>
      <c r="K149" s="479">
        <f t="shared" si="41"/>
        <v>3210</v>
      </c>
      <c r="L149" s="479">
        <v>1000</v>
      </c>
      <c r="M149" s="479">
        <v>1000</v>
      </c>
      <c r="N149" s="480">
        <f t="shared" si="42"/>
        <v>2000</v>
      </c>
      <c r="O149" s="481">
        <f t="shared" si="43"/>
        <v>40520</v>
      </c>
      <c r="P149" s="482">
        <f t="shared" si="44"/>
        <v>810400</v>
      </c>
      <c r="Q149" s="476">
        <v>20</v>
      </c>
      <c r="R149" s="479">
        <v>1690</v>
      </c>
      <c r="S149" s="479">
        <v>1520</v>
      </c>
      <c r="T149" s="479"/>
      <c r="U149" s="479"/>
      <c r="V149" s="479"/>
      <c r="W149" s="479"/>
      <c r="X149" s="479"/>
      <c r="Y149" s="479"/>
      <c r="Z149" s="479">
        <f t="shared" si="45"/>
        <v>3210</v>
      </c>
      <c r="AA149" s="479">
        <v>1000</v>
      </c>
      <c r="AB149" s="479">
        <v>1000</v>
      </c>
      <c r="AC149" s="480">
        <f t="shared" si="46"/>
        <v>2000</v>
      </c>
      <c r="AD149" s="481">
        <f t="shared" si="47"/>
        <v>40520</v>
      </c>
      <c r="AE149" s="482">
        <f t="shared" si="48"/>
        <v>810400</v>
      </c>
      <c r="AF149" s="482">
        <f t="shared" si="49"/>
        <v>0</v>
      </c>
      <c r="AG149" s="483">
        <f t="shared" si="49"/>
        <v>0</v>
      </c>
      <c r="AH149" s="477">
        <v>20</v>
      </c>
      <c r="AI149" s="483">
        <v>810400</v>
      </c>
    </row>
    <row r="150" spans="1:35" x14ac:dyDescent="0.2">
      <c r="A150" s="478" t="s">
        <v>585</v>
      </c>
      <c r="B150" s="476">
        <v>0</v>
      </c>
      <c r="C150" s="479"/>
      <c r="D150" s="479"/>
      <c r="E150" s="479"/>
      <c r="F150" s="479"/>
      <c r="G150" s="479"/>
      <c r="H150" s="479"/>
      <c r="I150" s="479"/>
      <c r="J150" s="479"/>
      <c r="K150" s="479">
        <f t="shared" si="41"/>
        <v>0</v>
      </c>
      <c r="L150" s="479">
        <v>0</v>
      </c>
      <c r="M150" s="479"/>
      <c r="N150" s="480">
        <f t="shared" si="42"/>
        <v>0</v>
      </c>
      <c r="O150" s="481">
        <f t="shared" si="43"/>
        <v>0</v>
      </c>
      <c r="P150" s="482">
        <f t="shared" si="44"/>
        <v>0</v>
      </c>
      <c r="Q150" s="476">
        <v>0</v>
      </c>
      <c r="R150" s="479"/>
      <c r="S150" s="479"/>
      <c r="T150" s="479"/>
      <c r="U150" s="479"/>
      <c r="V150" s="479"/>
      <c r="W150" s="479"/>
      <c r="X150" s="479"/>
      <c r="Y150" s="479"/>
      <c r="Z150" s="479">
        <f t="shared" si="45"/>
        <v>0</v>
      </c>
      <c r="AA150" s="479">
        <v>0</v>
      </c>
      <c r="AB150" s="479"/>
      <c r="AC150" s="480">
        <f t="shared" si="46"/>
        <v>0</v>
      </c>
      <c r="AD150" s="481">
        <f t="shared" si="47"/>
        <v>0</v>
      </c>
      <c r="AE150" s="482">
        <f t="shared" si="48"/>
        <v>0</v>
      </c>
      <c r="AF150" s="482">
        <f t="shared" si="49"/>
        <v>0</v>
      </c>
      <c r="AG150" s="483">
        <f t="shared" si="49"/>
        <v>0</v>
      </c>
      <c r="AH150" s="477">
        <v>0</v>
      </c>
      <c r="AI150" s="483">
        <v>0</v>
      </c>
    </row>
    <row r="151" spans="1:35" x14ac:dyDescent="0.2">
      <c r="A151" s="478" t="s">
        <v>5</v>
      </c>
      <c r="B151" s="476">
        <f t="shared" ref="B151:AI151" si="50">SUM(B152:B157)</f>
        <v>93</v>
      </c>
      <c r="C151" s="479">
        <f t="shared" si="50"/>
        <v>6351.2659999999996</v>
      </c>
      <c r="D151" s="479">
        <f t="shared" si="50"/>
        <v>5570</v>
      </c>
      <c r="E151" s="479">
        <f t="shared" si="50"/>
        <v>0</v>
      </c>
      <c r="F151" s="479">
        <f t="shared" si="50"/>
        <v>0</v>
      </c>
      <c r="G151" s="479">
        <f t="shared" si="50"/>
        <v>0</v>
      </c>
      <c r="H151" s="479">
        <f t="shared" si="50"/>
        <v>0</v>
      </c>
      <c r="I151" s="479">
        <f t="shared" si="50"/>
        <v>0</v>
      </c>
      <c r="J151" s="479">
        <f t="shared" si="50"/>
        <v>0</v>
      </c>
      <c r="K151" s="479">
        <f t="shared" si="50"/>
        <v>11921.266</v>
      </c>
      <c r="L151" s="479">
        <f t="shared" si="50"/>
        <v>6000</v>
      </c>
      <c r="M151" s="479">
        <f t="shared" si="50"/>
        <v>3000</v>
      </c>
      <c r="N151" s="480">
        <f t="shared" si="50"/>
        <v>9000</v>
      </c>
      <c r="O151" s="481">
        <f t="shared" si="50"/>
        <v>152055.19200000004</v>
      </c>
      <c r="P151" s="482">
        <f t="shared" si="50"/>
        <v>2560236.0800000005</v>
      </c>
      <c r="Q151" s="476">
        <f t="shared" si="50"/>
        <v>93</v>
      </c>
      <c r="R151" s="479">
        <f t="shared" si="50"/>
        <v>6351.2659999999996</v>
      </c>
      <c r="S151" s="479">
        <f t="shared" si="50"/>
        <v>7080</v>
      </c>
      <c r="T151" s="479">
        <f t="shared" si="50"/>
        <v>0</v>
      </c>
      <c r="U151" s="479">
        <f t="shared" si="50"/>
        <v>0</v>
      </c>
      <c r="V151" s="479">
        <f t="shared" si="50"/>
        <v>0</v>
      </c>
      <c r="W151" s="479">
        <f t="shared" si="50"/>
        <v>0</v>
      </c>
      <c r="X151" s="479">
        <f t="shared" si="50"/>
        <v>0</v>
      </c>
      <c r="Y151" s="479">
        <f t="shared" si="50"/>
        <v>0</v>
      </c>
      <c r="Z151" s="479">
        <f t="shared" si="50"/>
        <v>13431.266</v>
      </c>
      <c r="AA151" s="479">
        <f t="shared" si="50"/>
        <v>6000</v>
      </c>
      <c r="AB151" s="479">
        <f t="shared" si="50"/>
        <v>3000</v>
      </c>
      <c r="AC151" s="480">
        <f t="shared" si="50"/>
        <v>9000</v>
      </c>
      <c r="AD151" s="481">
        <f t="shared" si="50"/>
        <v>167175.19200000004</v>
      </c>
      <c r="AE151" s="482">
        <f t="shared" si="50"/>
        <v>2630716.0800000005</v>
      </c>
      <c r="AF151" s="482">
        <f t="shared" si="50"/>
        <v>15120.000000000002</v>
      </c>
      <c r="AG151" s="483">
        <f t="shared" si="50"/>
        <v>70480</v>
      </c>
      <c r="AH151" s="477">
        <f t="shared" si="50"/>
        <v>93</v>
      </c>
      <c r="AI151" s="483">
        <f t="shared" si="50"/>
        <v>2630716.0800000005</v>
      </c>
    </row>
    <row r="152" spans="1:35" x14ac:dyDescent="0.2">
      <c r="A152" s="478" t="s">
        <v>15</v>
      </c>
      <c r="B152" s="476">
        <v>40</v>
      </c>
      <c r="C152" s="479">
        <v>1056.7660000000001</v>
      </c>
      <c r="D152" s="479">
        <v>1070</v>
      </c>
      <c r="E152" s="479"/>
      <c r="F152" s="479"/>
      <c r="G152" s="479"/>
      <c r="H152" s="479"/>
      <c r="I152" s="479"/>
      <c r="J152" s="479"/>
      <c r="K152" s="479">
        <f t="shared" ref="K152:K157" si="51">SUM(C152:J152)</f>
        <v>2126.7660000000001</v>
      </c>
      <c r="L152" s="479">
        <v>1000</v>
      </c>
      <c r="M152" s="479">
        <v>1000</v>
      </c>
      <c r="N152" s="480">
        <f t="shared" ref="N152:N157" si="52">L152+M152</f>
        <v>2000</v>
      </c>
      <c r="O152" s="481">
        <f t="shared" ref="O152:O157" si="53">K152*12+N152</f>
        <v>27521.192000000003</v>
      </c>
      <c r="P152" s="482">
        <f t="shared" ref="P152:P157" si="54">O152*B152</f>
        <v>1100847.6800000002</v>
      </c>
      <c r="Q152" s="476">
        <v>40</v>
      </c>
      <c r="R152" s="479">
        <v>1056.7660000000001</v>
      </c>
      <c r="S152" s="479">
        <v>1170</v>
      </c>
      <c r="T152" s="479"/>
      <c r="U152" s="479"/>
      <c r="V152" s="479"/>
      <c r="W152" s="479"/>
      <c r="X152" s="479"/>
      <c r="Y152" s="479"/>
      <c r="Z152" s="479">
        <f t="shared" ref="Z152:Z157" si="55">SUM(R152:Y152)</f>
        <v>2226.7660000000001</v>
      </c>
      <c r="AA152" s="479">
        <v>1000</v>
      </c>
      <c r="AB152" s="479">
        <v>1000</v>
      </c>
      <c r="AC152" s="480">
        <f t="shared" ref="AC152:AC157" si="56">SUM(AA152:AB152)</f>
        <v>2000</v>
      </c>
      <c r="AD152" s="481">
        <f t="shared" ref="AD152:AD157" si="57">Z152*12+AA152</f>
        <v>27721.192000000003</v>
      </c>
      <c r="AE152" s="482">
        <f t="shared" ref="AE152:AE157" si="58">AD152*Q152</f>
        <v>1108847.6800000002</v>
      </c>
      <c r="AF152" s="482">
        <f t="shared" ref="AF152:AG157" si="59">AD152-O152</f>
        <v>200</v>
      </c>
      <c r="AG152" s="483">
        <f t="shared" si="59"/>
        <v>8000</v>
      </c>
      <c r="AH152" s="477">
        <v>40</v>
      </c>
      <c r="AI152" s="483">
        <v>1108847.6800000002</v>
      </c>
    </row>
    <row r="153" spans="1:35" x14ac:dyDescent="0.2">
      <c r="A153" s="478" t="s">
        <v>586</v>
      </c>
      <c r="B153" s="476">
        <v>7</v>
      </c>
      <c r="C153" s="479">
        <v>1051.9000000000001</v>
      </c>
      <c r="D153" s="479">
        <v>1070</v>
      </c>
      <c r="E153" s="479"/>
      <c r="F153" s="479"/>
      <c r="G153" s="479"/>
      <c r="H153" s="479"/>
      <c r="I153" s="479"/>
      <c r="J153" s="479"/>
      <c r="K153" s="479">
        <f t="shared" si="51"/>
        <v>2121.9</v>
      </c>
      <c r="L153" s="479">
        <v>1000</v>
      </c>
      <c r="M153" s="479">
        <v>1000</v>
      </c>
      <c r="N153" s="480">
        <f t="shared" si="52"/>
        <v>2000</v>
      </c>
      <c r="O153" s="481">
        <f t="shared" si="53"/>
        <v>27462.800000000003</v>
      </c>
      <c r="P153" s="482">
        <f t="shared" si="54"/>
        <v>192239.60000000003</v>
      </c>
      <c r="Q153" s="476">
        <v>7</v>
      </c>
      <c r="R153" s="479">
        <v>1051.9000000000001</v>
      </c>
      <c r="S153" s="479">
        <v>1170</v>
      </c>
      <c r="T153" s="479"/>
      <c r="U153" s="479"/>
      <c r="V153" s="479"/>
      <c r="W153" s="479"/>
      <c r="X153" s="479"/>
      <c r="Y153" s="479"/>
      <c r="Z153" s="479">
        <f t="shared" si="55"/>
        <v>2221.9</v>
      </c>
      <c r="AA153" s="479">
        <v>1000</v>
      </c>
      <c r="AB153" s="479">
        <v>1000</v>
      </c>
      <c r="AC153" s="480">
        <f t="shared" si="56"/>
        <v>2000</v>
      </c>
      <c r="AD153" s="481">
        <f t="shared" si="57"/>
        <v>27662.800000000003</v>
      </c>
      <c r="AE153" s="482">
        <f t="shared" si="58"/>
        <v>193639.60000000003</v>
      </c>
      <c r="AF153" s="482">
        <f t="shared" si="59"/>
        <v>200</v>
      </c>
      <c r="AG153" s="483">
        <f t="shared" si="59"/>
        <v>1400</v>
      </c>
      <c r="AH153" s="477">
        <v>7</v>
      </c>
      <c r="AI153" s="483">
        <v>193639.60000000003</v>
      </c>
    </row>
    <row r="154" spans="1:35" x14ac:dyDescent="0.2">
      <c r="A154" s="478" t="s">
        <v>587</v>
      </c>
      <c r="B154" s="476">
        <v>9</v>
      </c>
      <c r="C154" s="479">
        <v>1046.9000000000001</v>
      </c>
      <c r="D154" s="479">
        <v>1070</v>
      </c>
      <c r="E154" s="479"/>
      <c r="F154" s="479"/>
      <c r="G154" s="479"/>
      <c r="H154" s="479"/>
      <c r="I154" s="479"/>
      <c r="J154" s="479"/>
      <c r="K154" s="479">
        <f t="shared" si="51"/>
        <v>2116.9</v>
      </c>
      <c r="L154" s="479">
        <v>1000</v>
      </c>
      <c r="M154" s="479">
        <v>1000</v>
      </c>
      <c r="N154" s="480">
        <f t="shared" si="52"/>
        <v>2000</v>
      </c>
      <c r="O154" s="481">
        <f t="shared" si="53"/>
        <v>27402.800000000003</v>
      </c>
      <c r="P154" s="482">
        <f t="shared" si="54"/>
        <v>246625.2</v>
      </c>
      <c r="Q154" s="476">
        <v>9</v>
      </c>
      <c r="R154" s="479">
        <v>1046.9000000000001</v>
      </c>
      <c r="S154" s="479">
        <v>1170</v>
      </c>
      <c r="T154" s="479"/>
      <c r="U154" s="479"/>
      <c r="V154" s="479"/>
      <c r="W154" s="479"/>
      <c r="X154" s="479"/>
      <c r="Y154" s="479"/>
      <c r="Z154" s="479">
        <f t="shared" si="55"/>
        <v>2216.9</v>
      </c>
      <c r="AA154" s="479">
        <v>1000</v>
      </c>
      <c r="AB154" s="479">
        <v>1000</v>
      </c>
      <c r="AC154" s="480">
        <f t="shared" si="56"/>
        <v>2000</v>
      </c>
      <c r="AD154" s="481">
        <f t="shared" si="57"/>
        <v>27602.800000000003</v>
      </c>
      <c r="AE154" s="482">
        <f t="shared" si="58"/>
        <v>248425.2</v>
      </c>
      <c r="AF154" s="482">
        <f t="shared" si="59"/>
        <v>200</v>
      </c>
      <c r="AG154" s="483">
        <f t="shared" si="59"/>
        <v>1800</v>
      </c>
      <c r="AH154" s="477">
        <v>9</v>
      </c>
      <c r="AI154" s="483">
        <v>248425.2</v>
      </c>
    </row>
    <row r="155" spans="1:35" x14ac:dyDescent="0.2">
      <c r="A155" s="478" t="s">
        <v>588</v>
      </c>
      <c r="B155" s="476">
        <v>1</v>
      </c>
      <c r="C155" s="479">
        <v>1041.9000000000001</v>
      </c>
      <c r="D155" s="479">
        <v>170</v>
      </c>
      <c r="E155" s="479"/>
      <c r="F155" s="479"/>
      <c r="G155" s="479"/>
      <c r="H155" s="479"/>
      <c r="I155" s="479"/>
      <c r="J155" s="479"/>
      <c r="K155" s="479">
        <f t="shared" si="51"/>
        <v>1211.9000000000001</v>
      </c>
      <c r="L155" s="479">
        <v>1000</v>
      </c>
      <c r="M155" s="479"/>
      <c r="N155" s="480">
        <f t="shared" si="52"/>
        <v>1000</v>
      </c>
      <c r="O155" s="481">
        <f t="shared" si="53"/>
        <v>15542.800000000001</v>
      </c>
      <c r="P155" s="482">
        <f t="shared" si="54"/>
        <v>15542.800000000001</v>
      </c>
      <c r="Q155" s="476">
        <v>1</v>
      </c>
      <c r="R155" s="479">
        <v>1041.9000000000001</v>
      </c>
      <c r="S155" s="479">
        <v>1170</v>
      </c>
      <c r="T155" s="479"/>
      <c r="U155" s="479"/>
      <c r="V155" s="479"/>
      <c r="W155" s="479"/>
      <c r="X155" s="479"/>
      <c r="Y155" s="479"/>
      <c r="Z155" s="479">
        <f t="shared" si="55"/>
        <v>2211.9</v>
      </c>
      <c r="AA155" s="479">
        <v>1000</v>
      </c>
      <c r="AB155" s="479"/>
      <c r="AC155" s="480">
        <f t="shared" si="56"/>
        <v>1000</v>
      </c>
      <c r="AD155" s="481">
        <f t="shared" si="57"/>
        <v>27542.800000000003</v>
      </c>
      <c r="AE155" s="482">
        <f t="shared" si="58"/>
        <v>27542.800000000003</v>
      </c>
      <c r="AF155" s="482">
        <f t="shared" si="59"/>
        <v>12000.000000000002</v>
      </c>
      <c r="AG155" s="483">
        <f t="shared" si="59"/>
        <v>12000.000000000002</v>
      </c>
      <c r="AH155" s="477">
        <v>1</v>
      </c>
      <c r="AI155" s="483">
        <v>27542.800000000003</v>
      </c>
    </row>
    <row r="156" spans="1:35" x14ac:dyDescent="0.2">
      <c r="A156" s="478" t="s">
        <v>643</v>
      </c>
      <c r="B156" s="476">
        <v>34</v>
      </c>
      <c r="C156" s="479">
        <v>1131.9000000000001</v>
      </c>
      <c r="D156" s="479">
        <v>1120</v>
      </c>
      <c r="E156" s="479"/>
      <c r="F156" s="479"/>
      <c r="G156" s="479"/>
      <c r="H156" s="479"/>
      <c r="I156" s="479"/>
      <c r="J156" s="479"/>
      <c r="K156" s="479">
        <f t="shared" si="51"/>
        <v>2251.9</v>
      </c>
      <c r="L156" s="479">
        <v>1000</v>
      </c>
      <c r="M156" s="479"/>
      <c r="N156" s="480">
        <f t="shared" si="52"/>
        <v>1000</v>
      </c>
      <c r="O156" s="481">
        <f t="shared" si="53"/>
        <v>28022.800000000003</v>
      </c>
      <c r="P156" s="482">
        <f t="shared" si="54"/>
        <v>952775.20000000007</v>
      </c>
      <c r="Q156" s="476">
        <v>34</v>
      </c>
      <c r="R156" s="479">
        <v>1131.9000000000001</v>
      </c>
      <c r="S156" s="479">
        <v>1230</v>
      </c>
      <c r="T156" s="479"/>
      <c r="U156" s="479"/>
      <c r="V156" s="479"/>
      <c r="W156" s="479"/>
      <c r="X156" s="479"/>
      <c r="Y156" s="479"/>
      <c r="Z156" s="479">
        <f t="shared" si="55"/>
        <v>2361.9</v>
      </c>
      <c r="AA156" s="479">
        <v>1000</v>
      </c>
      <c r="AB156" s="479"/>
      <c r="AC156" s="480">
        <f t="shared" si="56"/>
        <v>1000</v>
      </c>
      <c r="AD156" s="481">
        <f t="shared" si="57"/>
        <v>29342.800000000003</v>
      </c>
      <c r="AE156" s="482">
        <f t="shared" si="58"/>
        <v>997655.20000000007</v>
      </c>
      <c r="AF156" s="482">
        <f t="shared" si="59"/>
        <v>1320</v>
      </c>
      <c r="AG156" s="483">
        <f t="shared" si="59"/>
        <v>44880</v>
      </c>
      <c r="AH156" s="477">
        <v>34</v>
      </c>
      <c r="AI156" s="483">
        <v>997655.20000000007</v>
      </c>
    </row>
    <row r="157" spans="1:35" x14ac:dyDescent="0.2">
      <c r="A157" s="478" t="s">
        <v>589</v>
      </c>
      <c r="B157" s="476">
        <v>2</v>
      </c>
      <c r="C157" s="479">
        <v>1021.9</v>
      </c>
      <c r="D157" s="479">
        <v>1070</v>
      </c>
      <c r="E157" s="479"/>
      <c r="F157" s="479"/>
      <c r="G157" s="479"/>
      <c r="H157" s="479"/>
      <c r="I157" s="479"/>
      <c r="J157" s="479"/>
      <c r="K157" s="479">
        <f t="shared" si="51"/>
        <v>2091.9</v>
      </c>
      <c r="L157" s="479">
        <v>1000</v>
      </c>
      <c r="M157" s="479"/>
      <c r="N157" s="480">
        <f t="shared" si="52"/>
        <v>1000</v>
      </c>
      <c r="O157" s="481">
        <f t="shared" si="53"/>
        <v>26102.800000000003</v>
      </c>
      <c r="P157" s="482">
        <f t="shared" si="54"/>
        <v>52205.600000000006</v>
      </c>
      <c r="Q157" s="476">
        <v>2</v>
      </c>
      <c r="R157" s="479">
        <v>1021.9</v>
      </c>
      <c r="S157" s="479">
        <v>1170</v>
      </c>
      <c r="T157" s="479"/>
      <c r="U157" s="479"/>
      <c r="V157" s="479"/>
      <c r="W157" s="479"/>
      <c r="X157" s="479"/>
      <c r="Y157" s="479"/>
      <c r="Z157" s="479">
        <f t="shared" si="55"/>
        <v>2191.9</v>
      </c>
      <c r="AA157" s="479">
        <v>1000</v>
      </c>
      <c r="AB157" s="479"/>
      <c r="AC157" s="480">
        <f t="shared" si="56"/>
        <v>1000</v>
      </c>
      <c r="AD157" s="481">
        <f t="shared" si="57"/>
        <v>27302.800000000003</v>
      </c>
      <c r="AE157" s="482">
        <f t="shared" si="58"/>
        <v>54605.600000000006</v>
      </c>
      <c r="AF157" s="482">
        <f t="shared" si="59"/>
        <v>1200</v>
      </c>
      <c r="AG157" s="483">
        <f t="shared" si="59"/>
        <v>2400</v>
      </c>
      <c r="AH157" s="477">
        <v>2</v>
      </c>
      <c r="AI157" s="483">
        <v>54605.600000000006</v>
      </c>
    </row>
    <row r="158" spans="1:35" x14ac:dyDescent="0.2">
      <c r="A158" s="478" t="s">
        <v>6</v>
      </c>
      <c r="B158" s="476">
        <f t="shared" ref="B158:AI158" si="60">SUM(B159:B164)</f>
        <v>474</v>
      </c>
      <c r="C158" s="479">
        <f t="shared" si="60"/>
        <v>4043</v>
      </c>
      <c r="D158" s="479">
        <f t="shared" si="60"/>
        <v>4280</v>
      </c>
      <c r="E158" s="479">
        <f t="shared" si="60"/>
        <v>0</v>
      </c>
      <c r="F158" s="479">
        <f t="shared" si="60"/>
        <v>0</v>
      </c>
      <c r="G158" s="479">
        <f t="shared" si="60"/>
        <v>0</v>
      </c>
      <c r="H158" s="479">
        <f t="shared" si="60"/>
        <v>0</v>
      </c>
      <c r="I158" s="479">
        <f t="shared" si="60"/>
        <v>0</v>
      </c>
      <c r="J158" s="479">
        <f t="shared" si="60"/>
        <v>0</v>
      </c>
      <c r="K158" s="479">
        <f t="shared" si="60"/>
        <v>8323</v>
      </c>
      <c r="L158" s="479">
        <f t="shared" si="60"/>
        <v>4000</v>
      </c>
      <c r="M158" s="479">
        <f t="shared" si="60"/>
        <v>0</v>
      </c>
      <c r="N158" s="480">
        <f t="shared" si="60"/>
        <v>4000</v>
      </c>
      <c r="O158" s="481">
        <f t="shared" si="60"/>
        <v>103876</v>
      </c>
      <c r="P158" s="482">
        <f t="shared" si="60"/>
        <v>12272916</v>
      </c>
      <c r="Q158" s="476">
        <f t="shared" si="60"/>
        <v>474</v>
      </c>
      <c r="R158" s="479">
        <f t="shared" si="60"/>
        <v>4043</v>
      </c>
      <c r="S158" s="479">
        <f t="shared" si="60"/>
        <v>4600</v>
      </c>
      <c r="T158" s="479">
        <f t="shared" si="60"/>
        <v>0</v>
      </c>
      <c r="U158" s="479">
        <f t="shared" si="60"/>
        <v>0</v>
      </c>
      <c r="V158" s="479">
        <f t="shared" si="60"/>
        <v>0</v>
      </c>
      <c r="W158" s="479">
        <f t="shared" si="60"/>
        <v>0</v>
      </c>
      <c r="X158" s="479">
        <f t="shared" si="60"/>
        <v>0</v>
      </c>
      <c r="Y158" s="479">
        <f t="shared" si="60"/>
        <v>0</v>
      </c>
      <c r="Z158" s="479">
        <f t="shared" si="60"/>
        <v>8643</v>
      </c>
      <c r="AA158" s="479">
        <f t="shared" si="60"/>
        <v>4000</v>
      </c>
      <c r="AB158" s="479">
        <f t="shared" si="60"/>
        <v>0</v>
      </c>
      <c r="AC158" s="480">
        <f t="shared" si="60"/>
        <v>4000</v>
      </c>
      <c r="AD158" s="481">
        <f t="shared" si="60"/>
        <v>107716</v>
      </c>
      <c r="AE158" s="482">
        <f t="shared" si="60"/>
        <v>12727956</v>
      </c>
      <c r="AF158" s="482">
        <f t="shared" si="60"/>
        <v>3840</v>
      </c>
      <c r="AG158" s="483">
        <f t="shared" si="60"/>
        <v>455040</v>
      </c>
      <c r="AH158" s="477">
        <f t="shared" si="60"/>
        <v>474</v>
      </c>
      <c r="AI158" s="483">
        <f t="shared" si="60"/>
        <v>12727956</v>
      </c>
    </row>
    <row r="159" spans="1:35" x14ac:dyDescent="0.2">
      <c r="A159" s="478" t="s">
        <v>16</v>
      </c>
      <c r="B159" s="476">
        <v>67</v>
      </c>
      <c r="C159" s="479">
        <v>1022</v>
      </c>
      <c r="D159" s="479">
        <v>1070</v>
      </c>
      <c r="E159" s="479"/>
      <c r="F159" s="479"/>
      <c r="G159" s="479"/>
      <c r="H159" s="479"/>
      <c r="I159" s="479"/>
      <c r="J159" s="479"/>
      <c r="K159" s="479">
        <f t="shared" ref="K159:K164" si="61">SUM(C159:J159)</f>
        <v>2092</v>
      </c>
      <c r="L159" s="479">
        <v>1000</v>
      </c>
      <c r="M159" s="479"/>
      <c r="N159" s="480">
        <f t="shared" ref="N159:N164" si="62">L159+M159</f>
        <v>1000</v>
      </c>
      <c r="O159" s="481">
        <f t="shared" ref="O159:O164" si="63">K159*12+N159</f>
        <v>26104</v>
      </c>
      <c r="P159" s="482">
        <f t="shared" ref="P159:P164" si="64">O159*B159</f>
        <v>1748968</v>
      </c>
      <c r="Q159" s="476">
        <v>67</v>
      </c>
      <c r="R159" s="479">
        <v>1022</v>
      </c>
      <c r="S159" s="479">
        <v>1150</v>
      </c>
      <c r="T159" s="479"/>
      <c r="U159" s="479"/>
      <c r="V159" s="479"/>
      <c r="W159" s="479"/>
      <c r="X159" s="479"/>
      <c r="Y159" s="479"/>
      <c r="Z159" s="479">
        <f t="shared" ref="Z159:Z164" si="65">SUM(R159:Y159)</f>
        <v>2172</v>
      </c>
      <c r="AA159" s="479">
        <v>1000</v>
      </c>
      <c r="AB159" s="479"/>
      <c r="AC159" s="480">
        <f t="shared" ref="AC159:AC164" si="66">SUM(AA159:AB159)</f>
        <v>1000</v>
      </c>
      <c r="AD159" s="481">
        <f t="shared" ref="AD159:AD164" si="67">Z159*12+AA159</f>
        <v>27064</v>
      </c>
      <c r="AE159" s="482">
        <f t="shared" ref="AE159:AE164" si="68">AD159*Q159</f>
        <v>1813288</v>
      </c>
      <c r="AF159" s="482">
        <f t="shared" ref="AF159:AG164" si="69">AD159-O159</f>
        <v>960</v>
      </c>
      <c r="AG159" s="483">
        <f t="shared" si="69"/>
        <v>64320</v>
      </c>
      <c r="AH159" s="477">
        <v>67</v>
      </c>
      <c r="AI159" s="483">
        <v>1813288</v>
      </c>
    </row>
    <row r="160" spans="1:35" x14ac:dyDescent="0.2">
      <c r="A160" s="478" t="s">
        <v>590</v>
      </c>
      <c r="B160" s="476">
        <v>82</v>
      </c>
      <c r="C160" s="479">
        <v>1017</v>
      </c>
      <c r="D160" s="479">
        <v>1070</v>
      </c>
      <c r="E160" s="479"/>
      <c r="F160" s="479"/>
      <c r="G160" s="479"/>
      <c r="H160" s="479"/>
      <c r="I160" s="479"/>
      <c r="J160" s="479"/>
      <c r="K160" s="479">
        <f t="shared" si="61"/>
        <v>2087</v>
      </c>
      <c r="L160" s="479">
        <v>1000</v>
      </c>
      <c r="M160" s="479"/>
      <c r="N160" s="480">
        <f t="shared" si="62"/>
        <v>1000</v>
      </c>
      <c r="O160" s="481">
        <f t="shared" si="63"/>
        <v>26044</v>
      </c>
      <c r="P160" s="482">
        <f t="shared" si="64"/>
        <v>2135608</v>
      </c>
      <c r="Q160" s="476">
        <v>82</v>
      </c>
      <c r="R160" s="479">
        <v>1017</v>
      </c>
      <c r="S160" s="479">
        <v>1150</v>
      </c>
      <c r="T160" s="479"/>
      <c r="U160" s="479"/>
      <c r="V160" s="479"/>
      <c r="W160" s="479"/>
      <c r="X160" s="479"/>
      <c r="Y160" s="479"/>
      <c r="Z160" s="479">
        <f t="shared" si="65"/>
        <v>2167</v>
      </c>
      <c r="AA160" s="479">
        <v>1000</v>
      </c>
      <c r="AB160" s="479"/>
      <c r="AC160" s="480">
        <f t="shared" si="66"/>
        <v>1000</v>
      </c>
      <c r="AD160" s="481">
        <f t="shared" si="67"/>
        <v>27004</v>
      </c>
      <c r="AE160" s="482">
        <f t="shared" si="68"/>
        <v>2214328</v>
      </c>
      <c r="AF160" s="482">
        <f t="shared" si="69"/>
        <v>960</v>
      </c>
      <c r="AG160" s="483">
        <f t="shared" si="69"/>
        <v>78720</v>
      </c>
      <c r="AH160" s="477">
        <v>82</v>
      </c>
      <c r="AI160" s="483">
        <v>2214328</v>
      </c>
    </row>
    <row r="161" spans="1:35" x14ac:dyDescent="0.2">
      <c r="A161" s="478" t="s">
        <v>591</v>
      </c>
      <c r="B161" s="476">
        <v>0</v>
      </c>
      <c r="C161" s="479"/>
      <c r="D161" s="479"/>
      <c r="E161" s="479"/>
      <c r="F161" s="479"/>
      <c r="G161" s="479"/>
      <c r="H161" s="479"/>
      <c r="I161" s="479"/>
      <c r="J161" s="479"/>
      <c r="K161" s="479">
        <f t="shared" si="61"/>
        <v>0</v>
      </c>
      <c r="L161" s="479">
        <v>0</v>
      </c>
      <c r="M161" s="479"/>
      <c r="N161" s="480">
        <f t="shared" si="62"/>
        <v>0</v>
      </c>
      <c r="O161" s="481">
        <f t="shared" si="63"/>
        <v>0</v>
      </c>
      <c r="P161" s="482">
        <f t="shared" si="64"/>
        <v>0</v>
      </c>
      <c r="Q161" s="476">
        <v>0</v>
      </c>
      <c r="R161" s="479"/>
      <c r="S161" s="479"/>
      <c r="T161" s="479"/>
      <c r="U161" s="479"/>
      <c r="V161" s="479"/>
      <c r="W161" s="479"/>
      <c r="X161" s="479"/>
      <c r="Y161" s="479"/>
      <c r="Z161" s="479">
        <f t="shared" si="65"/>
        <v>0</v>
      </c>
      <c r="AA161" s="479">
        <v>0</v>
      </c>
      <c r="AB161" s="479"/>
      <c r="AC161" s="480">
        <f t="shared" si="66"/>
        <v>0</v>
      </c>
      <c r="AD161" s="481">
        <f t="shared" si="67"/>
        <v>0</v>
      </c>
      <c r="AE161" s="482">
        <f t="shared" si="68"/>
        <v>0</v>
      </c>
      <c r="AF161" s="482">
        <f t="shared" si="69"/>
        <v>0</v>
      </c>
      <c r="AG161" s="483">
        <f t="shared" si="69"/>
        <v>0</v>
      </c>
      <c r="AH161" s="477">
        <v>0</v>
      </c>
      <c r="AI161" s="483">
        <v>0</v>
      </c>
    </row>
    <row r="162" spans="1:35" x14ac:dyDescent="0.2">
      <c r="A162" s="478" t="s">
        <v>644</v>
      </c>
      <c r="B162" s="476">
        <v>17</v>
      </c>
      <c r="C162" s="479">
        <v>1007</v>
      </c>
      <c r="D162" s="479">
        <v>1070</v>
      </c>
      <c r="E162" s="479"/>
      <c r="F162" s="479"/>
      <c r="G162" s="479"/>
      <c r="H162" s="479"/>
      <c r="I162" s="479"/>
      <c r="J162" s="479"/>
      <c r="K162" s="479">
        <f t="shared" si="61"/>
        <v>2077</v>
      </c>
      <c r="L162" s="479">
        <v>1000</v>
      </c>
      <c r="M162" s="479"/>
      <c r="N162" s="480">
        <f t="shared" si="62"/>
        <v>1000</v>
      </c>
      <c r="O162" s="481">
        <f t="shared" si="63"/>
        <v>25924</v>
      </c>
      <c r="P162" s="482">
        <f t="shared" si="64"/>
        <v>440708</v>
      </c>
      <c r="Q162" s="476">
        <v>17</v>
      </c>
      <c r="R162" s="479">
        <v>1007</v>
      </c>
      <c r="S162" s="479">
        <v>1150</v>
      </c>
      <c r="T162" s="479"/>
      <c r="U162" s="479"/>
      <c r="V162" s="479"/>
      <c r="W162" s="479"/>
      <c r="X162" s="479"/>
      <c r="Y162" s="479"/>
      <c r="Z162" s="479">
        <f t="shared" si="65"/>
        <v>2157</v>
      </c>
      <c r="AA162" s="479">
        <v>1000</v>
      </c>
      <c r="AB162" s="479"/>
      <c r="AC162" s="480">
        <f t="shared" si="66"/>
        <v>1000</v>
      </c>
      <c r="AD162" s="481">
        <f t="shared" si="67"/>
        <v>26884</v>
      </c>
      <c r="AE162" s="482">
        <f t="shared" si="68"/>
        <v>457028</v>
      </c>
      <c r="AF162" s="482">
        <f t="shared" si="69"/>
        <v>960</v>
      </c>
      <c r="AG162" s="483">
        <f t="shared" si="69"/>
        <v>16320</v>
      </c>
      <c r="AH162" s="477">
        <v>17</v>
      </c>
      <c r="AI162" s="483">
        <v>457028</v>
      </c>
    </row>
    <row r="163" spans="1:35" x14ac:dyDescent="0.2">
      <c r="A163" s="478" t="s">
        <v>645</v>
      </c>
      <c r="B163" s="476">
        <v>308</v>
      </c>
      <c r="C163" s="479">
        <v>997</v>
      </c>
      <c r="D163" s="479">
        <v>1070</v>
      </c>
      <c r="E163" s="479"/>
      <c r="F163" s="479"/>
      <c r="G163" s="479"/>
      <c r="H163" s="479"/>
      <c r="I163" s="479"/>
      <c r="J163" s="479"/>
      <c r="K163" s="479">
        <f t="shared" si="61"/>
        <v>2067</v>
      </c>
      <c r="L163" s="479">
        <v>1000</v>
      </c>
      <c r="M163" s="479"/>
      <c r="N163" s="480">
        <f t="shared" si="62"/>
        <v>1000</v>
      </c>
      <c r="O163" s="481">
        <f t="shared" si="63"/>
        <v>25804</v>
      </c>
      <c r="P163" s="482">
        <f t="shared" si="64"/>
        <v>7947632</v>
      </c>
      <c r="Q163" s="476">
        <v>308</v>
      </c>
      <c r="R163" s="479">
        <v>997</v>
      </c>
      <c r="S163" s="479">
        <v>1150</v>
      </c>
      <c r="T163" s="479"/>
      <c r="U163" s="479"/>
      <c r="V163" s="479"/>
      <c r="W163" s="479"/>
      <c r="X163" s="479"/>
      <c r="Y163" s="479"/>
      <c r="Z163" s="479">
        <f t="shared" si="65"/>
        <v>2147</v>
      </c>
      <c r="AA163" s="479">
        <v>1000</v>
      </c>
      <c r="AB163" s="479"/>
      <c r="AC163" s="480">
        <f t="shared" si="66"/>
        <v>1000</v>
      </c>
      <c r="AD163" s="481">
        <f t="shared" si="67"/>
        <v>26764</v>
      </c>
      <c r="AE163" s="482">
        <f t="shared" si="68"/>
        <v>8243312</v>
      </c>
      <c r="AF163" s="482">
        <f t="shared" si="69"/>
        <v>960</v>
      </c>
      <c r="AG163" s="483">
        <f t="shared" si="69"/>
        <v>295680</v>
      </c>
      <c r="AH163" s="477">
        <v>308</v>
      </c>
      <c r="AI163" s="483">
        <v>8243312</v>
      </c>
    </row>
    <row r="164" spans="1:35" x14ac:dyDescent="0.2">
      <c r="A164" s="478" t="s">
        <v>646</v>
      </c>
      <c r="B164" s="476">
        <v>0</v>
      </c>
      <c r="C164" s="479"/>
      <c r="D164" s="479"/>
      <c r="E164" s="479"/>
      <c r="F164" s="479"/>
      <c r="G164" s="479"/>
      <c r="H164" s="479"/>
      <c r="I164" s="479"/>
      <c r="J164" s="479"/>
      <c r="K164" s="479">
        <f t="shared" si="61"/>
        <v>0</v>
      </c>
      <c r="L164" s="479">
        <v>0</v>
      </c>
      <c r="M164" s="479"/>
      <c r="N164" s="480">
        <f t="shared" si="62"/>
        <v>0</v>
      </c>
      <c r="O164" s="481">
        <f t="shared" si="63"/>
        <v>0</v>
      </c>
      <c r="P164" s="482">
        <f t="shared" si="64"/>
        <v>0</v>
      </c>
      <c r="Q164" s="476">
        <v>0</v>
      </c>
      <c r="R164" s="479"/>
      <c r="S164" s="479"/>
      <c r="T164" s="479"/>
      <c r="U164" s="479"/>
      <c r="V164" s="479"/>
      <c r="W164" s="479"/>
      <c r="X164" s="479"/>
      <c r="Y164" s="479"/>
      <c r="Z164" s="479">
        <f t="shared" si="65"/>
        <v>0</v>
      </c>
      <c r="AA164" s="479">
        <v>0</v>
      </c>
      <c r="AB164" s="479"/>
      <c r="AC164" s="480">
        <f t="shared" si="66"/>
        <v>0</v>
      </c>
      <c r="AD164" s="481">
        <f t="shared" si="67"/>
        <v>0</v>
      </c>
      <c r="AE164" s="482">
        <f t="shared" si="68"/>
        <v>0</v>
      </c>
      <c r="AF164" s="482">
        <f t="shared" si="69"/>
        <v>0</v>
      </c>
      <c r="AG164" s="483">
        <f t="shared" si="69"/>
        <v>0</v>
      </c>
      <c r="AH164" s="477">
        <v>0</v>
      </c>
      <c r="AI164" s="483">
        <v>0</v>
      </c>
    </row>
    <row r="165" spans="1:35" x14ac:dyDescent="0.2">
      <c r="A165" s="478" t="s">
        <v>647</v>
      </c>
      <c r="B165" s="476"/>
      <c r="C165" s="479"/>
      <c r="D165" s="479"/>
      <c r="E165" s="479"/>
      <c r="F165" s="479"/>
      <c r="G165" s="479"/>
      <c r="H165" s="479"/>
      <c r="I165" s="479"/>
      <c r="J165" s="479"/>
      <c r="K165" s="479"/>
      <c r="L165" s="479"/>
      <c r="M165" s="479"/>
      <c r="N165" s="480"/>
      <c r="O165" s="481"/>
      <c r="P165" s="482"/>
      <c r="Q165" s="476"/>
      <c r="R165" s="479"/>
      <c r="S165" s="479"/>
      <c r="T165" s="479"/>
      <c r="U165" s="479"/>
      <c r="V165" s="479"/>
      <c r="W165" s="479"/>
      <c r="X165" s="479"/>
      <c r="Y165" s="479"/>
      <c r="Z165" s="479"/>
      <c r="AA165" s="479"/>
      <c r="AB165" s="479"/>
      <c r="AC165" s="480"/>
      <c r="AD165" s="481"/>
      <c r="AE165" s="482"/>
      <c r="AF165" s="482"/>
      <c r="AG165" s="483"/>
      <c r="AH165" s="477"/>
      <c r="AI165" s="483"/>
    </row>
    <row r="166" spans="1:35" x14ac:dyDescent="0.2">
      <c r="A166" s="484" t="s">
        <v>648</v>
      </c>
      <c r="B166" s="485">
        <f t="shared" ref="B166:AI166" si="70">SUM(B167:B199)</f>
        <v>3990</v>
      </c>
      <c r="C166" s="486">
        <f t="shared" si="70"/>
        <v>63283.790999999997</v>
      </c>
      <c r="D166" s="486">
        <f t="shared" si="70"/>
        <v>0</v>
      </c>
      <c r="E166" s="486">
        <f t="shared" si="70"/>
        <v>0</v>
      </c>
      <c r="F166" s="486">
        <f t="shared" si="70"/>
        <v>0</v>
      </c>
      <c r="G166" s="486">
        <f t="shared" si="70"/>
        <v>0</v>
      </c>
      <c r="H166" s="486">
        <f t="shared" si="70"/>
        <v>0</v>
      </c>
      <c r="I166" s="486">
        <f t="shared" si="70"/>
        <v>0</v>
      </c>
      <c r="J166" s="486">
        <f t="shared" si="70"/>
        <v>0</v>
      </c>
      <c r="K166" s="486">
        <f t="shared" si="70"/>
        <v>63283.790999999997</v>
      </c>
      <c r="L166" s="486">
        <f t="shared" si="70"/>
        <v>18000</v>
      </c>
      <c r="M166" s="486">
        <f t="shared" si="70"/>
        <v>0</v>
      </c>
      <c r="N166" s="486">
        <f t="shared" si="70"/>
        <v>18000</v>
      </c>
      <c r="O166" s="486">
        <f t="shared" si="70"/>
        <v>777405.49200000009</v>
      </c>
      <c r="P166" s="486">
        <f t="shared" si="70"/>
        <v>144731480.62400001</v>
      </c>
      <c r="Q166" s="485">
        <f t="shared" si="70"/>
        <v>4159</v>
      </c>
      <c r="R166" s="486">
        <f t="shared" si="70"/>
        <v>64312.164784999994</v>
      </c>
      <c r="S166" s="486">
        <f t="shared" si="70"/>
        <v>0</v>
      </c>
      <c r="T166" s="486">
        <f t="shared" si="70"/>
        <v>0</v>
      </c>
      <c r="U166" s="486">
        <f t="shared" si="70"/>
        <v>0</v>
      </c>
      <c r="V166" s="486">
        <f t="shared" si="70"/>
        <v>0</v>
      </c>
      <c r="W166" s="486">
        <f t="shared" si="70"/>
        <v>0</v>
      </c>
      <c r="X166" s="486">
        <f t="shared" si="70"/>
        <v>0</v>
      </c>
      <c r="Y166" s="486">
        <f t="shared" si="70"/>
        <v>0</v>
      </c>
      <c r="Z166" s="486">
        <f t="shared" si="70"/>
        <v>64312.164784999994</v>
      </c>
      <c r="AA166" s="486">
        <f t="shared" si="70"/>
        <v>18000</v>
      </c>
      <c r="AB166" s="486">
        <f t="shared" si="70"/>
        <v>0</v>
      </c>
      <c r="AC166" s="486">
        <f t="shared" si="70"/>
        <v>18000</v>
      </c>
      <c r="AD166" s="486">
        <f t="shared" si="70"/>
        <v>789745.97741999989</v>
      </c>
      <c r="AE166" s="486">
        <f t="shared" si="70"/>
        <v>154946145.91977999</v>
      </c>
      <c r="AF166" s="486">
        <f t="shared" si="70"/>
        <v>12340.48541999999</v>
      </c>
      <c r="AG166" s="486">
        <f t="shared" si="70"/>
        <v>10214665.295779994</v>
      </c>
      <c r="AH166" s="485">
        <f t="shared" si="70"/>
        <v>4159</v>
      </c>
      <c r="AI166" s="486">
        <f t="shared" si="70"/>
        <v>149263105.92495999</v>
      </c>
    </row>
    <row r="167" spans="1:35" x14ac:dyDescent="0.2">
      <c r="A167" s="478" t="s">
        <v>668</v>
      </c>
      <c r="B167" s="476">
        <v>18</v>
      </c>
      <c r="C167" s="479">
        <v>6930</v>
      </c>
      <c r="D167" s="479"/>
      <c r="E167" s="479"/>
      <c r="F167" s="479"/>
      <c r="G167" s="479"/>
      <c r="H167" s="479"/>
      <c r="I167" s="479"/>
      <c r="J167" s="479"/>
      <c r="K167" s="479">
        <f t="shared" ref="K167:K199" si="71">SUM(C167:J167)</f>
        <v>6930</v>
      </c>
      <c r="L167" s="479">
        <v>1000</v>
      </c>
      <c r="M167" s="479"/>
      <c r="N167" s="480">
        <f t="shared" ref="N167:N199" si="72">L167+M167</f>
        <v>1000</v>
      </c>
      <c r="O167" s="481">
        <f t="shared" ref="O167:O199" si="73">K167*12+N167</f>
        <v>84160</v>
      </c>
      <c r="P167" s="482">
        <f>O167*B167</f>
        <v>1514880</v>
      </c>
      <c r="Q167" s="476">
        <v>18</v>
      </c>
      <c r="R167" s="479">
        <v>6940</v>
      </c>
      <c r="S167" s="479"/>
      <c r="T167" s="479"/>
      <c r="U167" s="479"/>
      <c r="V167" s="479"/>
      <c r="W167" s="479"/>
      <c r="X167" s="479"/>
      <c r="Y167" s="479"/>
      <c r="Z167" s="479">
        <f t="shared" ref="Z167:Z199" si="74">SUM(R167:Y167)</f>
        <v>6940</v>
      </c>
      <c r="AA167" s="479">
        <v>1000</v>
      </c>
      <c r="AB167" s="479"/>
      <c r="AC167" s="480">
        <f t="shared" ref="AC167:AC199" si="75">SUM(AA167:AB167)</f>
        <v>1000</v>
      </c>
      <c r="AD167" s="481">
        <f t="shared" ref="AD167:AD199" si="76">Z167*12+AA167</f>
        <v>84280</v>
      </c>
      <c r="AE167" s="482">
        <f>AD167*Q167</f>
        <v>1517040</v>
      </c>
      <c r="AF167" s="482">
        <f t="shared" ref="AF167:AF199" si="77">AD167-O167</f>
        <v>120</v>
      </c>
      <c r="AG167" s="483">
        <f t="shared" ref="AG167:AG199" si="78">AE167-P167</f>
        <v>2160</v>
      </c>
      <c r="AH167" s="477">
        <v>18</v>
      </c>
      <c r="AI167" s="483">
        <v>1517040</v>
      </c>
    </row>
    <row r="168" spans="1:35" x14ac:dyDescent="0.2">
      <c r="A168" s="478" t="s">
        <v>669</v>
      </c>
      <c r="B168" s="476">
        <v>36</v>
      </c>
      <c r="C168" s="479">
        <v>6120</v>
      </c>
      <c r="D168" s="479"/>
      <c r="E168" s="479"/>
      <c r="F168" s="479"/>
      <c r="G168" s="479"/>
      <c r="H168" s="479"/>
      <c r="I168" s="479"/>
      <c r="J168" s="479"/>
      <c r="K168" s="479">
        <f t="shared" si="71"/>
        <v>6120</v>
      </c>
      <c r="L168" s="479">
        <v>1000</v>
      </c>
      <c r="M168" s="479"/>
      <c r="N168" s="480">
        <f t="shared" si="72"/>
        <v>1000</v>
      </c>
      <c r="O168" s="481">
        <f t="shared" si="73"/>
        <v>74440</v>
      </c>
      <c r="P168" s="482">
        <f>O168*B168</f>
        <v>2679840</v>
      </c>
      <c r="Q168" s="476">
        <v>36</v>
      </c>
      <c r="R168" s="479">
        <v>6220</v>
      </c>
      <c r="S168" s="479"/>
      <c r="T168" s="479"/>
      <c r="U168" s="479"/>
      <c r="V168" s="479"/>
      <c r="W168" s="479"/>
      <c r="X168" s="479"/>
      <c r="Y168" s="479"/>
      <c r="Z168" s="479">
        <f t="shared" si="74"/>
        <v>6220</v>
      </c>
      <c r="AA168" s="479">
        <v>1000</v>
      </c>
      <c r="AB168" s="479"/>
      <c r="AC168" s="480">
        <f t="shared" si="75"/>
        <v>1000</v>
      </c>
      <c r="AD168" s="481">
        <f t="shared" si="76"/>
        <v>75640</v>
      </c>
      <c r="AE168" s="482">
        <f>AD168*Q168</f>
        <v>2723040</v>
      </c>
      <c r="AF168" s="482">
        <f t="shared" si="77"/>
        <v>1200</v>
      </c>
      <c r="AG168" s="483">
        <f t="shared" si="78"/>
        <v>43200</v>
      </c>
      <c r="AH168" s="477">
        <v>36</v>
      </c>
      <c r="AI168" s="483">
        <v>2723040</v>
      </c>
    </row>
    <row r="169" spans="1:35" x14ac:dyDescent="0.2">
      <c r="A169" s="478" t="s">
        <v>670</v>
      </c>
      <c r="B169" s="476">
        <v>0</v>
      </c>
      <c r="C169" s="479"/>
      <c r="D169" s="479"/>
      <c r="E169" s="479"/>
      <c r="F169" s="479"/>
      <c r="G169" s="479"/>
      <c r="H169" s="479"/>
      <c r="I169" s="479"/>
      <c r="J169" s="479"/>
      <c r="K169" s="479">
        <f t="shared" si="71"/>
        <v>0</v>
      </c>
      <c r="L169" s="479">
        <v>0</v>
      </c>
      <c r="M169" s="479"/>
      <c r="N169" s="480">
        <f t="shared" si="72"/>
        <v>0</v>
      </c>
      <c r="O169" s="481">
        <f t="shared" si="73"/>
        <v>0</v>
      </c>
      <c r="P169" s="482">
        <f>O169*B169</f>
        <v>0</v>
      </c>
      <c r="Q169" s="476">
        <v>0</v>
      </c>
      <c r="R169" s="479"/>
      <c r="S169" s="479"/>
      <c r="T169" s="479"/>
      <c r="U169" s="479"/>
      <c r="V169" s="479"/>
      <c r="W169" s="479"/>
      <c r="X169" s="479"/>
      <c r="Y169" s="479"/>
      <c r="Z169" s="479">
        <f t="shared" si="74"/>
        <v>0</v>
      </c>
      <c r="AA169" s="479">
        <v>0</v>
      </c>
      <c r="AB169" s="479"/>
      <c r="AC169" s="480">
        <f t="shared" si="75"/>
        <v>0</v>
      </c>
      <c r="AD169" s="481">
        <f t="shared" si="76"/>
        <v>0</v>
      </c>
      <c r="AE169" s="482">
        <f>AD169*Q169</f>
        <v>0</v>
      </c>
      <c r="AF169" s="482">
        <f t="shared" si="77"/>
        <v>0</v>
      </c>
      <c r="AG169" s="483">
        <f t="shared" si="78"/>
        <v>0</v>
      </c>
      <c r="AH169" s="477">
        <v>0</v>
      </c>
      <c r="AI169" s="483">
        <v>0</v>
      </c>
    </row>
    <row r="170" spans="1:35" x14ac:dyDescent="0.2">
      <c r="A170" s="478" t="s">
        <v>671</v>
      </c>
      <c r="B170" s="476">
        <v>77</v>
      </c>
      <c r="C170" s="479">
        <v>6302.3</v>
      </c>
      <c r="D170" s="479"/>
      <c r="E170" s="479"/>
      <c r="F170" s="479"/>
      <c r="G170" s="479"/>
      <c r="H170" s="479"/>
      <c r="I170" s="479"/>
      <c r="J170" s="479"/>
      <c r="K170" s="479">
        <f t="shared" si="71"/>
        <v>6302.3</v>
      </c>
      <c r="L170" s="479">
        <v>1000</v>
      </c>
      <c r="M170" s="479"/>
      <c r="N170" s="480">
        <f t="shared" si="72"/>
        <v>1000</v>
      </c>
      <c r="O170" s="481">
        <f t="shared" si="73"/>
        <v>76627.600000000006</v>
      </c>
      <c r="P170" s="482">
        <f>O170*B170</f>
        <v>5900325.2000000002</v>
      </c>
      <c r="Q170" s="476">
        <v>77</v>
      </c>
      <c r="R170" s="479">
        <v>6402</v>
      </c>
      <c r="S170" s="479"/>
      <c r="T170" s="479"/>
      <c r="U170" s="479"/>
      <c r="V170" s="479"/>
      <c r="W170" s="479"/>
      <c r="X170" s="479"/>
      <c r="Y170" s="479"/>
      <c r="Z170" s="479">
        <f t="shared" si="74"/>
        <v>6402</v>
      </c>
      <c r="AA170" s="479">
        <v>1000</v>
      </c>
      <c r="AB170" s="479"/>
      <c r="AC170" s="480">
        <f t="shared" si="75"/>
        <v>1000</v>
      </c>
      <c r="AD170" s="481">
        <f t="shared" si="76"/>
        <v>77824</v>
      </c>
      <c r="AE170" s="482">
        <f>(AD170*Q170)-0.16</f>
        <v>5992447.8399999999</v>
      </c>
      <c r="AF170" s="482">
        <f t="shared" si="77"/>
        <v>1196.3999999999942</v>
      </c>
      <c r="AG170" s="483">
        <f t="shared" si="78"/>
        <v>92122.639999999665</v>
      </c>
      <c r="AH170" s="477">
        <v>77</v>
      </c>
      <c r="AI170" s="483">
        <v>5992447.8399999999</v>
      </c>
    </row>
    <row r="171" spans="1:35" x14ac:dyDescent="0.2">
      <c r="A171" s="478" t="s">
        <v>672</v>
      </c>
      <c r="B171" s="476">
        <v>166</v>
      </c>
      <c r="C171" s="479">
        <v>3849.9</v>
      </c>
      <c r="D171" s="479"/>
      <c r="E171" s="479"/>
      <c r="F171" s="479"/>
      <c r="G171" s="479"/>
      <c r="H171" s="479"/>
      <c r="I171" s="479"/>
      <c r="J171" s="479"/>
      <c r="K171" s="479">
        <f t="shared" si="71"/>
        <v>3849.9</v>
      </c>
      <c r="L171" s="479">
        <v>1000</v>
      </c>
      <c r="M171" s="479"/>
      <c r="N171" s="480">
        <f t="shared" si="72"/>
        <v>1000</v>
      </c>
      <c r="O171" s="481">
        <f t="shared" si="73"/>
        <v>47198.8</v>
      </c>
      <c r="P171" s="482">
        <f>(O171*B171)-0.08</f>
        <v>7835000.7200000007</v>
      </c>
      <c r="Q171" s="476">
        <v>166</v>
      </c>
      <c r="R171" s="479">
        <v>3899.9</v>
      </c>
      <c r="S171" s="479"/>
      <c r="T171" s="479"/>
      <c r="U171" s="479"/>
      <c r="V171" s="479"/>
      <c r="W171" s="479"/>
      <c r="X171" s="479"/>
      <c r="Y171" s="479"/>
      <c r="Z171" s="479">
        <f t="shared" si="74"/>
        <v>3899.9</v>
      </c>
      <c r="AA171" s="479">
        <v>1000</v>
      </c>
      <c r="AB171" s="479"/>
      <c r="AC171" s="480">
        <f t="shared" si="75"/>
        <v>1000</v>
      </c>
      <c r="AD171" s="481">
        <f t="shared" si="76"/>
        <v>47798.8</v>
      </c>
      <c r="AE171" s="482">
        <f t="shared" ref="AE171:AE181" si="79">AD171*Q171</f>
        <v>7934600.8000000007</v>
      </c>
      <c r="AF171" s="482">
        <f t="shared" si="77"/>
        <v>600</v>
      </c>
      <c r="AG171" s="483">
        <f t="shared" si="78"/>
        <v>99600.080000000075</v>
      </c>
      <c r="AH171" s="477">
        <v>166</v>
      </c>
      <c r="AI171" s="483">
        <v>7934600.8000000007</v>
      </c>
    </row>
    <row r="172" spans="1:35" x14ac:dyDescent="0.2">
      <c r="A172" s="478" t="s">
        <v>673</v>
      </c>
      <c r="B172" s="476">
        <v>0</v>
      </c>
      <c r="C172" s="479"/>
      <c r="D172" s="479"/>
      <c r="E172" s="479"/>
      <c r="F172" s="479"/>
      <c r="G172" s="479"/>
      <c r="H172" s="479"/>
      <c r="I172" s="479"/>
      <c r="J172" s="479"/>
      <c r="K172" s="479">
        <f t="shared" si="71"/>
        <v>0</v>
      </c>
      <c r="L172" s="479">
        <v>0</v>
      </c>
      <c r="M172" s="479"/>
      <c r="N172" s="480">
        <f t="shared" si="72"/>
        <v>0</v>
      </c>
      <c r="O172" s="481">
        <f t="shared" si="73"/>
        <v>0</v>
      </c>
      <c r="P172" s="482">
        <f t="shared" ref="P172:P181" si="80">O172*B172</f>
        <v>0</v>
      </c>
      <c r="Q172" s="476">
        <v>0</v>
      </c>
      <c r="R172" s="479"/>
      <c r="S172" s="479"/>
      <c r="T172" s="479"/>
      <c r="U172" s="479"/>
      <c r="V172" s="479"/>
      <c r="W172" s="479"/>
      <c r="X172" s="479"/>
      <c r="Y172" s="479"/>
      <c r="Z172" s="479">
        <f t="shared" si="74"/>
        <v>0</v>
      </c>
      <c r="AA172" s="479">
        <v>0</v>
      </c>
      <c r="AB172" s="479"/>
      <c r="AC172" s="480">
        <f t="shared" si="75"/>
        <v>0</v>
      </c>
      <c r="AD172" s="481">
        <f t="shared" si="76"/>
        <v>0</v>
      </c>
      <c r="AE172" s="482">
        <f t="shared" si="79"/>
        <v>0</v>
      </c>
      <c r="AF172" s="482">
        <f t="shared" si="77"/>
        <v>0</v>
      </c>
      <c r="AG172" s="483">
        <f t="shared" si="78"/>
        <v>0</v>
      </c>
      <c r="AH172" s="477">
        <v>0</v>
      </c>
      <c r="AI172" s="483">
        <v>0</v>
      </c>
    </row>
    <row r="173" spans="1:35" x14ac:dyDescent="0.2">
      <c r="A173" s="478" t="s">
        <v>674</v>
      </c>
      <c r="B173" s="476">
        <v>143</v>
      </c>
      <c r="C173" s="479">
        <v>4786</v>
      </c>
      <c r="D173" s="479"/>
      <c r="E173" s="479"/>
      <c r="F173" s="479"/>
      <c r="G173" s="479"/>
      <c r="H173" s="479"/>
      <c r="I173" s="479"/>
      <c r="J173" s="479"/>
      <c r="K173" s="479">
        <f t="shared" si="71"/>
        <v>4786</v>
      </c>
      <c r="L173" s="479">
        <v>1000</v>
      </c>
      <c r="M173" s="479"/>
      <c r="N173" s="480">
        <f t="shared" si="72"/>
        <v>1000</v>
      </c>
      <c r="O173" s="481">
        <f t="shared" si="73"/>
        <v>58432</v>
      </c>
      <c r="P173" s="482">
        <f t="shared" si="80"/>
        <v>8355776</v>
      </c>
      <c r="Q173" s="476">
        <v>143</v>
      </c>
      <c r="R173" s="479">
        <v>4797</v>
      </c>
      <c r="S173" s="479"/>
      <c r="T173" s="479"/>
      <c r="U173" s="479"/>
      <c r="V173" s="479"/>
      <c r="W173" s="479"/>
      <c r="X173" s="479"/>
      <c r="Y173" s="479"/>
      <c r="Z173" s="479">
        <f t="shared" si="74"/>
        <v>4797</v>
      </c>
      <c r="AA173" s="479">
        <v>1000</v>
      </c>
      <c r="AB173" s="479"/>
      <c r="AC173" s="480">
        <f t="shared" si="75"/>
        <v>1000</v>
      </c>
      <c r="AD173" s="481">
        <f t="shared" si="76"/>
        <v>58564</v>
      </c>
      <c r="AE173" s="482">
        <f t="shared" si="79"/>
        <v>8374652</v>
      </c>
      <c r="AF173" s="482">
        <f t="shared" si="77"/>
        <v>132</v>
      </c>
      <c r="AG173" s="483">
        <f t="shared" si="78"/>
        <v>18876</v>
      </c>
      <c r="AH173" s="477">
        <v>143</v>
      </c>
      <c r="AI173" s="483">
        <v>8374652</v>
      </c>
    </row>
    <row r="174" spans="1:35" x14ac:dyDescent="0.2">
      <c r="A174" s="478" t="s">
        <v>675</v>
      </c>
      <c r="B174" s="476">
        <v>325</v>
      </c>
      <c r="C174" s="479">
        <v>3423</v>
      </c>
      <c r="D174" s="479"/>
      <c r="E174" s="479"/>
      <c r="F174" s="479"/>
      <c r="G174" s="479"/>
      <c r="H174" s="479"/>
      <c r="I174" s="479"/>
      <c r="J174" s="479"/>
      <c r="K174" s="479">
        <f t="shared" si="71"/>
        <v>3423</v>
      </c>
      <c r="L174" s="479">
        <v>1000</v>
      </c>
      <c r="M174" s="479"/>
      <c r="N174" s="480">
        <f t="shared" si="72"/>
        <v>1000</v>
      </c>
      <c r="O174" s="481">
        <f t="shared" si="73"/>
        <v>42076</v>
      </c>
      <c r="P174" s="482">
        <f t="shared" si="80"/>
        <v>13674700</v>
      </c>
      <c r="Q174" s="476">
        <v>325</v>
      </c>
      <c r="R174" s="479">
        <v>3463.19</v>
      </c>
      <c r="S174" s="479"/>
      <c r="T174" s="479"/>
      <c r="U174" s="479"/>
      <c r="V174" s="479"/>
      <c r="W174" s="479"/>
      <c r="X174" s="479"/>
      <c r="Y174" s="479"/>
      <c r="Z174" s="479">
        <f t="shared" si="74"/>
        <v>3463.19</v>
      </c>
      <c r="AA174" s="479">
        <v>1000</v>
      </c>
      <c r="AB174" s="479"/>
      <c r="AC174" s="480">
        <f t="shared" si="75"/>
        <v>1000</v>
      </c>
      <c r="AD174" s="481">
        <f t="shared" si="76"/>
        <v>42558.28</v>
      </c>
      <c r="AE174" s="482">
        <f t="shared" si="79"/>
        <v>13831441</v>
      </c>
      <c r="AF174" s="482">
        <f t="shared" si="77"/>
        <v>482.27999999999884</v>
      </c>
      <c r="AG174" s="483">
        <f t="shared" si="78"/>
        <v>156741</v>
      </c>
      <c r="AH174" s="477">
        <v>325</v>
      </c>
      <c r="AI174" s="483">
        <v>13831441</v>
      </c>
    </row>
    <row r="175" spans="1:35" x14ac:dyDescent="0.2">
      <c r="A175" s="478" t="s">
        <v>676</v>
      </c>
      <c r="B175" s="476">
        <v>0</v>
      </c>
      <c r="C175" s="479"/>
      <c r="D175" s="479"/>
      <c r="E175" s="479"/>
      <c r="F175" s="479"/>
      <c r="G175" s="479"/>
      <c r="H175" s="479"/>
      <c r="I175" s="479"/>
      <c r="J175" s="479"/>
      <c r="K175" s="479">
        <f t="shared" si="71"/>
        <v>0</v>
      </c>
      <c r="L175" s="479">
        <v>0</v>
      </c>
      <c r="M175" s="479"/>
      <c r="N175" s="480">
        <f t="shared" si="72"/>
        <v>0</v>
      </c>
      <c r="O175" s="481">
        <f t="shared" si="73"/>
        <v>0</v>
      </c>
      <c r="P175" s="482">
        <f t="shared" si="80"/>
        <v>0</v>
      </c>
      <c r="Q175" s="476">
        <v>0</v>
      </c>
      <c r="R175" s="479"/>
      <c r="S175" s="479"/>
      <c r="T175" s="479"/>
      <c r="U175" s="479"/>
      <c r="V175" s="479"/>
      <c r="W175" s="479"/>
      <c r="X175" s="479"/>
      <c r="Y175" s="479"/>
      <c r="Z175" s="479">
        <f t="shared" si="74"/>
        <v>0</v>
      </c>
      <c r="AA175" s="479">
        <v>0</v>
      </c>
      <c r="AB175" s="479"/>
      <c r="AC175" s="480">
        <f t="shared" si="75"/>
        <v>0</v>
      </c>
      <c r="AD175" s="481">
        <f t="shared" si="76"/>
        <v>0</v>
      </c>
      <c r="AE175" s="482">
        <f t="shared" si="79"/>
        <v>0</v>
      </c>
      <c r="AF175" s="482">
        <f t="shared" si="77"/>
        <v>0</v>
      </c>
      <c r="AG175" s="483">
        <f t="shared" si="78"/>
        <v>0</v>
      </c>
      <c r="AH175" s="477">
        <v>0</v>
      </c>
      <c r="AI175" s="483">
        <v>0</v>
      </c>
    </row>
    <row r="176" spans="1:35" x14ac:dyDescent="0.2">
      <c r="A176" s="478" t="s">
        <v>677</v>
      </c>
      <c r="B176" s="476">
        <v>52</v>
      </c>
      <c r="C176" s="479">
        <v>4115.3999999999996</v>
      </c>
      <c r="D176" s="479"/>
      <c r="E176" s="479"/>
      <c r="F176" s="479"/>
      <c r="G176" s="479"/>
      <c r="H176" s="479"/>
      <c r="I176" s="479"/>
      <c r="J176" s="479"/>
      <c r="K176" s="479">
        <f t="shared" si="71"/>
        <v>4115.3999999999996</v>
      </c>
      <c r="L176" s="479">
        <v>1000</v>
      </c>
      <c r="M176" s="479"/>
      <c r="N176" s="480">
        <f t="shared" si="72"/>
        <v>1000</v>
      </c>
      <c r="O176" s="481">
        <f t="shared" si="73"/>
        <v>50384.799999999996</v>
      </c>
      <c r="P176" s="482">
        <f t="shared" si="80"/>
        <v>2620009.5999999996</v>
      </c>
      <c r="Q176" s="476">
        <v>52</v>
      </c>
      <c r="R176" s="479">
        <v>4214.9950399999998</v>
      </c>
      <c r="S176" s="479"/>
      <c r="T176" s="479"/>
      <c r="U176" s="479"/>
      <c r="V176" s="479"/>
      <c r="W176" s="479"/>
      <c r="X176" s="479"/>
      <c r="Y176" s="479"/>
      <c r="Z176" s="479">
        <f t="shared" si="74"/>
        <v>4214.9950399999998</v>
      </c>
      <c r="AA176" s="479">
        <v>1000</v>
      </c>
      <c r="AB176" s="479"/>
      <c r="AC176" s="480">
        <f t="shared" si="75"/>
        <v>1000</v>
      </c>
      <c r="AD176" s="481">
        <f t="shared" si="76"/>
        <v>51579.940479999997</v>
      </c>
      <c r="AE176" s="482">
        <f t="shared" si="79"/>
        <v>2682156.90496</v>
      </c>
      <c r="AF176" s="482">
        <f t="shared" si="77"/>
        <v>1195.1404800000018</v>
      </c>
      <c r="AG176" s="483">
        <f t="shared" si="78"/>
        <v>62147.304960000329</v>
      </c>
      <c r="AH176" s="477">
        <v>52</v>
      </c>
      <c r="AI176" s="483">
        <v>2682156.90496</v>
      </c>
    </row>
    <row r="177" spans="1:35" x14ac:dyDescent="0.2">
      <c r="A177" s="478" t="s">
        <v>678</v>
      </c>
      <c r="B177" s="476">
        <v>559</v>
      </c>
      <c r="C177" s="479">
        <v>2963.01</v>
      </c>
      <c r="D177" s="479"/>
      <c r="E177" s="479"/>
      <c r="F177" s="479"/>
      <c r="G177" s="479"/>
      <c r="H177" s="479"/>
      <c r="I177" s="479"/>
      <c r="J177" s="479"/>
      <c r="K177" s="479">
        <f t="shared" si="71"/>
        <v>2963.01</v>
      </c>
      <c r="L177" s="479">
        <v>1000</v>
      </c>
      <c r="M177" s="479"/>
      <c r="N177" s="480">
        <f t="shared" si="72"/>
        <v>1000</v>
      </c>
      <c r="O177" s="481">
        <f t="shared" si="73"/>
        <v>36556.120000000003</v>
      </c>
      <c r="P177" s="482">
        <f t="shared" si="80"/>
        <v>20434871.080000002</v>
      </c>
      <c r="Q177" s="476">
        <v>559</v>
      </c>
      <c r="R177" s="479">
        <v>3148</v>
      </c>
      <c r="S177" s="479"/>
      <c r="T177" s="479"/>
      <c r="U177" s="479"/>
      <c r="V177" s="479"/>
      <c r="W177" s="479"/>
      <c r="X177" s="479"/>
      <c r="Y177" s="479"/>
      <c r="Z177" s="479">
        <f t="shared" si="74"/>
        <v>3148</v>
      </c>
      <c r="AA177" s="479">
        <v>1000</v>
      </c>
      <c r="AB177" s="479"/>
      <c r="AC177" s="480">
        <f t="shared" si="75"/>
        <v>1000</v>
      </c>
      <c r="AD177" s="481">
        <f t="shared" si="76"/>
        <v>38776</v>
      </c>
      <c r="AE177" s="482">
        <f t="shared" si="79"/>
        <v>21675784</v>
      </c>
      <c r="AF177" s="482">
        <f t="shared" si="77"/>
        <v>2219.8799999999974</v>
      </c>
      <c r="AG177" s="483">
        <f t="shared" si="78"/>
        <v>1240912.9199999981</v>
      </c>
      <c r="AH177" s="477">
        <v>559</v>
      </c>
      <c r="AI177" s="483">
        <v>21675784</v>
      </c>
    </row>
    <row r="178" spans="1:35" x14ac:dyDescent="0.2">
      <c r="A178" s="478" t="s">
        <v>679</v>
      </c>
      <c r="B178" s="476">
        <v>0</v>
      </c>
      <c r="C178" s="479"/>
      <c r="D178" s="479"/>
      <c r="E178" s="479"/>
      <c r="F178" s="479"/>
      <c r="G178" s="479"/>
      <c r="H178" s="479"/>
      <c r="I178" s="479"/>
      <c r="J178" s="479"/>
      <c r="K178" s="479">
        <f t="shared" si="71"/>
        <v>0</v>
      </c>
      <c r="L178" s="479">
        <v>0</v>
      </c>
      <c r="M178" s="479"/>
      <c r="N178" s="480">
        <f t="shared" si="72"/>
        <v>0</v>
      </c>
      <c r="O178" s="481">
        <f t="shared" si="73"/>
        <v>0</v>
      </c>
      <c r="P178" s="482">
        <f t="shared" si="80"/>
        <v>0</v>
      </c>
      <c r="Q178" s="476">
        <v>0</v>
      </c>
      <c r="R178" s="479"/>
      <c r="S178" s="479"/>
      <c r="T178" s="479"/>
      <c r="U178" s="479"/>
      <c r="V178" s="479"/>
      <c r="W178" s="479"/>
      <c r="X178" s="479"/>
      <c r="Y178" s="479"/>
      <c r="Z178" s="479">
        <f t="shared" si="74"/>
        <v>0</v>
      </c>
      <c r="AA178" s="479">
        <v>0</v>
      </c>
      <c r="AB178" s="479"/>
      <c r="AC178" s="480">
        <f t="shared" si="75"/>
        <v>0</v>
      </c>
      <c r="AD178" s="481">
        <f t="shared" si="76"/>
        <v>0</v>
      </c>
      <c r="AE178" s="482">
        <f t="shared" si="79"/>
        <v>0</v>
      </c>
      <c r="AF178" s="482">
        <f t="shared" si="77"/>
        <v>0</v>
      </c>
      <c r="AG178" s="483">
        <f t="shared" si="78"/>
        <v>0</v>
      </c>
      <c r="AH178" s="477">
        <v>0</v>
      </c>
      <c r="AI178" s="483">
        <v>0</v>
      </c>
    </row>
    <row r="179" spans="1:35" x14ac:dyDescent="0.2">
      <c r="A179" s="478" t="s">
        <v>680</v>
      </c>
      <c r="B179" s="476">
        <v>40</v>
      </c>
      <c r="C179" s="479">
        <v>3983</v>
      </c>
      <c r="D179" s="479"/>
      <c r="E179" s="479"/>
      <c r="F179" s="479"/>
      <c r="G179" s="479"/>
      <c r="H179" s="479"/>
      <c r="I179" s="479"/>
      <c r="J179" s="479"/>
      <c r="K179" s="479">
        <f t="shared" si="71"/>
        <v>3983</v>
      </c>
      <c r="L179" s="479">
        <v>1000</v>
      </c>
      <c r="M179" s="479"/>
      <c r="N179" s="480">
        <f t="shared" si="72"/>
        <v>1000</v>
      </c>
      <c r="O179" s="481">
        <f t="shared" si="73"/>
        <v>48796</v>
      </c>
      <c r="P179" s="482">
        <f t="shared" si="80"/>
        <v>1951840</v>
      </c>
      <c r="Q179" s="476">
        <v>40</v>
      </c>
      <c r="R179" s="479">
        <v>3983</v>
      </c>
      <c r="S179" s="479"/>
      <c r="T179" s="479"/>
      <c r="U179" s="479"/>
      <c r="V179" s="479"/>
      <c r="W179" s="479"/>
      <c r="X179" s="479"/>
      <c r="Y179" s="479"/>
      <c r="Z179" s="479">
        <f t="shared" si="74"/>
        <v>3983</v>
      </c>
      <c r="AA179" s="479">
        <v>1000</v>
      </c>
      <c r="AB179" s="479"/>
      <c r="AC179" s="480">
        <f t="shared" si="75"/>
        <v>1000</v>
      </c>
      <c r="AD179" s="481">
        <f t="shared" si="76"/>
        <v>48796</v>
      </c>
      <c r="AE179" s="482">
        <f t="shared" si="79"/>
        <v>1951840</v>
      </c>
      <c r="AF179" s="482">
        <f t="shared" si="77"/>
        <v>0</v>
      </c>
      <c r="AG179" s="483">
        <f t="shared" si="78"/>
        <v>0</v>
      </c>
      <c r="AH179" s="477">
        <v>40</v>
      </c>
      <c r="AI179" s="483">
        <v>1951840</v>
      </c>
    </row>
    <row r="180" spans="1:35" x14ac:dyDescent="0.2">
      <c r="A180" s="478" t="s">
        <v>681</v>
      </c>
      <c r="B180" s="476">
        <v>603</v>
      </c>
      <c r="C180" s="479">
        <v>3098</v>
      </c>
      <c r="D180" s="479"/>
      <c r="E180" s="479"/>
      <c r="F180" s="479"/>
      <c r="G180" s="479"/>
      <c r="H180" s="479"/>
      <c r="I180" s="479"/>
      <c r="J180" s="479"/>
      <c r="K180" s="479">
        <f t="shared" si="71"/>
        <v>3098</v>
      </c>
      <c r="L180" s="479">
        <v>1000</v>
      </c>
      <c r="M180" s="479"/>
      <c r="N180" s="480">
        <f t="shared" si="72"/>
        <v>1000</v>
      </c>
      <c r="O180" s="481">
        <f t="shared" si="73"/>
        <v>38176</v>
      </c>
      <c r="P180" s="482">
        <f t="shared" si="80"/>
        <v>23020128</v>
      </c>
      <c r="Q180" s="476">
        <v>603</v>
      </c>
      <c r="R180" s="479">
        <v>3210.0497449999998</v>
      </c>
      <c r="S180" s="479"/>
      <c r="T180" s="479"/>
      <c r="U180" s="479"/>
      <c r="V180" s="479"/>
      <c r="W180" s="479"/>
      <c r="X180" s="479"/>
      <c r="Y180" s="479"/>
      <c r="Z180" s="479">
        <f t="shared" si="74"/>
        <v>3210.0497449999998</v>
      </c>
      <c r="AA180" s="479">
        <v>1000</v>
      </c>
      <c r="AB180" s="479"/>
      <c r="AC180" s="480">
        <f t="shared" si="75"/>
        <v>1000</v>
      </c>
      <c r="AD180" s="481">
        <f t="shared" si="76"/>
        <v>39520.596939999996</v>
      </c>
      <c r="AE180" s="482">
        <f t="shared" si="79"/>
        <v>23830919.954819996</v>
      </c>
      <c r="AF180" s="482">
        <f t="shared" si="77"/>
        <v>1344.5969399999958</v>
      </c>
      <c r="AG180" s="483">
        <f t="shared" si="78"/>
        <v>810791.95481999591</v>
      </c>
      <c r="AH180" s="477">
        <v>603</v>
      </c>
      <c r="AI180" s="483">
        <v>23830560</v>
      </c>
    </row>
    <row r="181" spans="1:35" x14ac:dyDescent="0.2">
      <c r="A181" s="478" t="s">
        <v>682</v>
      </c>
      <c r="B181" s="476">
        <v>0</v>
      </c>
      <c r="C181" s="479"/>
      <c r="D181" s="479"/>
      <c r="E181" s="479"/>
      <c r="F181" s="479"/>
      <c r="G181" s="479"/>
      <c r="H181" s="479"/>
      <c r="I181" s="479"/>
      <c r="J181" s="479"/>
      <c r="K181" s="479">
        <f t="shared" si="71"/>
        <v>0</v>
      </c>
      <c r="L181" s="479">
        <v>0</v>
      </c>
      <c r="M181" s="479"/>
      <c r="N181" s="480">
        <f t="shared" si="72"/>
        <v>0</v>
      </c>
      <c r="O181" s="481">
        <f t="shared" si="73"/>
        <v>0</v>
      </c>
      <c r="P181" s="482">
        <f t="shared" si="80"/>
        <v>0</v>
      </c>
      <c r="Q181" s="476">
        <v>0</v>
      </c>
      <c r="R181" s="479"/>
      <c r="S181" s="479"/>
      <c r="T181" s="479"/>
      <c r="U181" s="479"/>
      <c r="V181" s="479"/>
      <c r="W181" s="479"/>
      <c r="X181" s="479"/>
      <c r="Y181" s="479"/>
      <c r="Z181" s="479">
        <f t="shared" si="74"/>
        <v>0</v>
      </c>
      <c r="AA181" s="479">
        <v>0</v>
      </c>
      <c r="AB181" s="479"/>
      <c r="AC181" s="480">
        <f t="shared" si="75"/>
        <v>0</v>
      </c>
      <c r="AD181" s="481">
        <f t="shared" si="76"/>
        <v>0</v>
      </c>
      <c r="AE181" s="482">
        <f t="shared" si="79"/>
        <v>0</v>
      </c>
      <c r="AF181" s="482">
        <f t="shared" si="77"/>
        <v>0</v>
      </c>
      <c r="AG181" s="483">
        <f t="shared" si="78"/>
        <v>0</v>
      </c>
      <c r="AH181" s="477">
        <v>0</v>
      </c>
      <c r="AI181" s="483">
        <v>0</v>
      </c>
    </row>
    <row r="182" spans="1:35" x14ac:dyDescent="0.2">
      <c r="A182" s="478" t="s">
        <v>683</v>
      </c>
      <c r="B182" s="476">
        <v>27</v>
      </c>
      <c r="C182" s="479">
        <v>3765.181</v>
      </c>
      <c r="D182" s="479"/>
      <c r="E182" s="479"/>
      <c r="F182" s="479"/>
      <c r="G182" s="479"/>
      <c r="H182" s="479"/>
      <c r="I182" s="479"/>
      <c r="J182" s="479"/>
      <c r="K182" s="479">
        <f t="shared" si="71"/>
        <v>3765.181</v>
      </c>
      <c r="L182" s="479">
        <v>1000</v>
      </c>
      <c r="M182" s="479"/>
      <c r="N182" s="480">
        <f t="shared" si="72"/>
        <v>1000</v>
      </c>
      <c r="O182" s="481">
        <f t="shared" si="73"/>
        <v>46182.171999999999</v>
      </c>
      <c r="P182" s="482">
        <f>(O182*B182)-0.62</f>
        <v>1246918.0239999997</v>
      </c>
      <c r="Q182" s="476">
        <v>27</v>
      </c>
      <c r="R182" s="479">
        <v>3970</v>
      </c>
      <c r="S182" s="479"/>
      <c r="T182" s="479"/>
      <c r="U182" s="479"/>
      <c r="V182" s="479"/>
      <c r="W182" s="479"/>
      <c r="X182" s="479"/>
      <c r="Y182" s="479"/>
      <c r="Z182" s="479">
        <f t="shared" si="74"/>
        <v>3970</v>
      </c>
      <c r="AA182" s="479">
        <v>1000</v>
      </c>
      <c r="AB182" s="479"/>
      <c r="AC182" s="480">
        <f t="shared" si="75"/>
        <v>1000</v>
      </c>
      <c r="AD182" s="481">
        <f t="shared" si="76"/>
        <v>48640</v>
      </c>
      <c r="AE182" s="482">
        <f>(AD182*Q182)-0.62</f>
        <v>1313279.3799999999</v>
      </c>
      <c r="AF182" s="482">
        <f t="shared" si="77"/>
        <v>2457.8280000000013</v>
      </c>
      <c r="AG182" s="483">
        <f t="shared" si="78"/>
        <v>66361.356000000145</v>
      </c>
      <c r="AH182" s="477">
        <v>27</v>
      </c>
      <c r="AI182" s="483">
        <v>1313279.3799999999</v>
      </c>
    </row>
    <row r="183" spans="1:35" x14ac:dyDescent="0.2">
      <c r="A183" s="478" t="s">
        <v>684</v>
      </c>
      <c r="B183" s="476">
        <v>1720</v>
      </c>
      <c r="C183" s="479">
        <v>2378</v>
      </c>
      <c r="D183" s="479"/>
      <c r="E183" s="479"/>
      <c r="F183" s="479"/>
      <c r="G183" s="479"/>
      <c r="H183" s="479"/>
      <c r="I183" s="479"/>
      <c r="J183" s="479"/>
      <c r="K183" s="479">
        <f t="shared" si="71"/>
        <v>2378</v>
      </c>
      <c r="L183" s="479">
        <v>1000</v>
      </c>
      <c r="M183" s="479"/>
      <c r="N183" s="480">
        <f t="shared" si="72"/>
        <v>1000</v>
      </c>
      <c r="O183" s="481">
        <f t="shared" si="73"/>
        <v>29536</v>
      </c>
      <c r="P183" s="482">
        <f t="shared" ref="P183:P199" si="81">O183*B183</f>
        <v>50801920</v>
      </c>
      <c r="Q183" s="476">
        <v>1889</v>
      </c>
      <c r="R183" s="479">
        <v>2494.0300000000002</v>
      </c>
      <c r="S183" s="479"/>
      <c r="T183" s="479"/>
      <c r="U183" s="479"/>
      <c r="V183" s="479"/>
      <c r="W183" s="479"/>
      <c r="X183" s="479"/>
      <c r="Y183" s="479"/>
      <c r="Z183" s="479">
        <f t="shared" si="74"/>
        <v>2494.0300000000002</v>
      </c>
      <c r="AA183" s="479">
        <v>1000</v>
      </c>
      <c r="AB183" s="479"/>
      <c r="AC183" s="480">
        <f t="shared" si="75"/>
        <v>1000</v>
      </c>
      <c r="AD183" s="481">
        <f t="shared" si="76"/>
        <v>30928.36</v>
      </c>
      <c r="AE183" s="482">
        <f t="shared" ref="AE183:AE199" si="82">AD183*Q183</f>
        <v>58423672.039999999</v>
      </c>
      <c r="AF183" s="482">
        <f t="shared" si="77"/>
        <v>1392.3600000000006</v>
      </c>
      <c r="AG183" s="483">
        <f t="shared" si="78"/>
        <v>7621752.0399999991</v>
      </c>
      <c r="AH183" s="477">
        <v>1889</v>
      </c>
      <c r="AI183" s="483">
        <v>53289416</v>
      </c>
    </row>
    <row r="184" spans="1:35" x14ac:dyDescent="0.2">
      <c r="A184" s="478" t="s">
        <v>685</v>
      </c>
      <c r="B184" s="476">
        <v>0</v>
      </c>
      <c r="C184" s="479"/>
      <c r="D184" s="479"/>
      <c r="E184" s="479"/>
      <c r="F184" s="479"/>
      <c r="G184" s="479"/>
      <c r="H184" s="479"/>
      <c r="I184" s="479"/>
      <c r="J184" s="479"/>
      <c r="K184" s="479">
        <f t="shared" si="71"/>
        <v>0</v>
      </c>
      <c r="L184" s="479">
        <v>0</v>
      </c>
      <c r="M184" s="479"/>
      <c r="N184" s="480">
        <f t="shared" si="72"/>
        <v>0</v>
      </c>
      <c r="O184" s="481">
        <f t="shared" si="73"/>
        <v>0</v>
      </c>
      <c r="P184" s="482">
        <f t="shared" si="81"/>
        <v>0</v>
      </c>
      <c r="Q184" s="476">
        <v>0</v>
      </c>
      <c r="R184" s="479"/>
      <c r="S184" s="479"/>
      <c r="T184" s="479"/>
      <c r="U184" s="479"/>
      <c r="V184" s="479"/>
      <c r="W184" s="479"/>
      <c r="X184" s="479"/>
      <c r="Y184" s="479"/>
      <c r="Z184" s="479">
        <f t="shared" si="74"/>
        <v>0</v>
      </c>
      <c r="AA184" s="479">
        <v>0</v>
      </c>
      <c r="AB184" s="479"/>
      <c r="AC184" s="480">
        <f t="shared" si="75"/>
        <v>0</v>
      </c>
      <c r="AD184" s="481">
        <f t="shared" si="76"/>
        <v>0</v>
      </c>
      <c r="AE184" s="482">
        <f t="shared" si="82"/>
        <v>0</v>
      </c>
      <c r="AF184" s="482">
        <f t="shared" si="77"/>
        <v>0</v>
      </c>
      <c r="AG184" s="483">
        <f t="shared" si="78"/>
        <v>0</v>
      </c>
      <c r="AH184" s="477">
        <v>0</v>
      </c>
      <c r="AI184" s="483">
        <v>0</v>
      </c>
    </row>
    <row r="185" spans="1:35" x14ac:dyDescent="0.2">
      <c r="A185" s="478" t="s">
        <v>686</v>
      </c>
      <c r="B185" s="476">
        <v>0</v>
      </c>
      <c r="C185" s="479"/>
      <c r="D185" s="479"/>
      <c r="E185" s="479"/>
      <c r="F185" s="479"/>
      <c r="G185" s="479"/>
      <c r="H185" s="479"/>
      <c r="I185" s="479"/>
      <c r="J185" s="479"/>
      <c r="K185" s="479">
        <f t="shared" si="71"/>
        <v>0</v>
      </c>
      <c r="L185" s="479">
        <v>0</v>
      </c>
      <c r="M185" s="479"/>
      <c r="N185" s="480">
        <f t="shared" si="72"/>
        <v>0</v>
      </c>
      <c r="O185" s="481">
        <f t="shared" si="73"/>
        <v>0</v>
      </c>
      <c r="P185" s="482">
        <f t="shared" si="81"/>
        <v>0</v>
      </c>
      <c r="Q185" s="476">
        <v>0</v>
      </c>
      <c r="R185" s="479"/>
      <c r="S185" s="479"/>
      <c r="T185" s="479"/>
      <c r="U185" s="479"/>
      <c r="V185" s="479"/>
      <c r="W185" s="479"/>
      <c r="X185" s="479"/>
      <c r="Y185" s="479"/>
      <c r="Z185" s="479">
        <f t="shared" si="74"/>
        <v>0</v>
      </c>
      <c r="AA185" s="479">
        <v>0</v>
      </c>
      <c r="AB185" s="479"/>
      <c r="AC185" s="480">
        <f t="shared" si="75"/>
        <v>0</v>
      </c>
      <c r="AD185" s="481">
        <f t="shared" si="76"/>
        <v>0</v>
      </c>
      <c r="AE185" s="482">
        <f t="shared" si="82"/>
        <v>0</v>
      </c>
      <c r="AF185" s="482">
        <f t="shared" si="77"/>
        <v>0</v>
      </c>
      <c r="AG185" s="483">
        <f t="shared" si="78"/>
        <v>0</v>
      </c>
      <c r="AH185" s="477">
        <v>0</v>
      </c>
      <c r="AI185" s="483">
        <v>0</v>
      </c>
    </row>
    <row r="186" spans="1:35" x14ac:dyDescent="0.2">
      <c r="A186" s="478" t="s">
        <v>687</v>
      </c>
      <c r="B186" s="476">
        <v>3</v>
      </c>
      <c r="C186" s="479">
        <v>1984</v>
      </c>
      <c r="D186" s="479"/>
      <c r="E186" s="479"/>
      <c r="F186" s="479"/>
      <c r="G186" s="479"/>
      <c r="H186" s="479"/>
      <c r="I186" s="479"/>
      <c r="J186" s="479"/>
      <c r="K186" s="479">
        <f t="shared" si="71"/>
        <v>1984</v>
      </c>
      <c r="L186" s="479">
        <v>1000</v>
      </c>
      <c r="M186" s="479"/>
      <c r="N186" s="480">
        <f t="shared" si="72"/>
        <v>1000</v>
      </c>
      <c r="O186" s="481">
        <f t="shared" si="73"/>
        <v>24808</v>
      </c>
      <c r="P186" s="482">
        <f t="shared" si="81"/>
        <v>74424</v>
      </c>
      <c r="Q186" s="476">
        <v>3</v>
      </c>
      <c r="R186" s="479">
        <v>1984</v>
      </c>
      <c r="S186" s="479"/>
      <c r="T186" s="479"/>
      <c r="U186" s="479"/>
      <c r="V186" s="479"/>
      <c r="W186" s="479"/>
      <c r="X186" s="479"/>
      <c r="Y186" s="479"/>
      <c r="Z186" s="479">
        <f t="shared" si="74"/>
        <v>1984</v>
      </c>
      <c r="AA186" s="479">
        <v>1000</v>
      </c>
      <c r="AB186" s="479"/>
      <c r="AC186" s="480">
        <f t="shared" si="75"/>
        <v>1000</v>
      </c>
      <c r="AD186" s="481">
        <f t="shared" si="76"/>
        <v>24808</v>
      </c>
      <c r="AE186" s="482">
        <f t="shared" si="82"/>
        <v>74424</v>
      </c>
      <c r="AF186" s="482">
        <f t="shared" si="77"/>
        <v>0</v>
      </c>
      <c r="AG186" s="483">
        <f t="shared" si="78"/>
        <v>0</v>
      </c>
      <c r="AH186" s="477">
        <v>3</v>
      </c>
      <c r="AI186" s="483">
        <v>70824</v>
      </c>
    </row>
    <row r="187" spans="1:35" x14ac:dyDescent="0.2">
      <c r="A187" s="478" t="s">
        <v>688</v>
      </c>
      <c r="B187" s="476">
        <v>1</v>
      </c>
      <c r="C187" s="479">
        <v>1984</v>
      </c>
      <c r="D187" s="479"/>
      <c r="E187" s="479"/>
      <c r="F187" s="479"/>
      <c r="G187" s="479"/>
      <c r="H187" s="479"/>
      <c r="I187" s="479"/>
      <c r="J187" s="479"/>
      <c r="K187" s="479">
        <f t="shared" si="71"/>
        <v>1984</v>
      </c>
      <c r="L187" s="479">
        <v>1000</v>
      </c>
      <c r="M187" s="479"/>
      <c r="N187" s="480">
        <f t="shared" si="72"/>
        <v>1000</v>
      </c>
      <c r="O187" s="481">
        <f t="shared" si="73"/>
        <v>24808</v>
      </c>
      <c r="P187" s="482">
        <f t="shared" si="81"/>
        <v>24808</v>
      </c>
      <c r="Q187" s="476">
        <v>1</v>
      </c>
      <c r="R187" s="479">
        <v>1984</v>
      </c>
      <c r="S187" s="479"/>
      <c r="T187" s="479"/>
      <c r="U187" s="479"/>
      <c r="V187" s="479"/>
      <c r="W187" s="479"/>
      <c r="X187" s="479"/>
      <c r="Y187" s="479"/>
      <c r="Z187" s="479">
        <f t="shared" si="74"/>
        <v>1984</v>
      </c>
      <c r="AA187" s="479">
        <v>1000</v>
      </c>
      <c r="AB187" s="479"/>
      <c r="AC187" s="480">
        <f t="shared" si="75"/>
        <v>1000</v>
      </c>
      <c r="AD187" s="481">
        <f t="shared" si="76"/>
        <v>24808</v>
      </c>
      <c r="AE187" s="482">
        <f t="shared" si="82"/>
        <v>24808</v>
      </c>
      <c r="AF187" s="482">
        <f t="shared" si="77"/>
        <v>0</v>
      </c>
      <c r="AG187" s="483">
        <f t="shared" si="78"/>
        <v>0</v>
      </c>
      <c r="AH187" s="477">
        <v>1</v>
      </c>
      <c r="AI187" s="483">
        <v>23608</v>
      </c>
    </row>
    <row r="188" spans="1:35" x14ac:dyDescent="0.2">
      <c r="A188" s="478" t="s">
        <v>689</v>
      </c>
      <c r="B188" s="476">
        <v>0</v>
      </c>
      <c r="C188" s="479"/>
      <c r="D188" s="479"/>
      <c r="E188" s="479"/>
      <c r="F188" s="479"/>
      <c r="G188" s="479"/>
      <c r="H188" s="479"/>
      <c r="I188" s="479"/>
      <c r="J188" s="479"/>
      <c r="K188" s="479">
        <f t="shared" si="71"/>
        <v>0</v>
      </c>
      <c r="L188" s="479">
        <v>0</v>
      </c>
      <c r="M188" s="479"/>
      <c r="N188" s="480">
        <f t="shared" si="72"/>
        <v>0</v>
      </c>
      <c r="O188" s="481">
        <f t="shared" si="73"/>
        <v>0</v>
      </c>
      <c r="P188" s="482">
        <f t="shared" si="81"/>
        <v>0</v>
      </c>
      <c r="Q188" s="476">
        <v>0</v>
      </c>
      <c r="R188" s="479"/>
      <c r="S188" s="479"/>
      <c r="T188" s="479"/>
      <c r="U188" s="479"/>
      <c r="V188" s="479"/>
      <c r="W188" s="479"/>
      <c r="X188" s="479"/>
      <c r="Y188" s="479"/>
      <c r="Z188" s="479">
        <f t="shared" si="74"/>
        <v>0</v>
      </c>
      <c r="AA188" s="479">
        <v>0</v>
      </c>
      <c r="AB188" s="479"/>
      <c r="AC188" s="480">
        <f t="shared" si="75"/>
        <v>0</v>
      </c>
      <c r="AD188" s="481">
        <f t="shared" si="76"/>
        <v>0</v>
      </c>
      <c r="AE188" s="482">
        <f t="shared" si="82"/>
        <v>0</v>
      </c>
      <c r="AF188" s="482">
        <f t="shared" si="77"/>
        <v>0</v>
      </c>
      <c r="AG188" s="483">
        <f t="shared" si="78"/>
        <v>0</v>
      </c>
      <c r="AH188" s="477">
        <v>0</v>
      </c>
      <c r="AI188" s="483">
        <v>0</v>
      </c>
    </row>
    <row r="189" spans="1:35" x14ac:dyDescent="0.2">
      <c r="A189" s="478" t="s">
        <v>690</v>
      </c>
      <c r="B189" s="476">
        <v>1</v>
      </c>
      <c r="C189" s="479">
        <v>1984</v>
      </c>
      <c r="D189" s="479"/>
      <c r="E189" s="479"/>
      <c r="F189" s="479"/>
      <c r="G189" s="479"/>
      <c r="H189" s="479"/>
      <c r="I189" s="479"/>
      <c r="J189" s="479"/>
      <c r="K189" s="479">
        <f t="shared" si="71"/>
        <v>1984</v>
      </c>
      <c r="L189" s="479">
        <v>1000</v>
      </c>
      <c r="M189" s="479"/>
      <c r="N189" s="480">
        <f t="shared" si="72"/>
        <v>1000</v>
      </c>
      <c r="O189" s="481">
        <f t="shared" si="73"/>
        <v>24808</v>
      </c>
      <c r="P189" s="482">
        <f t="shared" si="81"/>
        <v>24808</v>
      </c>
      <c r="Q189" s="476">
        <v>1</v>
      </c>
      <c r="R189" s="479">
        <v>1984</v>
      </c>
      <c r="S189" s="479"/>
      <c r="T189" s="479"/>
      <c r="U189" s="479"/>
      <c r="V189" s="479"/>
      <c r="W189" s="479"/>
      <c r="X189" s="479"/>
      <c r="Y189" s="479"/>
      <c r="Z189" s="479">
        <f t="shared" si="74"/>
        <v>1984</v>
      </c>
      <c r="AA189" s="479">
        <v>1000</v>
      </c>
      <c r="AB189" s="479"/>
      <c r="AC189" s="480">
        <f t="shared" si="75"/>
        <v>1000</v>
      </c>
      <c r="AD189" s="481">
        <f t="shared" si="76"/>
        <v>24808</v>
      </c>
      <c r="AE189" s="482">
        <f t="shared" si="82"/>
        <v>24808</v>
      </c>
      <c r="AF189" s="482">
        <f t="shared" si="77"/>
        <v>0</v>
      </c>
      <c r="AG189" s="483">
        <f t="shared" si="78"/>
        <v>0</v>
      </c>
      <c r="AH189" s="477">
        <v>1</v>
      </c>
      <c r="AI189" s="483">
        <v>1984</v>
      </c>
    </row>
    <row r="190" spans="1:35" x14ac:dyDescent="0.2">
      <c r="A190" s="478" t="s">
        <v>691</v>
      </c>
      <c r="B190" s="476">
        <v>0</v>
      </c>
      <c r="C190" s="479"/>
      <c r="D190" s="479"/>
      <c r="E190" s="479"/>
      <c r="F190" s="479"/>
      <c r="G190" s="479"/>
      <c r="H190" s="479"/>
      <c r="I190" s="479"/>
      <c r="J190" s="479"/>
      <c r="K190" s="479">
        <f t="shared" si="71"/>
        <v>0</v>
      </c>
      <c r="L190" s="479">
        <v>0</v>
      </c>
      <c r="M190" s="479"/>
      <c r="N190" s="480">
        <f t="shared" si="72"/>
        <v>0</v>
      </c>
      <c r="O190" s="481">
        <f t="shared" si="73"/>
        <v>0</v>
      </c>
      <c r="P190" s="482">
        <f t="shared" si="81"/>
        <v>0</v>
      </c>
      <c r="Q190" s="476">
        <v>0</v>
      </c>
      <c r="R190" s="479"/>
      <c r="S190" s="479"/>
      <c r="T190" s="479"/>
      <c r="U190" s="479"/>
      <c r="V190" s="479"/>
      <c r="W190" s="479"/>
      <c r="X190" s="479"/>
      <c r="Y190" s="479"/>
      <c r="Z190" s="479">
        <f t="shared" si="74"/>
        <v>0</v>
      </c>
      <c r="AA190" s="479">
        <v>0</v>
      </c>
      <c r="AB190" s="479"/>
      <c r="AC190" s="480">
        <f t="shared" si="75"/>
        <v>0</v>
      </c>
      <c r="AD190" s="481">
        <f t="shared" si="76"/>
        <v>0</v>
      </c>
      <c r="AE190" s="482">
        <f t="shared" si="82"/>
        <v>0</v>
      </c>
      <c r="AF190" s="482">
        <f t="shared" si="77"/>
        <v>0</v>
      </c>
      <c r="AG190" s="483">
        <f t="shared" si="78"/>
        <v>0</v>
      </c>
      <c r="AH190" s="477">
        <v>0</v>
      </c>
      <c r="AI190" s="483">
        <v>0</v>
      </c>
    </row>
    <row r="191" spans="1:35" x14ac:dyDescent="0.2">
      <c r="A191" s="478" t="s">
        <v>692</v>
      </c>
      <c r="B191" s="476">
        <v>0</v>
      </c>
      <c r="C191" s="479"/>
      <c r="D191" s="479"/>
      <c r="E191" s="479"/>
      <c r="F191" s="479"/>
      <c r="G191" s="479"/>
      <c r="H191" s="479"/>
      <c r="I191" s="479"/>
      <c r="J191" s="479"/>
      <c r="K191" s="479">
        <f t="shared" si="71"/>
        <v>0</v>
      </c>
      <c r="L191" s="479">
        <v>0</v>
      </c>
      <c r="M191" s="479"/>
      <c r="N191" s="480">
        <f t="shared" si="72"/>
        <v>0</v>
      </c>
      <c r="O191" s="481">
        <f t="shared" si="73"/>
        <v>0</v>
      </c>
      <c r="P191" s="482">
        <f t="shared" si="81"/>
        <v>0</v>
      </c>
      <c r="Q191" s="476">
        <v>0</v>
      </c>
      <c r="R191" s="479"/>
      <c r="S191" s="479"/>
      <c r="T191" s="479"/>
      <c r="U191" s="479"/>
      <c r="V191" s="479"/>
      <c r="W191" s="479"/>
      <c r="X191" s="479"/>
      <c r="Y191" s="479"/>
      <c r="Z191" s="479">
        <f t="shared" si="74"/>
        <v>0</v>
      </c>
      <c r="AA191" s="479">
        <v>0</v>
      </c>
      <c r="AB191" s="479"/>
      <c r="AC191" s="480">
        <f t="shared" si="75"/>
        <v>0</v>
      </c>
      <c r="AD191" s="481">
        <f t="shared" si="76"/>
        <v>0</v>
      </c>
      <c r="AE191" s="482">
        <f t="shared" si="82"/>
        <v>0</v>
      </c>
      <c r="AF191" s="482">
        <f t="shared" si="77"/>
        <v>0</v>
      </c>
      <c r="AG191" s="483">
        <f t="shared" si="78"/>
        <v>0</v>
      </c>
      <c r="AH191" s="477">
        <v>0</v>
      </c>
      <c r="AI191" s="483">
        <v>0</v>
      </c>
    </row>
    <row r="192" spans="1:35" x14ac:dyDescent="0.2">
      <c r="A192" s="478" t="s">
        <v>693</v>
      </c>
      <c r="B192" s="476">
        <v>2</v>
      </c>
      <c r="C192" s="479">
        <v>1984</v>
      </c>
      <c r="D192" s="479"/>
      <c r="E192" s="479"/>
      <c r="F192" s="479"/>
      <c r="G192" s="479"/>
      <c r="H192" s="479"/>
      <c r="I192" s="479"/>
      <c r="J192" s="479"/>
      <c r="K192" s="479">
        <f t="shared" si="71"/>
        <v>1984</v>
      </c>
      <c r="L192" s="479">
        <v>1000</v>
      </c>
      <c r="M192" s="479"/>
      <c r="N192" s="480">
        <f t="shared" si="72"/>
        <v>1000</v>
      </c>
      <c r="O192" s="481">
        <f t="shared" si="73"/>
        <v>24808</v>
      </c>
      <c r="P192" s="482">
        <f t="shared" si="81"/>
        <v>49616</v>
      </c>
      <c r="Q192" s="476">
        <v>2</v>
      </c>
      <c r="R192" s="479">
        <v>1984</v>
      </c>
      <c r="S192" s="479"/>
      <c r="T192" s="479"/>
      <c r="U192" s="479"/>
      <c r="V192" s="479"/>
      <c r="W192" s="479"/>
      <c r="X192" s="479"/>
      <c r="Y192" s="479"/>
      <c r="Z192" s="479">
        <f t="shared" si="74"/>
        <v>1984</v>
      </c>
      <c r="AA192" s="479">
        <v>1000</v>
      </c>
      <c r="AB192" s="479"/>
      <c r="AC192" s="480">
        <f t="shared" si="75"/>
        <v>1000</v>
      </c>
      <c r="AD192" s="481">
        <f t="shared" si="76"/>
        <v>24808</v>
      </c>
      <c r="AE192" s="482">
        <f t="shared" si="82"/>
        <v>49616</v>
      </c>
      <c r="AF192" s="482">
        <f t="shared" si="77"/>
        <v>0</v>
      </c>
      <c r="AG192" s="483">
        <f t="shared" si="78"/>
        <v>0</v>
      </c>
      <c r="AH192" s="477">
        <v>2</v>
      </c>
      <c r="AI192" s="483">
        <v>47216</v>
      </c>
    </row>
    <row r="193" spans="1:35" x14ac:dyDescent="0.2">
      <c r="A193" s="478" t="s">
        <v>694</v>
      </c>
      <c r="B193" s="476">
        <v>0</v>
      </c>
      <c r="C193" s="479"/>
      <c r="D193" s="479"/>
      <c r="E193" s="479"/>
      <c r="F193" s="479"/>
      <c r="G193" s="479"/>
      <c r="H193" s="479"/>
      <c r="I193" s="479"/>
      <c r="J193" s="479"/>
      <c r="K193" s="479">
        <f t="shared" si="71"/>
        <v>0</v>
      </c>
      <c r="L193" s="479">
        <v>0</v>
      </c>
      <c r="M193" s="479"/>
      <c r="N193" s="480">
        <f t="shared" si="72"/>
        <v>0</v>
      </c>
      <c r="O193" s="481">
        <f t="shared" si="73"/>
        <v>0</v>
      </c>
      <c r="P193" s="482">
        <f t="shared" si="81"/>
        <v>0</v>
      </c>
      <c r="Q193" s="476">
        <v>0</v>
      </c>
      <c r="R193" s="479"/>
      <c r="S193" s="479"/>
      <c r="T193" s="479"/>
      <c r="U193" s="479"/>
      <c r="V193" s="479"/>
      <c r="W193" s="479"/>
      <c r="X193" s="479"/>
      <c r="Y193" s="479"/>
      <c r="Z193" s="479">
        <f t="shared" si="74"/>
        <v>0</v>
      </c>
      <c r="AA193" s="479">
        <v>0</v>
      </c>
      <c r="AB193" s="479"/>
      <c r="AC193" s="480">
        <f t="shared" si="75"/>
        <v>0</v>
      </c>
      <c r="AD193" s="481">
        <f t="shared" si="76"/>
        <v>0</v>
      </c>
      <c r="AE193" s="482">
        <f t="shared" si="82"/>
        <v>0</v>
      </c>
      <c r="AF193" s="482">
        <f t="shared" si="77"/>
        <v>0</v>
      </c>
      <c r="AG193" s="483">
        <f t="shared" si="78"/>
        <v>0</v>
      </c>
      <c r="AH193" s="477">
        <v>0</v>
      </c>
      <c r="AI193" s="483">
        <v>0</v>
      </c>
    </row>
    <row r="194" spans="1:35" x14ac:dyDescent="0.2">
      <c r="A194" s="478" t="s">
        <v>695</v>
      </c>
      <c r="B194" s="476">
        <v>0</v>
      </c>
      <c r="C194" s="479"/>
      <c r="D194" s="479"/>
      <c r="E194" s="479"/>
      <c r="F194" s="479"/>
      <c r="G194" s="479"/>
      <c r="H194" s="479"/>
      <c r="I194" s="479"/>
      <c r="J194" s="479"/>
      <c r="K194" s="479">
        <f t="shared" si="71"/>
        <v>0</v>
      </c>
      <c r="L194" s="479">
        <v>0</v>
      </c>
      <c r="M194" s="479"/>
      <c r="N194" s="480">
        <f t="shared" si="72"/>
        <v>0</v>
      </c>
      <c r="O194" s="481">
        <f t="shared" si="73"/>
        <v>0</v>
      </c>
      <c r="P194" s="482">
        <f t="shared" si="81"/>
        <v>0</v>
      </c>
      <c r="Q194" s="476">
        <v>0</v>
      </c>
      <c r="R194" s="479"/>
      <c r="S194" s="479"/>
      <c r="T194" s="479"/>
      <c r="U194" s="479"/>
      <c r="V194" s="479"/>
      <c r="W194" s="479"/>
      <c r="X194" s="479"/>
      <c r="Y194" s="479"/>
      <c r="Z194" s="479">
        <f t="shared" si="74"/>
        <v>0</v>
      </c>
      <c r="AA194" s="479">
        <v>0</v>
      </c>
      <c r="AB194" s="479"/>
      <c r="AC194" s="480">
        <f t="shared" si="75"/>
        <v>0</v>
      </c>
      <c r="AD194" s="481">
        <f t="shared" si="76"/>
        <v>0</v>
      </c>
      <c r="AE194" s="482">
        <f t="shared" si="82"/>
        <v>0</v>
      </c>
      <c r="AF194" s="482">
        <f t="shared" si="77"/>
        <v>0</v>
      </c>
      <c r="AG194" s="483">
        <f t="shared" si="78"/>
        <v>0</v>
      </c>
      <c r="AH194" s="477">
        <v>0</v>
      </c>
      <c r="AI194" s="483">
        <v>0</v>
      </c>
    </row>
    <row r="195" spans="1:35" x14ac:dyDescent="0.2">
      <c r="A195" s="478" t="s">
        <v>696</v>
      </c>
      <c r="B195" s="476">
        <v>2</v>
      </c>
      <c r="C195" s="479">
        <v>1984</v>
      </c>
      <c r="D195" s="479"/>
      <c r="E195" s="479"/>
      <c r="F195" s="479"/>
      <c r="G195" s="479"/>
      <c r="H195" s="479"/>
      <c r="I195" s="479"/>
      <c r="J195" s="479"/>
      <c r="K195" s="479">
        <f t="shared" si="71"/>
        <v>1984</v>
      </c>
      <c r="L195" s="479">
        <v>1000</v>
      </c>
      <c r="M195" s="479"/>
      <c r="N195" s="480">
        <f t="shared" si="72"/>
        <v>1000</v>
      </c>
      <c r="O195" s="481">
        <f t="shared" si="73"/>
        <v>24808</v>
      </c>
      <c r="P195" s="482">
        <f t="shared" si="81"/>
        <v>49616</v>
      </c>
      <c r="Q195" s="476">
        <v>2</v>
      </c>
      <c r="R195" s="479">
        <v>1984</v>
      </c>
      <c r="S195" s="479"/>
      <c r="T195" s="479"/>
      <c r="U195" s="479"/>
      <c r="V195" s="479"/>
      <c r="W195" s="479"/>
      <c r="X195" s="479"/>
      <c r="Y195" s="479"/>
      <c r="Z195" s="479">
        <f t="shared" si="74"/>
        <v>1984</v>
      </c>
      <c r="AA195" s="479">
        <v>1000</v>
      </c>
      <c r="AB195" s="479"/>
      <c r="AC195" s="480">
        <f t="shared" si="75"/>
        <v>1000</v>
      </c>
      <c r="AD195" s="481">
        <f t="shared" si="76"/>
        <v>24808</v>
      </c>
      <c r="AE195" s="482">
        <f t="shared" si="82"/>
        <v>49616</v>
      </c>
      <c r="AF195" s="482">
        <f t="shared" si="77"/>
        <v>0</v>
      </c>
      <c r="AG195" s="483">
        <f t="shared" si="78"/>
        <v>0</v>
      </c>
      <c r="AH195" s="477">
        <v>2</v>
      </c>
      <c r="AI195" s="483">
        <v>47216</v>
      </c>
    </row>
    <row r="196" spans="1:35" x14ac:dyDescent="0.2">
      <c r="A196" s="478" t="s">
        <v>697</v>
      </c>
      <c r="B196" s="476">
        <v>0</v>
      </c>
      <c r="C196" s="479"/>
      <c r="D196" s="479"/>
      <c r="E196" s="479"/>
      <c r="F196" s="479"/>
      <c r="G196" s="479"/>
      <c r="H196" s="479"/>
      <c r="I196" s="479"/>
      <c r="J196" s="479"/>
      <c r="K196" s="479">
        <f t="shared" si="71"/>
        <v>0</v>
      </c>
      <c r="L196" s="479">
        <v>0</v>
      </c>
      <c r="M196" s="479"/>
      <c r="N196" s="480">
        <f t="shared" si="72"/>
        <v>0</v>
      </c>
      <c r="O196" s="481">
        <f t="shared" si="73"/>
        <v>0</v>
      </c>
      <c r="P196" s="482">
        <f t="shared" si="81"/>
        <v>0</v>
      </c>
      <c r="Q196" s="476">
        <v>0</v>
      </c>
      <c r="R196" s="479"/>
      <c r="S196" s="479"/>
      <c r="T196" s="479"/>
      <c r="U196" s="479"/>
      <c r="V196" s="479"/>
      <c r="W196" s="479"/>
      <c r="X196" s="479"/>
      <c r="Y196" s="479"/>
      <c r="Z196" s="479">
        <f t="shared" si="74"/>
        <v>0</v>
      </c>
      <c r="AA196" s="479">
        <v>0</v>
      </c>
      <c r="AB196" s="479"/>
      <c r="AC196" s="480">
        <f t="shared" si="75"/>
        <v>0</v>
      </c>
      <c r="AD196" s="481">
        <f t="shared" si="76"/>
        <v>0</v>
      </c>
      <c r="AE196" s="482">
        <f t="shared" si="82"/>
        <v>0</v>
      </c>
      <c r="AF196" s="482">
        <f t="shared" si="77"/>
        <v>0</v>
      </c>
      <c r="AG196" s="483">
        <f t="shared" si="78"/>
        <v>0</v>
      </c>
      <c r="AH196" s="477">
        <v>0</v>
      </c>
      <c r="AI196" s="483">
        <v>0</v>
      </c>
    </row>
    <row r="197" spans="1:35" x14ac:dyDescent="0.2">
      <c r="A197" s="478" t="s">
        <v>698</v>
      </c>
      <c r="B197" s="476">
        <v>0</v>
      </c>
      <c r="C197" s="479"/>
      <c r="D197" s="479"/>
      <c r="E197" s="479"/>
      <c r="F197" s="479"/>
      <c r="G197" s="479"/>
      <c r="H197" s="479"/>
      <c r="I197" s="479"/>
      <c r="J197" s="479"/>
      <c r="K197" s="479">
        <f t="shared" si="71"/>
        <v>0</v>
      </c>
      <c r="L197" s="479">
        <v>0</v>
      </c>
      <c r="M197" s="479"/>
      <c r="N197" s="480">
        <f t="shared" si="72"/>
        <v>0</v>
      </c>
      <c r="O197" s="481">
        <f t="shared" si="73"/>
        <v>0</v>
      </c>
      <c r="P197" s="482">
        <f t="shared" si="81"/>
        <v>0</v>
      </c>
      <c r="Q197" s="476">
        <v>0</v>
      </c>
      <c r="R197" s="479"/>
      <c r="S197" s="479"/>
      <c r="T197" s="479"/>
      <c r="U197" s="479"/>
      <c r="V197" s="479"/>
      <c r="W197" s="479"/>
      <c r="X197" s="479"/>
      <c r="Y197" s="479"/>
      <c r="Z197" s="479">
        <f t="shared" si="74"/>
        <v>0</v>
      </c>
      <c r="AA197" s="479">
        <v>0</v>
      </c>
      <c r="AB197" s="479"/>
      <c r="AC197" s="480">
        <f t="shared" si="75"/>
        <v>0</v>
      </c>
      <c r="AD197" s="481">
        <f t="shared" si="76"/>
        <v>0</v>
      </c>
      <c r="AE197" s="482">
        <f t="shared" si="82"/>
        <v>0</v>
      </c>
      <c r="AF197" s="482">
        <f t="shared" si="77"/>
        <v>0</v>
      </c>
      <c r="AG197" s="483">
        <f t="shared" si="78"/>
        <v>0</v>
      </c>
      <c r="AH197" s="477">
        <v>0</v>
      </c>
      <c r="AI197" s="483">
        <v>0</v>
      </c>
    </row>
    <row r="198" spans="1:35" x14ac:dyDescent="0.2">
      <c r="A198" s="478" t="s">
        <v>659</v>
      </c>
      <c r="B198" s="476">
        <v>215</v>
      </c>
      <c r="C198" s="479">
        <v>1650</v>
      </c>
      <c r="D198" s="479"/>
      <c r="E198" s="479"/>
      <c r="F198" s="479"/>
      <c r="G198" s="479"/>
      <c r="H198" s="479"/>
      <c r="I198" s="479"/>
      <c r="J198" s="479"/>
      <c r="K198" s="479">
        <f t="shared" si="71"/>
        <v>1650</v>
      </c>
      <c r="L198" s="479">
        <v>1000</v>
      </c>
      <c r="M198" s="479"/>
      <c r="N198" s="480">
        <f t="shared" si="72"/>
        <v>1000</v>
      </c>
      <c r="O198" s="481">
        <f t="shared" si="73"/>
        <v>20800</v>
      </c>
      <c r="P198" s="482">
        <f t="shared" si="81"/>
        <v>4472000</v>
      </c>
      <c r="Q198" s="476">
        <v>215</v>
      </c>
      <c r="R198" s="479">
        <v>1650</v>
      </c>
      <c r="S198" s="479"/>
      <c r="T198" s="479"/>
      <c r="U198" s="479"/>
      <c r="V198" s="479"/>
      <c r="W198" s="479"/>
      <c r="X198" s="479"/>
      <c r="Y198" s="479"/>
      <c r="Z198" s="479">
        <f t="shared" si="74"/>
        <v>1650</v>
      </c>
      <c r="AA198" s="479">
        <v>1000</v>
      </c>
      <c r="AB198" s="479"/>
      <c r="AC198" s="480">
        <f t="shared" si="75"/>
        <v>1000</v>
      </c>
      <c r="AD198" s="481">
        <f t="shared" si="76"/>
        <v>20800</v>
      </c>
      <c r="AE198" s="482">
        <f t="shared" si="82"/>
        <v>4472000</v>
      </c>
      <c r="AF198" s="482">
        <f t="shared" si="77"/>
        <v>0</v>
      </c>
      <c r="AG198" s="483">
        <f t="shared" si="78"/>
        <v>0</v>
      </c>
      <c r="AH198" s="477">
        <v>215</v>
      </c>
      <c r="AI198" s="483">
        <v>3956000</v>
      </c>
    </row>
    <row r="199" spans="1:35" x14ac:dyDescent="0.2">
      <c r="A199" s="478" t="s">
        <v>699</v>
      </c>
      <c r="B199" s="476">
        <v>0</v>
      </c>
      <c r="C199" s="479"/>
      <c r="D199" s="479"/>
      <c r="E199" s="479"/>
      <c r="F199" s="479"/>
      <c r="G199" s="479"/>
      <c r="H199" s="479"/>
      <c r="I199" s="479"/>
      <c r="J199" s="479"/>
      <c r="K199" s="479">
        <f t="shared" si="71"/>
        <v>0</v>
      </c>
      <c r="L199" s="479">
        <v>0</v>
      </c>
      <c r="M199" s="479"/>
      <c r="N199" s="480">
        <f t="shared" si="72"/>
        <v>0</v>
      </c>
      <c r="O199" s="481">
        <f t="shared" si="73"/>
        <v>0</v>
      </c>
      <c r="P199" s="482">
        <f t="shared" si="81"/>
        <v>0</v>
      </c>
      <c r="Q199" s="476">
        <v>0</v>
      </c>
      <c r="R199" s="479"/>
      <c r="S199" s="479"/>
      <c r="T199" s="479"/>
      <c r="U199" s="479"/>
      <c r="V199" s="479"/>
      <c r="W199" s="479"/>
      <c r="X199" s="479"/>
      <c r="Y199" s="479"/>
      <c r="Z199" s="479">
        <f t="shared" si="74"/>
        <v>0</v>
      </c>
      <c r="AA199" s="479">
        <v>0</v>
      </c>
      <c r="AB199" s="479"/>
      <c r="AC199" s="480">
        <f t="shared" si="75"/>
        <v>0</v>
      </c>
      <c r="AD199" s="481">
        <f t="shared" si="76"/>
        <v>0</v>
      </c>
      <c r="AE199" s="482">
        <f t="shared" si="82"/>
        <v>0</v>
      </c>
      <c r="AF199" s="482">
        <f t="shared" si="77"/>
        <v>0</v>
      </c>
      <c r="AG199" s="483">
        <f t="shared" si="78"/>
        <v>0</v>
      </c>
      <c r="AH199" s="477">
        <v>0</v>
      </c>
      <c r="AI199" s="483">
        <v>0</v>
      </c>
    </row>
    <row r="200" spans="1:35" x14ac:dyDescent="0.2">
      <c r="A200" s="478" t="s">
        <v>647</v>
      </c>
      <c r="B200" s="476"/>
      <c r="C200" s="479"/>
      <c r="D200" s="479"/>
      <c r="E200" s="479"/>
      <c r="F200" s="479"/>
      <c r="G200" s="479"/>
      <c r="H200" s="479"/>
      <c r="I200" s="479"/>
      <c r="J200" s="479"/>
      <c r="K200" s="479"/>
      <c r="L200" s="479"/>
      <c r="M200" s="479"/>
      <c r="N200" s="480"/>
      <c r="O200" s="481"/>
      <c r="P200" s="482"/>
      <c r="Q200" s="476"/>
      <c r="R200" s="479"/>
      <c r="S200" s="479"/>
      <c r="T200" s="479"/>
      <c r="U200" s="479"/>
      <c r="V200" s="479"/>
      <c r="W200" s="479"/>
      <c r="X200" s="479"/>
      <c r="Y200" s="479"/>
      <c r="Z200" s="479"/>
      <c r="AA200" s="479"/>
      <c r="AB200" s="479"/>
      <c r="AC200" s="480"/>
      <c r="AD200" s="481"/>
      <c r="AE200" s="482"/>
      <c r="AF200" s="482"/>
      <c r="AG200" s="483"/>
      <c r="AH200" s="477"/>
      <c r="AI200" s="483"/>
    </row>
    <row r="201" spans="1:35" x14ac:dyDescent="0.2">
      <c r="A201" s="487" t="s">
        <v>665</v>
      </c>
      <c r="B201" s="477">
        <f t="shared" ref="B201:AI201" si="83">B202</f>
        <v>11</v>
      </c>
      <c r="C201" s="483">
        <f t="shared" si="83"/>
        <v>2242</v>
      </c>
      <c r="D201" s="383">
        <f t="shared" si="83"/>
        <v>0</v>
      </c>
      <c r="E201" s="383">
        <f t="shared" si="83"/>
        <v>0</v>
      </c>
      <c r="F201" s="383">
        <f t="shared" si="83"/>
        <v>0</v>
      </c>
      <c r="G201" s="383">
        <f t="shared" si="83"/>
        <v>0</v>
      </c>
      <c r="H201" s="383">
        <f t="shared" si="83"/>
        <v>0</v>
      </c>
      <c r="I201" s="383">
        <f t="shared" si="83"/>
        <v>0</v>
      </c>
      <c r="J201" s="383">
        <f t="shared" si="83"/>
        <v>0</v>
      </c>
      <c r="K201" s="383">
        <f t="shared" si="83"/>
        <v>2242</v>
      </c>
      <c r="L201" s="383">
        <f t="shared" si="83"/>
        <v>1000</v>
      </c>
      <c r="M201" s="383">
        <f t="shared" si="83"/>
        <v>0</v>
      </c>
      <c r="N201" s="383">
        <f t="shared" si="83"/>
        <v>1000</v>
      </c>
      <c r="O201" s="383">
        <f t="shared" si="83"/>
        <v>27904</v>
      </c>
      <c r="P201" s="383">
        <f t="shared" si="83"/>
        <v>306944</v>
      </c>
      <c r="Q201" s="476">
        <f t="shared" si="83"/>
        <v>11</v>
      </c>
      <c r="R201" s="383">
        <f t="shared" si="83"/>
        <v>2242</v>
      </c>
      <c r="S201" s="383">
        <f t="shared" si="83"/>
        <v>0</v>
      </c>
      <c r="T201" s="383">
        <f t="shared" si="83"/>
        <v>0</v>
      </c>
      <c r="U201" s="383">
        <f t="shared" si="83"/>
        <v>0</v>
      </c>
      <c r="V201" s="383">
        <f t="shared" si="83"/>
        <v>0</v>
      </c>
      <c r="W201" s="383">
        <f t="shared" si="83"/>
        <v>0</v>
      </c>
      <c r="X201" s="383">
        <f t="shared" si="83"/>
        <v>0</v>
      </c>
      <c r="Y201" s="383">
        <f t="shared" si="83"/>
        <v>0</v>
      </c>
      <c r="Z201" s="383">
        <f t="shared" si="83"/>
        <v>2242</v>
      </c>
      <c r="AA201" s="383">
        <f t="shared" si="83"/>
        <v>1000</v>
      </c>
      <c r="AB201" s="383">
        <f t="shared" si="83"/>
        <v>0</v>
      </c>
      <c r="AC201" s="383">
        <f t="shared" si="83"/>
        <v>1000</v>
      </c>
      <c r="AD201" s="383">
        <f t="shared" si="83"/>
        <v>27904</v>
      </c>
      <c r="AE201" s="383">
        <f t="shared" si="83"/>
        <v>306944</v>
      </c>
      <c r="AF201" s="383">
        <f t="shared" si="83"/>
        <v>0</v>
      </c>
      <c r="AG201" s="383">
        <f t="shared" si="83"/>
        <v>0</v>
      </c>
      <c r="AH201" s="476">
        <f t="shared" si="83"/>
        <v>11</v>
      </c>
      <c r="AI201" s="383">
        <f t="shared" si="83"/>
        <v>306944</v>
      </c>
    </row>
    <row r="202" spans="1:35" x14ac:dyDescent="0.2">
      <c r="A202" s="487" t="s">
        <v>700</v>
      </c>
      <c r="B202" s="477">
        <f t="shared" ref="B202:AI202" si="84">SUM(B203:B204)</f>
        <v>11</v>
      </c>
      <c r="C202" s="479">
        <f t="shared" si="84"/>
        <v>2242</v>
      </c>
      <c r="D202" s="479">
        <f t="shared" si="84"/>
        <v>0</v>
      </c>
      <c r="E202" s="479">
        <f t="shared" si="84"/>
        <v>0</v>
      </c>
      <c r="F202" s="479">
        <f t="shared" si="84"/>
        <v>0</v>
      </c>
      <c r="G202" s="479">
        <f t="shared" si="84"/>
        <v>0</v>
      </c>
      <c r="H202" s="479">
        <f t="shared" si="84"/>
        <v>0</v>
      </c>
      <c r="I202" s="479">
        <f t="shared" si="84"/>
        <v>0</v>
      </c>
      <c r="J202" s="479">
        <f t="shared" si="84"/>
        <v>0</v>
      </c>
      <c r="K202" s="479">
        <f t="shared" si="84"/>
        <v>2242</v>
      </c>
      <c r="L202" s="479">
        <f t="shared" si="84"/>
        <v>1000</v>
      </c>
      <c r="M202" s="479">
        <f t="shared" si="84"/>
        <v>0</v>
      </c>
      <c r="N202" s="480">
        <f t="shared" si="84"/>
        <v>1000</v>
      </c>
      <c r="O202" s="481">
        <f t="shared" si="84"/>
        <v>27904</v>
      </c>
      <c r="P202" s="482">
        <f t="shared" si="84"/>
        <v>306944</v>
      </c>
      <c r="Q202" s="476">
        <f t="shared" si="84"/>
        <v>11</v>
      </c>
      <c r="R202" s="479">
        <f t="shared" si="84"/>
        <v>2242</v>
      </c>
      <c r="S202" s="479">
        <f t="shared" si="84"/>
        <v>0</v>
      </c>
      <c r="T202" s="479">
        <f t="shared" si="84"/>
        <v>0</v>
      </c>
      <c r="U202" s="479">
        <f t="shared" si="84"/>
        <v>0</v>
      </c>
      <c r="V202" s="479">
        <f t="shared" si="84"/>
        <v>0</v>
      </c>
      <c r="W202" s="479">
        <f t="shared" si="84"/>
        <v>0</v>
      </c>
      <c r="X202" s="479">
        <f t="shared" si="84"/>
        <v>0</v>
      </c>
      <c r="Y202" s="479">
        <f t="shared" si="84"/>
        <v>0</v>
      </c>
      <c r="Z202" s="479">
        <f t="shared" si="84"/>
        <v>2242</v>
      </c>
      <c r="AA202" s="479">
        <f t="shared" si="84"/>
        <v>1000</v>
      </c>
      <c r="AB202" s="479">
        <f t="shared" si="84"/>
        <v>0</v>
      </c>
      <c r="AC202" s="480">
        <f t="shared" si="84"/>
        <v>1000</v>
      </c>
      <c r="AD202" s="481">
        <f t="shared" si="84"/>
        <v>27904</v>
      </c>
      <c r="AE202" s="482">
        <f t="shared" si="84"/>
        <v>306944</v>
      </c>
      <c r="AF202" s="482">
        <f t="shared" si="84"/>
        <v>0</v>
      </c>
      <c r="AG202" s="483">
        <f t="shared" si="84"/>
        <v>0</v>
      </c>
      <c r="AH202" s="477">
        <f t="shared" si="84"/>
        <v>11</v>
      </c>
      <c r="AI202" s="483">
        <f t="shared" si="84"/>
        <v>306944</v>
      </c>
    </row>
    <row r="203" spans="1:35" x14ac:dyDescent="0.2">
      <c r="A203" s="478" t="s">
        <v>701</v>
      </c>
      <c r="B203" s="476"/>
      <c r="C203" s="479"/>
      <c r="D203" s="479"/>
      <c r="E203" s="479"/>
      <c r="F203" s="479"/>
      <c r="G203" s="479"/>
      <c r="H203" s="479"/>
      <c r="I203" s="479"/>
      <c r="J203" s="479"/>
      <c r="K203" s="479"/>
      <c r="L203" s="479"/>
      <c r="M203" s="479"/>
      <c r="N203" s="480"/>
      <c r="O203" s="481"/>
      <c r="P203" s="482"/>
      <c r="Q203" s="476"/>
      <c r="R203" s="479"/>
      <c r="S203" s="479"/>
      <c r="T203" s="479"/>
      <c r="U203" s="479"/>
      <c r="V203" s="479"/>
      <c r="W203" s="479"/>
      <c r="X203" s="479"/>
      <c r="Y203" s="479"/>
      <c r="Z203" s="479"/>
      <c r="AA203" s="479"/>
      <c r="AB203" s="479"/>
      <c r="AC203" s="480"/>
      <c r="AD203" s="481"/>
      <c r="AE203" s="482"/>
      <c r="AF203" s="482"/>
      <c r="AG203" s="483"/>
      <c r="AH203" s="477"/>
      <c r="AI203" s="483"/>
    </row>
    <row r="204" spans="1:35" x14ac:dyDescent="0.2">
      <c r="A204" s="478" t="s">
        <v>702</v>
      </c>
      <c r="B204" s="476">
        <v>11</v>
      </c>
      <c r="C204" s="479">
        <v>2242</v>
      </c>
      <c r="D204" s="479"/>
      <c r="E204" s="479"/>
      <c r="F204" s="479"/>
      <c r="G204" s="479"/>
      <c r="H204" s="479"/>
      <c r="I204" s="479"/>
      <c r="J204" s="479"/>
      <c r="K204" s="479">
        <f>SUM(C204:J204)</f>
        <v>2242</v>
      </c>
      <c r="L204" s="479">
        <v>1000</v>
      </c>
      <c r="M204" s="479"/>
      <c r="N204" s="480">
        <f>L204+M204</f>
        <v>1000</v>
      </c>
      <c r="O204" s="481">
        <f>K204*12+N204</f>
        <v>27904</v>
      </c>
      <c r="P204" s="482">
        <f>O204*B204</f>
        <v>306944</v>
      </c>
      <c r="Q204" s="476">
        <v>11</v>
      </c>
      <c r="R204" s="479">
        <v>2242</v>
      </c>
      <c r="S204" s="479"/>
      <c r="T204" s="479"/>
      <c r="U204" s="479"/>
      <c r="V204" s="479"/>
      <c r="W204" s="479"/>
      <c r="X204" s="479"/>
      <c r="Y204" s="479"/>
      <c r="Z204" s="479">
        <f>SUM(R204:Y204)</f>
        <v>2242</v>
      </c>
      <c r="AA204" s="479">
        <v>1000</v>
      </c>
      <c r="AB204" s="479"/>
      <c r="AC204" s="480">
        <f>SUM(AA204:AB204)</f>
        <v>1000</v>
      </c>
      <c r="AD204" s="481">
        <f>Z204*12+AA204</f>
        <v>27904</v>
      </c>
      <c r="AE204" s="482">
        <f>AD204*Q204</f>
        <v>306944</v>
      </c>
      <c r="AF204" s="482">
        <f>AD204-O204</f>
        <v>0</v>
      </c>
      <c r="AG204" s="483">
        <f>AE204-P204</f>
        <v>0</v>
      </c>
      <c r="AH204" s="476">
        <v>11</v>
      </c>
      <c r="AI204" s="483">
        <v>306944</v>
      </c>
    </row>
    <row r="205" spans="1:35" x14ac:dyDescent="0.2">
      <c r="A205" s="478"/>
      <c r="B205" s="476"/>
      <c r="C205" s="479"/>
      <c r="D205" s="479"/>
      <c r="E205" s="479"/>
      <c r="F205" s="479"/>
      <c r="G205" s="479"/>
      <c r="H205" s="479"/>
      <c r="I205" s="479"/>
      <c r="J205" s="479"/>
      <c r="K205" s="479"/>
      <c r="L205" s="479"/>
      <c r="M205" s="479"/>
      <c r="N205" s="480"/>
      <c r="O205" s="481"/>
      <c r="P205" s="482"/>
      <c r="Q205" s="476"/>
      <c r="R205" s="479"/>
      <c r="S205" s="479"/>
      <c r="T205" s="479"/>
      <c r="U205" s="479"/>
      <c r="V205" s="479"/>
      <c r="W205" s="479"/>
      <c r="X205" s="479"/>
      <c r="Y205" s="479"/>
      <c r="Z205" s="479"/>
      <c r="AA205" s="479"/>
      <c r="AB205" s="479"/>
      <c r="AC205" s="480"/>
      <c r="AD205" s="481"/>
      <c r="AE205" s="482"/>
      <c r="AF205" s="482"/>
      <c r="AG205" s="483"/>
      <c r="AH205" s="477"/>
      <c r="AI205" s="483"/>
    </row>
    <row r="206" spans="1:35" x14ac:dyDescent="0.2">
      <c r="A206" s="383" t="s">
        <v>22</v>
      </c>
      <c r="B206" s="476">
        <f t="shared" ref="B206:AI206" si="85">B209+B210+B213</f>
        <v>197</v>
      </c>
      <c r="C206" s="488">
        <f t="shared" si="85"/>
        <v>3435</v>
      </c>
      <c r="D206" s="488">
        <f t="shared" si="85"/>
        <v>0</v>
      </c>
      <c r="E206" s="488">
        <f t="shared" si="85"/>
        <v>0</v>
      </c>
      <c r="F206" s="488">
        <f t="shared" si="85"/>
        <v>0</v>
      </c>
      <c r="G206" s="488">
        <f t="shared" si="85"/>
        <v>0</v>
      </c>
      <c r="H206" s="488">
        <f t="shared" si="85"/>
        <v>0</v>
      </c>
      <c r="I206" s="488">
        <f t="shared" si="85"/>
        <v>0</v>
      </c>
      <c r="J206" s="488">
        <f t="shared" si="85"/>
        <v>0</v>
      </c>
      <c r="K206" s="488">
        <f t="shared" si="85"/>
        <v>3435</v>
      </c>
      <c r="L206" s="488">
        <f t="shared" si="85"/>
        <v>0</v>
      </c>
      <c r="M206" s="488">
        <f t="shared" si="85"/>
        <v>0</v>
      </c>
      <c r="N206" s="488">
        <f t="shared" si="85"/>
        <v>0</v>
      </c>
      <c r="O206" s="488">
        <f t="shared" si="85"/>
        <v>18705</v>
      </c>
      <c r="P206" s="488">
        <f t="shared" si="85"/>
        <v>1123553.31</v>
      </c>
      <c r="Q206" s="476">
        <f t="shared" si="85"/>
        <v>197</v>
      </c>
      <c r="R206" s="488">
        <f t="shared" si="85"/>
        <v>3255</v>
      </c>
      <c r="S206" s="488">
        <f t="shared" si="85"/>
        <v>0</v>
      </c>
      <c r="T206" s="488">
        <f t="shared" si="85"/>
        <v>0</v>
      </c>
      <c r="U206" s="488">
        <f t="shared" si="85"/>
        <v>0</v>
      </c>
      <c r="V206" s="488">
        <f t="shared" si="85"/>
        <v>0</v>
      </c>
      <c r="W206" s="488">
        <f t="shared" si="85"/>
        <v>0</v>
      </c>
      <c r="X206" s="488">
        <f t="shared" si="85"/>
        <v>0</v>
      </c>
      <c r="Y206" s="488">
        <f t="shared" si="85"/>
        <v>0</v>
      </c>
      <c r="Z206" s="488">
        <f t="shared" si="85"/>
        <v>3255</v>
      </c>
      <c r="AA206" s="488">
        <f t="shared" si="85"/>
        <v>0</v>
      </c>
      <c r="AB206" s="488">
        <f t="shared" si="85"/>
        <v>0</v>
      </c>
      <c r="AC206" s="488">
        <f t="shared" si="85"/>
        <v>0</v>
      </c>
      <c r="AD206" s="488">
        <f t="shared" si="85"/>
        <v>18165</v>
      </c>
      <c r="AE206" s="488">
        <f t="shared" si="85"/>
        <v>1104766</v>
      </c>
      <c r="AF206" s="488">
        <f t="shared" si="85"/>
        <v>-540</v>
      </c>
      <c r="AG206" s="488">
        <f t="shared" si="85"/>
        <v>-18787.309999999998</v>
      </c>
      <c r="AH206" s="476">
        <f t="shared" si="85"/>
        <v>5</v>
      </c>
      <c r="AI206" s="488">
        <f t="shared" si="85"/>
        <v>30495</v>
      </c>
    </row>
    <row r="207" spans="1:35" x14ac:dyDescent="0.2">
      <c r="A207" s="383" t="s">
        <v>703</v>
      </c>
      <c r="B207" s="476"/>
      <c r="C207" s="384"/>
      <c r="D207" s="384"/>
      <c r="E207" s="384"/>
      <c r="F207" s="384"/>
      <c r="G207" s="384"/>
      <c r="H207" s="384"/>
      <c r="I207" s="384"/>
      <c r="J207" s="384"/>
      <c r="K207" s="384"/>
      <c r="L207" s="384"/>
      <c r="M207" s="384"/>
      <c r="N207" s="234"/>
      <c r="O207" s="385"/>
      <c r="P207" s="389"/>
      <c r="Q207" s="476"/>
      <c r="R207" s="384"/>
      <c r="S207" s="384"/>
      <c r="T207" s="384"/>
      <c r="U207" s="384"/>
      <c r="V207" s="384"/>
      <c r="W207" s="384"/>
      <c r="X207" s="384"/>
      <c r="Y207" s="384"/>
      <c r="Z207" s="384"/>
      <c r="AA207" s="384"/>
      <c r="AB207" s="384"/>
      <c r="AC207" s="234"/>
      <c r="AD207" s="385"/>
      <c r="AE207" s="389"/>
      <c r="AF207" s="389"/>
      <c r="AG207" s="383"/>
      <c r="AH207" s="477"/>
      <c r="AI207" s="383"/>
    </row>
    <row r="208" spans="1:35" x14ac:dyDescent="0.2">
      <c r="A208" s="478" t="s">
        <v>704</v>
      </c>
      <c r="B208" s="476"/>
      <c r="C208" s="384"/>
      <c r="D208" s="384"/>
      <c r="E208" s="384"/>
      <c r="F208" s="384"/>
      <c r="G208" s="384"/>
      <c r="H208" s="384"/>
      <c r="I208" s="384"/>
      <c r="J208" s="384"/>
      <c r="K208" s="384"/>
      <c r="L208" s="384"/>
      <c r="M208" s="384"/>
      <c r="N208" s="234"/>
      <c r="O208" s="385"/>
      <c r="P208" s="389"/>
      <c r="Q208" s="476"/>
      <c r="R208" s="384"/>
      <c r="S208" s="384"/>
      <c r="T208" s="384"/>
      <c r="U208" s="384"/>
      <c r="V208" s="384"/>
      <c r="W208" s="384"/>
      <c r="X208" s="384"/>
      <c r="Y208" s="384"/>
      <c r="Z208" s="384"/>
      <c r="AA208" s="384"/>
      <c r="AB208" s="384"/>
      <c r="AC208" s="234"/>
      <c r="AD208" s="385"/>
      <c r="AE208" s="389"/>
      <c r="AF208" s="389"/>
      <c r="AG208" s="383"/>
      <c r="AH208" s="477"/>
      <c r="AI208" s="383"/>
    </row>
    <row r="209" spans="1:35" x14ac:dyDescent="0.2">
      <c r="A209" s="478" t="s">
        <v>705</v>
      </c>
      <c r="B209" s="476">
        <v>122</v>
      </c>
      <c r="C209" s="384">
        <v>500</v>
      </c>
      <c r="D209" s="384"/>
      <c r="E209" s="384"/>
      <c r="F209" s="384"/>
      <c r="G209" s="384"/>
      <c r="H209" s="384"/>
      <c r="I209" s="384"/>
      <c r="J209" s="384"/>
      <c r="K209" s="479">
        <f>SUM(C209:J209)</f>
        <v>500</v>
      </c>
      <c r="L209" s="479"/>
      <c r="M209" s="479"/>
      <c r="N209" s="480">
        <f>L209+M209</f>
        <v>0</v>
      </c>
      <c r="O209" s="481">
        <f>K209*10+N209</f>
        <v>5000</v>
      </c>
      <c r="P209" s="482">
        <f>O209*B209</f>
        <v>610000</v>
      </c>
      <c r="Q209" s="476">
        <v>122</v>
      </c>
      <c r="R209" s="384">
        <v>500</v>
      </c>
      <c r="S209" s="384"/>
      <c r="T209" s="384"/>
      <c r="U209" s="384"/>
      <c r="V209" s="384"/>
      <c r="W209" s="384"/>
      <c r="X209" s="384"/>
      <c r="Y209" s="384"/>
      <c r="Z209" s="479">
        <f>SUM(R209:Y209)</f>
        <v>500</v>
      </c>
      <c r="AA209" s="479"/>
      <c r="AB209" s="479"/>
      <c r="AC209" s="480">
        <f>SUM(AA209:AB209)</f>
        <v>0</v>
      </c>
      <c r="AD209" s="481">
        <f>Z209*10</f>
        <v>5000</v>
      </c>
      <c r="AE209" s="482">
        <f>AD209*Q209</f>
        <v>610000</v>
      </c>
      <c r="AF209" s="482">
        <f>AD209-O209</f>
        <v>0</v>
      </c>
      <c r="AG209" s="483">
        <f>AE209-P209</f>
        <v>0</v>
      </c>
      <c r="AH209" s="477">
        <v>0</v>
      </c>
      <c r="AI209" s="483">
        <v>0</v>
      </c>
    </row>
    <row r="210" spans="1:35" x14ac:dyDescent="0.2">
      <c r="A210" s="478" t="s">
        <v>706</v>
      </c>
      <c r="B210" s="476">
        <v>36</v>
      </c>
      <c r="C210" s="384">
        <v>700</v>
      </c>
      <c r="D210" s="384"/>
      <c r="E210" s="384"/>
      <c r="F210" s="384"/>
      <c r="G210" s="384"/>
      <c r="H210" s="384"/>
      <c r="I210" s="384"/>
      <c r="J210" s="384"/>
      <c r="K210" s="479">
        <f>SUM(C210:J210)</f>
        <v>700</v>
      </c>
      <c r="L210" s="479"/>
      <c r="M210" s="479"/>
      <c r="N210" s="480">
        <f>L210+M210</f>
        <v>0</v>
      </c>
      <c r="O210" s="481">
        <f>K210*10+N210</f>
        <v>7000</v>
      </c>
      <c r="P210" s="482">
        <f>O210*B210</f>
        <v>252000</v>
      </c>
      <c r="Q210" s="476">
        <v>36</v>
      </c>
      <c r="R210" s="384">
        <v>700</v>
      </c>
      <c r="S210" s="384"/>
      <c r="T210" s="384"/>
      <c r="U210" s="384"/>
      <c r="V210" s="384"/>
      <c r="W210" s="384"/>
      <c r="X210" s="384"/>
      <c r="Y210" s="384"/>
      <c r="Z210" s="479">
        <f>SUM(R210:Y210)</f>
        <v>700</v>
      </c>
      <c r="AA210" s="479"/>
      <c r="AB210" s="479"/>
      <c r="AC210" s="480">
        <f>SUM(AA210:AB210)</f>
        <v>0</v>
      </c>
      <c r="AD210" s="481">
        <f>Z210*10</f>
        <v>7000</v>
      </c>
      <c r="AE210" s="482">
        <f>AD210*Q210</f>
        <v>252000</v>
      </c>
      <c r="AF210" s="482">
        <f>AD210-O210</f>
        <v>0</v>
      </c>
      <c r="AG210" s="483">
        <f>AE210-P210</f>
        <v>0</v>
      </c>
      <c r="AH210" s="477">
        <v>0</v>
      </c>
      <c r="AI210" s="483">
        <v>0</v>
      </c>
    </row>
    <row r="211" spans="1:35" x14ac:dyDescent="0.2">
      <c r="A211" s="383"/>
      <c r="B211" s="476"/>
      <c r="C211" s="384"/>
      <c r="D211" s="384"/>
      <c r="E211" s="384"/>
      <c r="F211" s="384"/>
      <c r="G211" s="384"/>
      <c r="H211" s="384"/>
      <c r="I211" s="384"/>
      <c r="J211" s="384"/>
      <c r="K211" s="384"/>
      <c r="L211" s="384"/>
      <c r="M211" s="384"/>
      <c r="N211" s="234"/>
      <c r="O211" s="385"/>
      <c r="P211" s="389"/>
      <c r="Q211" s="476"/>
      <c r="R211" s="384"/>
      <c r="S211" s="384"/>
      <c r="T211" s="384"/>
      <c r="U211" s="384"/>
      <c r="V211" s="384"/>
      <c r="W211" s="384"/>
      <c r="X211" s="384"/>
      <c r="Y211" s="384"/>
      <c r="Z211" s="384"/>
      <c r="AA211" s="384"/>
      <c r="AB211" s="384"/>
      <c r="AC211" s="234"/>
      <c r="AD211" s="385"/>
      <c r="AE211" s="389"/>
      <c r="AF211" s="389"/>
      <c r="AG211" s="383"/>
      <c r="AH211" s="477"/>
      <c r="AI211" s="383"/>
    </row>
    <row r="212" spans="1:35" x14ac:dyDescent="0.2">
      <c r="A212" s="383" t="s">
        <v>707</v>
      </c>
      <c r="B212" s="476"/>
      <c r="C212" s="384"/>
      <c r="D212" s="384"/>
      <c r="E212" s="384"/>
      <c r="F212" s="384"/>
      <c r="G212" s="384"/>
      <c r="H212" s="384"/>
      <c r="I212" s="384"/>
      <c r="J212" s="384"/>
      <c r="K212" s="384"/>
      <c r="L212" s="384"/>
      <c r="M212" s="384"/>
      <c r="N212" s="234"/>
      <c r="O212" s="385"/>
      <c r="P212" s="389"/>
      <c r="Q212" s="476"/>
      <c r="R212" s="384"/>
      <c r="S212" s="384"/>
      <c r="T212" s="384"/>
      <c r="U212" s="384"/>
      <c r="V212" s="384"/>
      <c r="W212" s="384"/>
      <c r="X212" s="384"/>
      <c r="Y212" s="384"/>
      <c r="Z212" s="384"/>
      <c r="AA212" s="384"/>
      <c r="AB212" s="384"/>
      <c r="AC212" s="234"/>
      <c r="AD212" s="385"/>
      <c r="AE212" s="389"/>
      <c r="AF212" s="389"/>
      <c r="AG212" s="383"/>
      <c r="AH212" s="477"/>
      <c r="AI212" s="383"/>
    </row>
    <row r="213" spans="1:35" x14ac:dyDescent="0.2">
      <c r="A213" s="411" t="s">
        <v>81</v>
      </c>
      <c r="B213" s="476">
        <v>39</v>
      </c>
      <c r="C213" s="384">
        <v>2235</v>
      </c>
      <c r="D213" s="384"/>
      <c r="E213" s="384"/>
      <c r="F213" s="384"/>
      <c r="G213" s="384"/>
      <c r="H213" s="384"/>
      <c r="I213" s="384"/>
      <c r="J213" s="384"/>
      <c r="K213" s="479">
        <f>SUM(C213:J213)</f>
        <v>2235</v>
      </c>
      <c r="L213" s="479"/>
      <c r="M213" s="479"/>
      <c r="N213" s="480">
        <f>L213+M213</f>
        <v>0</v>
      </c>
      <c r="O213" s="481">
        <f>K213*3+N213</f>
        <v>6705</v>
      </c>
      <c r="P213" s="482">
        <f>(O213*B213)+58.31</f>
        <v>261553.31</v>
      </c>
      <c r="Q213" s="476">
        <v>39</v>
      </c>
      <c r="R213" s="384">
        <v>2055</v>
      </c>
      <c r="S213" s="384"/>
      <c r="T213" s="384"/>
      <c r="U213" s="384"/>
      <c r="V213" s="384"/>
      <c r="W213" s="384"/>
      <c r="X213" s="384"/>
      <c r="Y213" s="384"/>
      <c r="Z213" s="479">
        <f>SUM(R213:Y213)</f>
        <v>2055</v>
      </c>
      <c r="AA213" s="479"/>
      <c r="AB213" s="479"/>
      <c r="AC213" s="480">
        <f>SUM(AA213:AB213)</f>
        <v>0</v>
      </c>
      <c r="AD213" s="481">
        <f>Z213*3</f>
        <v>6165</v>
      </c>
      <c r="AE213" s="482">
        <f>(AD213*Q213)+2331</f>
        <v>242766</v>
      </c>
      <c r="AF213" s="482">
        <f>AD213-O213</f>
        <v>-540</v>
      </c>
      <c r="AG213" s="483">
        <f>AE213-P213</f>
        <v>-18787.309999999998</v>
      </c>
      <c r="AH213" s="477">
        <v>5</v>
      </c>
      <c r="AI213" s="383">
        <v>30495</v>
      </c>
    </row>
    <row r="214" spans="1:35" x14ac:dyDescent="0.2">
      <c r="A214" s="383"/>
      <c r="B214" s="476"/>
      <c r="C214" s="479"/>
      <c r="D214" s="479"/>
      <c r="E214" s="479"/>
      <c r="F214" s="479"/>
      <c r="G214" s="479"/>
      <c r="H214" s="479"/>
      <c r="I214" s="479"/>
      <c r="J214" s="479"/>
      <c r="K214" s="479"/>
      <c r="L214" s="479"/>
      <c r="M214" s="479"/>
      <c r="N214" s="480"/>
      <c r="O214" s="481"/>
      <c r="P214" s="482"/>
      <c r="Q214" s="476"/>
      <c r="R214" s="479"/>
      <c r="S214" s="479"/>
      <c r="T214" s="479"/>
      <c r="U214" s="479"/>
      <c r="V214" s="479"/>
      <c r="W214" s="479"/>
      <c r="X214" s="479"/>
      <c r="Y214" s="479"/>
      <c r="Z214" s="479"/>
      <c r="AA214" s="479"/>
      <c r="AB214" s="479"/>
      <c r="AC214" s="480"/>
      <c r="AD214" s="481"/>
      <c r="AE214" s="482"/>
      <c r="AF214" s="482"/>
      <c r="AG214" s="483"/>
      <c r="AH214" s="477"/>
      <c r="AI214" s="483"/>
    </row>
    <row r="215" spans="1:35" x14ac:dyDescent="0.2">
      <c r="A215" s="383"/>
      <c r="B215" s="476"/>
      <c r="C215" s="479"/>
      <c r="D215" s="479"/>
      <c r="E215" s="479"/>
      <c r="F215" s="479"/>
      <c r="G215" s="479"/>
      <c r="H215" s="479"/>
      <c r="I215" s="479"/>
      <c r="J215" s="479"/>
      <c r="K215" s="479"/>
      <c r="L215" s="479"/>
      <c r="M215" s="479"/>
      <c r="N215" s="480"/>
      <c r="O215" s="481"/>
      <c r="P215" s="482"/>
      <c r="Q215" s="476"/>
      <c r="R215" s="479"/>
      <c r="S215" s="479"/>
      <c r="T215" s="479"/>
      <c r="U215" s="479"/>
      <c r="V215" s="479"/>
      <c r="W215" s="479"/>
      <c r="X215" s="479"/>
      <c r="Y215" s="479"/>
      <c r="Z215" s="479"/>
      <c r="AA215" s="479"/>
      <c r="AB215" s="479"/>
      <c r="AC215" s="480"/>
      <c r="AD215" s="481"/>
      <c r="AE215" s="482"/>
      <c r="AF215" s="482"/>
      <c r="AG215" s="483"/>
      <c r="AH215" s="477"/>
      <c r="AI215" s="483"/>
    </row>
    <row r="216" spans="1:35" x14ac:dyDescent="0.2">
      <c r="A216" s="383"/>
      <c r="B216" s="476"/>
      <c r="C216" s="479"/>
      <c r="D216" s="479"/>
      <c r="E216" s="479"/>
      <c r="F216" s="479"/>
      <c r="G216" s="479"/>
      <c r="H216" s="479"/>
      <c r="I216" s="479"/>
      <c r="J216" s="479"/>
      <c r="K216" s="479"/>
      <c r="L216" s="479"/>
      <c r="M216" s="479"/>
      <c r="N216" s="480"/>
      <c r="O216" s="481"/>
      <c r="P216" s="482"/>
      <c r="Q216" s="476"/>
      <c r="R216" s="479"/>
      <c r="S216" s="479"/>
      <c r="T216" s="479"/>
      <c r="U216" s="479"/>
      <c r="V216" s="479"/>
      <c r="W216" s="479"/>
      <c r="X216" s="479"/>
      <c r="Y216" s="479"/>
      <c r="Z216" s="479"/>
      <c r="AA216" s="479"/>
      <c r="AB216" s="479"/>
      <c r="AC216" s="480"/>
      <c r="AD216" s="481"/>
      <c r="AE216" s="482"/>
      <c r="AF216" s="482"/>
      <c r="AG216" s="483"/>
      <c r="AH216" s="477"/>
      <c r="AI216" s="483"/>
    </row>
    <row r="217" spans="1:35" ht="12.75" thickBot="1" x14ac:dyDescent="0.25">
      <c r="A217" s="383"/>
      <c r="B217" s="476"/>
      <c r="C217" s="479"/>
      <c r="D217" s="479"/>
      <c r="E217" s="479"/>
      <c r="F217" s="479"/>
      <c r="G217" s="479"/>
      <c r="H217" s="479"/>
      <c r="I217" s="479"/>
      <c r="J217" s="479"/>
      <c r="K217" s="479"/>
      <c r="L217" s="479"/>
      <c r="M217" s="479"/>
      <c r="N217" s="480"/>
      <c r="O217" s="481"/>
      <c r="P217" s="482"/>
      <c r="Q217" s="476"/>
      <c r="R217" s="479"/>
      <c r="S217" s="479"/>
      <c r="T217" s="479"/>
      <c r="U217" s="479"/>
      <c r="V217" s="479"/>
      <c r="W217" s="479"/>
      <c r="X217" s="479"/>
      <c r="Y217" s="479"/>
      <c r="Z217" s="479"/>
      <c r="AA217" s="479"/>
      <c r="AB217" s="479"/>
      <c r="AC217" s="480"/>
      <c r="AD217" s="481"/>
      <c r="AE217" s="482"/>
      <c r="AF217" s="482"/>
      <c r="AG217" s="483"/>
      <c r="AH217" s="477"/>
      <c r="AI217" s="483"/>
    </row>
    <row r="218" spans="1:35" ht="12.75" thickBot="1" x14ac:dyDescent="0.25">
      <c r="A218" s="489" t="s">
        <v>0</v>
      </c>
      <c r="B218" s="490">
        <f t="shared" ref="B218:AI218" si="86">B134+B166+B201+B206</f>
        <v>4810</v>
      </c>
      <c r="C218" s="491">
        <f t="shared" si="86"/>
        <v>95361.057000000001</v>
      </c>
      <c r="D218" s="491">
        <f t="shared" si="86"/>
        <v>21305</v>
      </c>
      <c r="E218" s="491">
        <f t="shared" si="86"/>
        <v>0</v>
      </c>
      <c r="F218" s="491">
        <f t="shared" si="86"/>
        <v>0</v>
      </c>
      <c r="G218" s="491">
        <f t="shared" si="86"/>
        <v>0</v>
      </c>
      <c r="H218" s="491">
        <f t="shared" si="86"/>
        <v>0</v>
      </c>
      <c r="I218" s="491">
        <f t="shared" si="86"/>
        <v>0</v>
      </c>
      <c r="J218" s="491">
        <f t="shared" si="86"/>
        <v>0</v>
      </c>
      <c r="K218" s="491">
        <f t="shared" si="86"/>
        <v>116666.057</v>
      </c>
      <c r="L218" s="491">
        <f t="shared" si="86"/>
        <v>37000</v>
      </c>
      <c r="M218" s="491">
        <f t="shared" si="86"/>
        <v>10000</v>
      </c>
      <c r="N218" s="491">
        <f t="shared" si="86"/>
        <v>47000</v>
      </c>
      <c r="O218" s="491">
        <f t="shared" si="86"/>
        <v>1424477.6840000001</v>
      </c>
      <c r="P218" s="491">
        <f t="shared" si="86"/>
        <v>162879762.01400003</v>
      </c>
      <c r="Q218" s="492">
        <f t="shared" si="86"/>
        <v>4979</v>
      </c>
      <c r="R218" s="491">
        <f t="shared" si="86"/>
        <v>96209.43078499999</v>
      </c>
      <c r="S218" s="491">
        <f t="shared" si="86"/>
        <v>23395</v>
      </c>
      <c r="T218" s="491">
        <f t="shared" si="86"/>
        <v>0</v>
      </c>
      <c r="U218" s="491">
        <f t="shared" si="86"/>
        <v>0</v>
      </c>
      <c r="V218" s="491">
        <f t="shared" si="86"/>
        <v>0</v>
      </c>
      <c r="W218" s="491">
        <f t="shared" si="86"/>
        <v>0</v>
      </c>
      <c r="X218" s="491">
        <f t="shared" si="86"/>
        <v>0</v>
      </c>
      <c r="Y218" s="491">
        <f t="shared" si="86"/>
        <v>0</v>
      </c>
      <c r="Z218" s="491">
        <f t="shared" si="86"/>
        <v>119604.430785</v>
      </c>
      <c r="AA218" s="491">
        <f t="shared" si="86"/>
        <v>36000</v>
      </c>
      <c r="AB218" s="491">
        <f t="shared" si="86"/>
        <v>10000</v>
      </c>
      <c r="AC218" s="491">
        <f t="shared" si="86"/>
        <v>47000</v>
      </c>
      <c r="AD218" s="491">
        <f t="shared" si="86"/>
        <v>1458358.1694199999</v>
      </c>
      <c r="AE218" s="491">
        <f t="shared" si="86"/>
        <v>173618319.99978</v>
      </c>
      <c r="AF218" s="491">
        <f t="shared" si="86"/>
        <v>33880.48541999999</v>
      </c>
      <c r="AG218" s="491">
        <f t="shared" si="86"/>
        <v>10738557.985779993</v>
      </c>
      <c r="AH218" s="493">
        <f t="shared" si="86"/>
        <v>4787</v>
      </c>
      <c r="AI218" s="494">
        <f t="shared" si="86"/>
        <v>166861009.00496</v>
      </c>
    </row>
    <row r="219" spans="1:35" x14ac:dyDescent="0.2">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row>
    <row r="220" spans="1:35" x14ac:dyDescent="0.2">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row>
    <row r="221" spans="1:35" ht="12.75" thickBot="1" x14ac:dyDescent="0.25">
      <c r="A221" s="274" t="s">
        <v>708</v>
      </c>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row>
    <row r="222" spans="1:35" ht="12.75" thickBot="1" x14ac:dyDescent="0.25">
      <c r="A222" s="1378" t="s">
        <v>42</v>
      </c>
      <c r="B222" s="1381" t="s">
        <v>356</v>
      </c>
      <c r="C222" s="1381"/>
      <c r="D222" s="1381"/>
      <c r="E222" s="1381"/>
      <c r="F222" s="1381"/>
      <c r="G222" s="1381"/>
      <c r="H222" s="1381"/>
      <c r="I222" s="1381"/>
      <c r="J222" s="1381"/>
      <c r="K222" s="1381"/>
      <c r="L222" s="1381"/>
      <c r="M222" s="1381"/>
      <c r="N222" s="1381"/>
      <c r="O222" s="1381"/>
      <c r="P222" s="1381"/>
      <c r="Q222" s="1382" t="s">
        <v>378</v>
      </c>
      <c r="R222" s="1381"/>
      <c r="S222" s="1381"/>
      <c r="T222" s="1381"/>
      <c r="U222" s="1381"/>
      <c r="V222" s="1381"/>
      <c r="W222" s="1381"/>
      <c r="X222" s="1381"/>
      <c r="Y222" s="1381"/>
      <c r="Z222" s="1381"/>
      <c r="AA222" s="1381"/>
      <c r="AB222" s="1381"/>
      <c r="AC222" s="1381"/>
      <c r="AD222" s="1381"/>
      <c r="AE222" s="1383"/>
      <c r="AF222" s="1384" t="s">
        <v>379</v>
      </c>
      <c r="AG222" s="1385"/>
      <c r="AH222" s="1384" t="s">
        <v>380</v>
      </c>
      <c r="AI222" s="1385"/>
    </row>
    <row r="223" spans="1:35" ht="138" x14ac:dyDescent="0.2">
      <c r="A223" s="1379"/>
      <c r="B223" s="365" t="s">
        <v>11</v>
      </c>
      <c r="C223" s="366" t="s">
        <v>130</v>
      </c>
      <c r="D223" s="367" t="s">
        <v>245</v>
      </c>
      <c r="E223" s="367" t="s">
        <v>132</v>
      </c>
      <c r="F223" s="367" t="s">
        <v>154</v>
      </c>
      <c r="G223" s="367" t="s">
        <v>155</v>
      </c>
      <c r="H223" s="367" t="s">
        <v>156</v>
      </c>
      <c r="I223" s="367" t="s">
        <v>157</v>
      </c>
      <c r="J223" s="367" t="s">
        <v>133</v>
      </c>
      <c r="K223" s="367" t="s">
        <v>134</v>
      </c>
      <c r="L223" s="367" t="s">
        <v>135</v>
      </c>
      <c r="M223" s="367" t="s">
        <v>153</v>
      </c>
      <c r="N223" s="368" t="s">
        <v>104</v>
      </c>
      <c r="O223" s="369" t="s">
        <v>138</v>
      </c>
      <c r="P223" s="371" t="s">
        <v>137</v>
      </c>
      <c r="Q223" s="365" t="s">
        <v>11</v>
      </c>
      <c r="R223" s="366" t="s">
        <v>130</v>
      </c>
      <c r="S223" s="367" t="s">
        <v>131</v>
      </c>
      <c r="T223" s="367" t="s">
        <v>132</v>
      </c>
      <c r="U223" s="367" t="s">
        <v>154</v>
      </c>
      <c r="V223" s="367" t="s">
        <v>155</v>
      </c>
      <c r="W223" s="367" t="s">
        <v>156</v>
      </c>
      <c r="X223" s="367" t="s">
        <v>157</v>
      </c>
      <c r="Y223" s="367" t="s">
        <v>133</v>
      </c>
      <c r="Z223" s="367" t="s">
        <v>134</v>
      </c>
      <c r="AA223" s="367" t="s">
        <v>135</v>
      </c>
      <c r="AB223" s="367" t="s">
        <v>153</v>
      </c>
      <c r="AC223" s="368" t="s">
        <v>104</v>
      </c>
      <c r="AD223" s="369" t="s">
        <v>138</v>
      </c>
      <c r="AE223" s="371" t="s">
        <v>425</v>
      </c>
      <c r="AF223" s="372" t="s">
        <v>142</v>
      </c>
      <c r="AG223" s="372" t="s">
        <v>141</v>
      </c>
      <c r="AH223" s="372" t="s">
        <v>11</v>
      </c>
      <c r="AI223" s="371" t="s">
        <v>426</v>
      </c>
    </row>
    <row r="224" spans="1:35" ht="12.75" thickBot="1" x14ac:dyDescent="0.25">
      <c r="A224" s="1380"/>
      <c r="B224" s="373" t="s">
        <v>43</v>
      </c>
      <c r="C224" s="374" t="s">
        <v>44</v>
      </c>
      <c r="D224" s="375" t="s">
        <v>45</v>
      </c>
      <c r="E224" s="375" t="s">
        <v>46</v>
      </c>
      <c r="F224" s="376" t="s">
        <v>47</v>
      </c>
      <c r="G224" s="376" t="s">
        <v>48</v>
      </c>
      <c r="H224" s="376" t="s">
        <v>63</v>
      </c>
      <c r="I224" s="376" t="s">
        <v>103</v>
      </c>
      <c r="J224" s="376" t="s">
        <v>136</v>
      </c>
      <c r="K224" s="376" t="s">
        <v>140</v>
      </c>
      <c r="L224" s="376" t="s">
        <v>162</v>
      </c>
      <c r="M224" s="376" t="s">
        <v>163</v>
      </c>
      <c r="N224" s="377" t="s">
        <v>165</v>
      </c>
      <c r="O224" s="378" t="s">
        <v>166</v>
      </c>
      <c r="P224" s="381" t="s">
        <v>167</v>
      </c>
      <c r="Q224" s="373" t="s">
        <v>43</v>
      </c>
      <c r="R224" s="374" t="s">
        <v>44</v>
      </c>
      <c r="S224" s="375" t="s">
        <v>45</v>
      </c>
      <c r="T224" s="375" t="s">
        <v>46</v>
      </c>
      <c r="U224" s="376" t="s">
        <v>47</v>
      </c>
      <c r="V224" s="376" t="s">
        <v>48</v>
      </c>
      <c r="W224" s="376" t="s">
        <v>63</v>
      </c>
      <c r="X224" s="376" t="s">
        <v>103</v>
      </c>
      <c r="Y224" s="376" t="s">
        <v>136</v>
      </c>
      <c r="Z224" s="376" t="s">
        <v>140</v>
      </c>
      <c r="AA224" s="376" t="s">
        <v>162</v>
      </c>
      <c r="AB224" s="376" t="s">
        <v>163</v>
      </c>
      <c r="AC224" s="377" t="s">
        <v>165</v>
      </c>
      <c r="AD224" s="378" t="s">
        <v>166</v>
      </c>
      <c r="AE224" s="381" t="s">
        <v>167</v>
      </c>
      <c r="AF224" s="380"/>
      <c r="AG224" s="373"/>
      <c r="AH224" s="380"/>
      <c r="AI224" s="373"/>
    </row>
    <row r="225" spans="1:35" x14ac:dyDescent="0.2">
      <c r="A225" s="383" t="s">
        <v>49</v>
      </c>
      <c r="B225" s="383"/>
      <c r="C225" s="384"/>
      <c r="D225" s="384"/>
      <c r="E225" s="384"/>
      <c r="F225" s="384"/>
      <c r="G225" s="384"/>
      <c r="H225" s="384"/>
      <c r="I225" s="384"/>
      <c r="J225" s="384"/>
      <c r="K225" s="384"/>
      <c r="L225" s="384"/>
      <c r="M225" s="384"/>
      <c r="N225" s="234"/>
      <c r="O225" s="481"/>
      <c r="P225" s="482"/>
      <c r="Q225" s="383"/>
      <c r="R225" s="384"/>
      <c r="S225" s="384"/>
      <c r="T225" s="384"/>
      <c r="U225" s="384"/>
      <c r="V225" s="384"/>
      <c r="W225" s="384"/>
      <c r="X225" s="384"/>
      <c r="Y225" s="384"/>
      <c r="Z225" s="384"/>
      <c r="AA225" s="384"/>
      <c r="AB225" s="384"/>
      <c r="AC225" s="234"/>
      <c r="AD225" s="385"/>
      <c r="AE225" s="389"/>
      <c r="AF225" s="389"/>
      <c r="AG225" s="383"/>
      <c r="AH225" s="389"/>
      <c r="AI225" s="383"/>
    </row>
    <row r="226" spans="1:35" x14ac:dyDescent="0.2">
      <c r="A226" s="478" t="s">
        <v>580</v>
      </c>
      <c r="B226" s="383">
        <v>4</v>
      </c>
      <c r="C226" s="479">
        <v>2385</v>
      </c>
      <c r="D226" s="479">
        <v>1210</v>
      </c>
      <c r="E226" s="479"/>
      <c r="F226" s="479"/>
      <c r="G226" s="479"/>
      <c r="H226" s="479"/>
      <c r="I226" s="479"/>
      <c r="J226" s="479">
        <v>71</v>
      </c>
      <c r="K226" s="479">
        <f t="shared" ref="K226:K240" si="87">SUM(C226:J226)</f>
        <v>3666</v>
      </c>
      <c r="L226" s="479">
        <v>1000</v>
      </c>
      <c r="M226" s="479"/>
      <c r="N226" s="480">
        <f t="shared" ref="N226:N240" si="88">L226+M226</f>
        <v>1000</v>
      </c>
      <c r="O226" s="481">
        <f t="shared" ref="O226:O240" si="89">K226*12</f>
        <v>43992</v>
      </c>
      <c r="P226" s="482">
        <f t="shared" ref="P226:P240" si="90">B226*O226</f>
        <v>175968</v>
      </c>
      <c r="Q226" s="383">
        <v>4</v>
      </c>
      <c r="R226" s="384">
        <v>2696</v>
      </c>
      <c r="S226" s="479">
        <v>1892</v>
      </c>
      <c r="T226" s="384"/>
      <c r="U226" s="384"/>
      <c r="V226" s="384"/>
      <c r="W226" s="384"/>
      <c r="X226" s="384"/>
      <c r="Y226" s="384">
        <v>183</v>
      </c>
      <c r="Z226" s="479">
        <f t="shared" ref="Z226:Z240" si="91">SUM(R226:Y226)</f>
        <v>4771</v>
      </c>
      <c r="AA226" s="479">
        <v>1000</v>
      </c>
      <c r="AB226" s="384"/>
      <c r="AC226" s="480">
        <f t="shared" ref="AC226:AC240" si="92">AA226+AB226</f>
        <v>1000</v>
      </c>
      <c r="AD226" s="481">
        <f t="shared" ref="AD226:AD240" si="93">Z226*12</f>
        <v>57252</v>
      </c>
      <c r="AE226" s="482">
        <f t="shared" ref="AE226:AE240" si="94">Q226*AD226</f>
        <v>229008</v>
      </c>
      <c r="AF226" s="482">
        <f t="shared" ref="AF226:AF240" si="95">O226-AD226</f>
        <v>-13260</v>
      </c>
      <c r="AG226" s="482">
        <f t="shared" ref="AG226:AG240" si="96">P226-AE226</f>
        <v>-53040</v>
      </c>
      <c r="AH226" s="383">
        <v>4</v>
      </c>
      <c r="AI226" s="482">
        <v>229008</v>
      </c>
    </row>
    <row r="227" spans="1:35" x14ac:dyDescent="0.2">
      <c r="A227" s="478" t="s">
        <v>581</v>
      </c>
      <c r="B227" s="383">
        <v>3</v>
      </c>
      <c r="C227" s="479">
        <v>3168</v>
      </c>
      <c r="D227" s="479">
        <v>1210</v>
      </c>
      <c r="E227" s="479"/>
      <c r="F227" s="479"/>
      <c r="G227" s="479"/>
      <c r="H227" s="479"/>
      <c r="I227" s="479"/>
      <c r="J227" s="479">
        <v>71</v>
      </c>
      <c r="K227" s="479">
        <f t="shared" si="87"/>
        <v>4449</v>
      </c>
      <c r="L227" s="479">
        <v>1000</v>
      </c>
      <c r="M227" s="479"/>
      <c r="N227" s="480">
        <f t="shared" si="88"/>
        <v>1000</v>
      </c>
      <c r="O227" s="481">
        <f t="shared" si="89"/>
        <v>53388</v>
      </c>
      <c r="P227" s="482">
        <f t="shared" si="90"/>
        <v>160164</v>
      </c>
      <c r="Q227" s="383">
        <v>3</v>
      </c>
      <c r="R227" s="384">
        <v>2733</v>
      </c>
      <c r="S227" s="479">
        <v>1693</v>
      </c>
      <c r="T227" s="384"/>
      <c r="U227" s="384"/>
      <c r="V227" s="384"/>
      <c r="W227" s="384"/>
      <c r="X227" s="384"/>
      <c r="Y227" s="384">
        <v>189</v>
      </c>
      <c r="Z227" s="479">
        <f t="shared" si="91"/>
        <v>4615</v>
      </c>
      <c r="AA227" s="479">
        <v>1000</v>
      </c>
      <c r="AB227" s="384"/>
      <c r="AC227" s="480">
        <f t="shared" si="92"/>
        <v>1000</v>
      </c>
      <c r="AD227" s="481">
        <f t="shared" si="93"/>
        <v>55380</v>
      </c>
      <c r="AE227" s="482">
        <f t="shared" si="94"/>
        <v>166140</v>
      </c>
      <c r="AF227" s="482">
        <f t="shared" si="95"/>
        <v>-1992</v>
      </c>
      <c r="AG227" s="482">
        <f t="shared" si="96"/>
        <v>-5976</v>
      </c>
      <c r="AH227" s="383">
        <v>3</v>
      </c>
      <c r="AI227" s="482">
        <v>166140</v>
      </c>
    </row>
    <row r="228" spans="1:35" x14ac:dyDescent="0.2">
      <c r="A228" s="478" t="s">
        <v>13</v>
      </c>
      <c r="B228" s="383">
        <v>1</v>
      </c>
      <c r="C228" s="479">
        <v>1583</v>
      </c>
      <c r="D228" s="479">
        <v>1110</v>
      </c>
      <c r="E228" s="479"/>
      <c r="F228" s="479"/>
      <c r="G228" s="479"/>
      <c r="H228" s="479"/>
      <c r="I228" s="479"/>
      <c r="J228" s="479">
        <v>65</v>
      </c>
      <c r="K228" s="479">
        <f t="shared" si="87"/>
        <v>2758</v>
      </c>
      <c r="L228" s="479">
        <v>1000</v>
      </c>
      <c r="M228" s="479"/>
      <c r="N228" s="480">
        <f t="shared" si="88"/>
        <v>1000</v>
      </c>
      <c r="O228" s="481">
        <f t="shared" si="89"/>
        <v>33096</v>
      </c>
      <c r="P228" s="482">
        <f t="shared" si="90"/>
        <v>33096</v>
      </c>
      <c r="Q228" s="383">
        <v>1</v>
      </c>
      <c r="R228" s="384">
        <v>1083</v>
      </c>
      <c r="S228" s="479">
        <v>1230</v>
      </c>
      <c r="T228" s="384"/>
      <c r="U228" s="384"/>
      <c r="V228" s="384"/>
      <c r="W228" s="384"/>
      <c r="X228" s="384"/>
      <c r="Y228" s="384">
        <v>84</v>
      </c>
      <c r="Z228" s="479">
        <f t="shared" si="91"/>
        <v>2397</v>
      </c>
      <c r="AA228" s="479">
        <v>1000</v>
      </c>
      <c r="AB228" s="384"/>
      <c r="AC228" s="480">
        <f t="shared" si="92"/>
        <v>1000</v>
      </c>
      <c r="AD228" s="481">
        <f t="shared" si="93"/>
        <v>28764</v>
      </c>
      <c r="AE228" s="482">
        <f t="shared" si="94"/>
        <v>28764</v>
      </c>
      <c r="AF228" s="482">
        <f t="shared" si="95"/>
        <v>4332</v>
      </c>
      <c r="AG228" s="482">
        <f t="shared" si="96"/>
        <v>4332</v>
      </c>
      <c r="AH228" s="383">
        <v>1</v>
      </c>
      <c r="AI228" s="482">
        <v>28764</v>
      </c>
    </row>
    <row r="229" spans="1:35" x14ac:dyDescent="0.2">
      <c r="A229" s="478" t="s">
        <v>583</v>
      </c>
      <c r="B229" s="383">
        <v>5</v>
      </c>
      <c r="C229" s="479">
        <v>1472</v>
      </c>
      <c r="D229" s="479">
        <v>1110</v>
      </c>
      <c r="E229" s="479"/>
      <c r="F229" s="479"/>
      <c r="G229" s="479"/>
      <c r="H229" s="479"/>
      <c r="I229" s="479"/>
      <c r="J229" s="479">
        <v>65</v>
      </c>
      <c r="K229" s="479">
        <f t="shared" si="87"/>
        <v>2647</v>
      </c>
      <c r="L229" s="479">
        <v>1000</v>
      </c>
      <c r="M229" s="479"/>
      <c r="N229" s="480">
        <f t="shared" si="88"/>
        <v>1000</v>
      </c>
      <c r="O229" s="481">
        <f t="shared" si="89"/>
        <v>31764</v>
      </c>
      <c r="P229" s="482">
        <f t="shared" si="90"/>
        <v>158820</v>
      </c>
      <c r="Q229" s="383">
        <v>5</v>
      </c>
      <c r="R229" s="384">
        <v>1215</v>
      </c>
      <c r="S229" s="479">
        <v>1230</v>
      </c>
      <c r="T229" s="384"/>
      <c r="U229" s="384"/>
      <c r="V229" s="384"/>
      <c r="W229" s="384"/>
      <c r="X229" s="384"/>
      <c r="Y229" s="384">
        <v>93</v>
      </c>
      <c r="Z229" s="479">
        <f t="shared" si="91"/>
        <v>2538</v>
      </c>
      <c r="AA229" s="479">
        <v>1000</v>
      </c>
      <c r="AB229" s="384"/>
      <c r="AC229" s="480">
        <f t="shared" si="92"/>
        <v>1000</v>
      </c>
      <c r="AD229" s="481">
        <f t="shared" si="93"/>
        <v>30456</v>
      </c>
      <c r="AE229" s="482">
        <f t="shared" si="94"/>
        <v>152280</v>
      </c>
      <c r="AF229" s="482">
        <f t="shared" si="95"/>
        <v>1308</v>
      </c>
      <c r="AG229" s="482">
        <f t="shared" si="96"/>
        <v>6540</v>
      </c>
      <c r="AH229" s="383">
        <v>5</v>
      </c>
      <c r="AI229" s="482">
        <v>152280</v>
      </c>
    </row>
    <row r="230" spans="1:35" x14ac:dyDescent="0.2">
      <c r="A230" s="478" t="s">
        <v>584</v>
      </c>
      <c r="B230" s="383">
        <v>1</v>
      </c>
      <c r="C230" s="479">
        <v>1283</v>
      </c>
      <c r="D230" s="479">
        <v>1110</v>
      </c>
      <c r="E230" s="479"/>
      <c r="F230" s="479"/>
      <c r="G230" s="479"/>
      <c r="H230" s="479"/>
      <c r="I230" s="479"/>
      <c r="J230" s="479">
        <v>65</v>
      </c>
      <c r="K230" s="479">
        <f t="shared" si="87"/>
        <v>2458</v>
      </c>
      <c r="L230" s="479">
        <v>1000</v>
      </c>
      <c r="M230" s="479"/>
      <c r="N230" s="480">
        <f t="shared" si="88"/>
        <v>1000</v>
      </c>
      <c r="O230" s="481">
        <f t="shared" si="89"/>
        <v>29496</v>
      </c>
      <c r="P230" s="482">
        <f t="shared" si="90"/>
        <v>29496</v>
      </c>
      <c r="Q230" s="383">
        <v>1</v>
      </c>
      <c r="R230" s="384">
        <v>983</v>
      </c>
      <c r="S230" s="479">
        <v>1230</v>
      </c>
      <c r="T230" s="384"/>
      <c r="U230" s="384"/>
      <c r="V230" s="384"/>
      <c r="W230" s="384"/>
      <c r="X230" s="384"/>
      <c r="Y230" s="384">
        <v>84</v>
      </c>
      <c r="Z230" s="479">
        <f t="shared" si="91"/>
        <v>2297</v>
      </c>
      <c r="AA230" s="479">
        <v>1000</v>
      </c>
      <c r="AB230" s="384"/>
      <c r="AC230" s="480">
        <f t="shared" si="92"/>
        <v>1000</v>
      </c>
      <c r="AD230" s="481">
        <f t="shared" si="93"/>
        <v>27564</v>
      </c>
      <c r="AE230" s="482">
        <f t="shared" si="94"/>
        <v>27564</v>
      </c>
      <c r="AF230" s="482">
        <f t="shared" si="95"/>
        <v>1932</v>
      </c>
      <c r="AG230" s="482">
        <f t="shared" si="96"/>
        <v>1932</v>
      </c>
      <c r="AH230" s="383">
        <v>1</v>
      </c>
      <c r="AI230" s="482">
        <v>27564</v>
      </c>
    </row>
    <row r="231" spans="1:35" x14ac:dyDescent="0.2">
      <c r="A231" s="478" t="s">
        <v>14</v>
      </c>
      <c r="B231" s="383">
        <v>10</v>
      </c>
      <c r="C231" s="479">
        <v>1277</v>
      </c>
      <c r="D231" s="479">
        <v>1110</v>
      </c>
      <c r="E231" s="479"/>
      <c r="F231" s="479"/>
      <c r="G231" s="479"/>
      <c r="H231" s="479"/>
      <c r="I231" s="479"/>
      <c r="J231" s="479">
        <v>65</v>
      </c>
      <c r="K231" s="479">
        <f t="shared" si="87"/>
        <v>2452</v>
      </c>
      <c r="L231" s="479">
        <v>1000</v>
      </c>
      <c r="M231" s="479"/>
      <c r="N231" s="480">
        <f t="shared" si="88"/>
        <v>1000</v>
      </c>
      <c r="O231" s="481">
        <f t="shared" si="89"/>
        <v>29424</v>
      </c>
      <c r="P231" s="482">
        <f t="shared" si="90"/>
        <v>294240</v>
      </c>
      <c r="Q231" s="383">
        <v>10</v>
      </c>
      <c r="R231" s="384">
        <v>1850</v>
      </c>
      <c r="S231" s="479">
        <v>1570</v>
      </c>
      <c r="T231" s="384"/>
      <c r="U231" s="384"/>
      <c r="V231" s="384"/>
      <c r="W231" s="384"/>
      <c r="X231" s="384"/>
      <c r="Y231" s="384">
        <v>120</v>
      </c>
      <c r="Z231" s="479">
        <f t="shared" si="91"/>
        <v>3540</v>
      </c>
      <c r="AA231" s="479">
        <v>1000</v>
      </c>
      <c r="AB231" s="384"/>
      <c r="AC231" s="480">
        <f t="shared" si="92"/>
        <v>1000</v>
      </c>
      <c r="AD231" s="481">
        <f t="shared" si="93"/>
        <v>42480</v>
      </c>
      <c r="AE231" s="482">
        <f t="shared" si="94"/>
        <v>424800</v>
      </c>
      <c r="AF231" s="482">
        <f t="shared" si="95"/>
        <v>-13056</v>
      </c>
      <c r="AG231" s="482">
        <f t="shared" si="96"/>
        <v>-130560</v>
      </c>
      <c r="AH231" s="383">
        <v>10</v>
      </c>
      <c r="AI231" s="482">
        <v>424800</v>
      </c>
    </row>
    <row r="232" spans="1:35" x14ac:dyDescent="0.2">
      <c r="A232" s="478" t="s">
        <v>15</v>
      </c>
      <c r="B232" s="383">
        <v>39</v>
      </c>
      <c r="C232" s="479">
        <v>968</v>
      </c>
      <c r="D232" s="479">
        <v>1070</v>
      </c>
      <c r="E232" s="479"/>
      <c r="F232" s="479"/>
      <c r="G232" s="479"/>
      <c r="H232" s="479"/>
      <c r="I232" s="479"/>
      <c r="J232" s="479">
        <v>86</v>
      </c>
      <c r="K232" s="479">
        <f t="shared" si="87"/>
        <v>2124</v>
      </c>
      <c r="L232" s="479">
        <v>1000</v>
      </c>
      <c r="M232" s="479"/>
      <c r="N232" s="480">
        <f t="shared" si="88"/>
        <v>1000</v>
      </c>
      <c r="O232" s="481">
        <f t="shared" si="89"/>
        <v>25488</v>
      </c>
      <c r="P232" s="482">
        <f t="shared" si="90"/>
        <v>994032</v>
      </c>
      <c r="Q232" s="383">
        <v>37</v>
      </c>
      <c r="R232" s="384">
        <v>1014</v>
      </c>
      <c r="S232" s="479">
        <v>1170</v>
      </c>
      <c r="T232" s="384"/>
      <c r="U232" s="384"/>
      <c r="V232" s="384"/>
      <c r="W232" s="384"/>
      <c r="X232" s="384"/>
      <c r="Y232" s="384">
        <v>90</v>
      </c>
      <c r="Z232" s="479">
        <f t="shared" si="91"/>
        <v>2274</v>
      </c>
      <c r="AA232" s="479">
        <v>1000</v>
      </c>
      <c r="AB232" s="384"/>
      <c r="AC232" s="480">
        <f t="shared" si="92"/>
        <v>1000</v>
      </c>
      <c r="AD232" s="481">
        <f t="shared" si="93"/>
        <v>27288</v>
      </c>
      <c r="AE232" s="482">
        <f t="shared" si="94"/>
        <v>1009656</v>
      </c>
      <c r="AF232" s="482">
        <f t="shared" si="95"/>
        <v>-1800</v>
      </c>
      <c r="AG232" s="482">
        <f t="shared" si="96"/>
        <v>-15624</v>
      </c>
      <c r="AH232" s="383">
        <v>37</v>
      </c>
      <c r="AI232" s="482">
        <v>1009656</v>
      </c>
    </row>
    <row r="233" spans="1:35" x14ac:dyDescent="0.2">
      <c r="A233" s="478" t="s">
        <v>586</v>
      </c>
      <c r="B233" s="383">
        <v>1</v>
      </c>
      <c r="C233" s="479">
        <v>911</v>
      </c>
      <c r="D233" s="479">
        <v>1070</v>
      </c>
      <c r="E233" s="479"/>
      <c r="F233" s="479"/>
      <c r="G233" s="479"/>
      <c r="H233" s="479"/>
      <c r="I233" s="479"/>
      <c r="J233" s="479">
        <v>86</v>
      </c>
      <c r="K233" s="479">
        <f t="shared" si="87"/>
        <v>2067</v>
      </c>
      <c r="L233" s="479">
        <v>1000</v>
      </c>
      <c r="M233" s="479"/>
      <c r="N233" s="480">
        <f t="shared" si="88"/>
        <v>1000</v>
      </c>
      <c r="O233" s="481">
        <f t="shared" si="89"/>
        <v>24804</v>
      </c>
      <c r="P233" s="482">
        <f t="shared" si="90"/>
        <v>24804</v>
      </c>
      <c r="Q233" s="383">
        <v>1</v>
      </c>
      <c r="R233" s="384">
        <v>911</v>
      </c>
      <c r="S233" s="479">
        <v>1170</v>
      </c>
      <c r="T233" s="384"/>
      <c r="U233" s="384"/>
      <c r="V233" s="384"/>
      <c r="W233" s="384"/>
      <c r="X233" s="384"/>
      <c r="Y233" s="384">
        <v>84</v>
      </c>
      <c r="Z233" s="479">
        <f t="shared" si="91"/>
        <v>2165</v>
      </c>
      <c r="AA233" s="479">
        <v>1000</v>
      </c>
      <c r="AB233" s="384"/>
      <c r="AC233" s="480">
        <f t="shared" si="92"/>
        <v>1000</v>
      </c>
      <c r="AD233" s="481">
        <f t="shared" si="93"/>
        <v>25980</v>
      </c>
      <c r="AE233" s="482">
        <f t="shared" si="94"/>
        <v>25980</v>
      </c>
      <c r="AF233" s="482">
        <f t="shared" si="95"/>
        <v>-1176</v>
      </c>
      <c r="AG233" s="482">
        <f t="shared" si="96"/>
        <v>-1176</v>
      </c>
      <c r="AH233" s="383">
        <v>1</v>
      </c>
      <c r="AI233" s="482">
        <v>25980</v>
      </c>
    </row>
    <row r="234" spans="1:35" x14ac:dyDescent="0.2">
      <c r="A234" s="478" t="s">
        <v>587</v>
      </c>
      <c r="B234" s="383">
        <v>10</v>
      </c>
      <c r="C234" s="479">
        <v>904</v>
      </c>
      <c r="D234" s="479">
        <v>1070</v>
      </c>
      <c r="E234" s="479"/>
      <c r="F234" s="479"/>
      <c r="G234" s="479"/>
      <c r="H234" s="479"/>
      <c r="I234" s="479"/>
      <c r="J234" s="479">
        <v>86</v>
      </c>
      <c r="K234" s="479">
        <f t="shared" si="87"/>
        <v>2060</v>
      </c>
      <c r="L234" s="479">
        <v>1000</v>
      </c>
      <c r="M234" s="479"/>
      <c r="N234" s="480">
        <f t="shared" si="88"/>
        <v>1000</v>
      </c>
      <c r="O234" s="481">
        <f t="shared" si="89"/>
        <v>24720</v>
      </c>
      <c r="P234" s="482">
        <f t="shared" si="90"/>
        <v>247200</v>
      </c>
      <c r="Q234" s="383">
        <v>9</v>
      </c>
      <c r="R234" s="384">
        <v>1057</v>
      </c>
      <c r="S234" s="479">
        <v>1339</v>
      </c>
      <c r="T234" s="384"/>
      <c r="U234" s="384"/>
      <c r="V234" s="384"/>
      <c r="W234" s="384"/>
      <c r="X234" s="384"/>
      <c r="Y234" s="384">
        <v>92</v>
      </c>
      <c r="Z234" s="479">
        <f t="shared" si="91"/>
        <v>2488</v>
      </c>
      <c r="AA234" s="479">
        <v>1000</v>
      </c>
      <c r="AB234" s="384"/>
      <c r="AC234" s="480">
        <f t="shared" si="92"/>
        <v>1000</v>
      </c>
      <c r="AD234" s="481">
        <f t="shared" si="93"/>
        <v>29856</v>
      </c>
      <c r="AE234" s="482">
        <f t="shared" si="94"/>
        <v>268704</v>
      </c>
      <c r="AF234" s="482">
        <f t="shared" si="95"/>
        <v>-5136</v>
      </c>
      <c r="AG234" s="482">
        <f t="shared" si="96"/>
        <v>-21504</v>
      </c>
      <c r="AH234" s="383">
        <v>9</v>
      </c>
      <c r="AI234" s="482">
        <v>268704</v>
      </c>
    </row>
    <row r="235" spans="1:35" x14ac:dyDescent="0.2">
      <c r="A235" s="478" t="s">
        <v>588</v>
      </c>
      <c r="B235" s="383">
        <v>3</v>
      </c>
      <c r="C235" s="479">
        <v>799</v>
      </c>
      <c r="D235" s="479">
        <v>1070</v>
      </c>
      <c r="E235" s="479"/>
      <c r="F235" s="479"/>
      <c r="G235" s="479"/>
      <c r="H235" s="479"/>
      <c r="I235" s="479"/>
      <c r="J235" s="479">
        <v>86</v>
      </c>
      <c r="K235" s="479">
        <f t="shared" si="87"/>
        <v>1955</v>
      </c>
      <c r="L235" s="479">
        <v>1000</v>
      </c>
      <c r="M235" s="479"/>
      <c r="N235" s="480">
        <f t="shared" si="88"/>
        <v>1000</v>
      </c>
      <c r="O235" s="481">
        <f t="shared" si="89"/>
        <v>23460</v>
      </c>
      <c r="P235" s="482">
        <f t="shared" si="90"/>
        <v>70380</v>
      </c>
      <c r="Q235" s="383">
        <v>3</v>
      </c>
      <c r="R235" s="384">
        <v>826</v>
      </c>
      <c r="S235" s="479">
        <v>1170</v>
      </c>
      <c r="T235" s="384"/>
      <c r="U235" s="384"/>
      <c r="V235" s="384"/>
      <c r="W235" s="384"/>
      <c r="X235" s="384"/>
      <c r="Y235" s="384">
        <v>84</v>
      </c>
      <c r="Z235" s="479">
        <f t="shared" si="91"/>
        <v>2080</v>
      </c>
      <c r="AA235" s="479">
        <v>1000</v>
      </c>
      <c r="AB235" s="384"/>
      <c r="AC235" s="480">
        <f t="shared" si="92"/>
        <v>1000</v>
      </c>
      <c r="AD235" s="481">
        <f t="shared" si="93"/>
        <v>24960</v>
      </c>
      <c r="AE235" s="482">
        <f t="shared" si="94"/>
        <v>74880</v>
      </c>
      <c r="AF235" s="482">
        <f t="shared" si="95"/>
        <v>-1500</v>
      </c>
      <c r="AG235" s="482">
        <f t="shared" si="96"/>
        <v>-4500</v>
      </c>
      <c r="AH235" s="383">
        <v>3</v>
      </c>
      <c r="AI235" s="482">
        <v>74880</v>
      </c>
    </row>
    <row r="236" spans="1:35" x14ac:dyDescent="0.2">
      <c r="A236" s="478" t="s">
        <v>643</v>
      </c>
      <c r="B236" s="383">
        <v>32</v>
      </c>
      <c r="C236" s="479">
        <v>775</v>
      </c>
      <c r="D236" s="479">
        <v>1070</v>
      </c>
      <c r="E236" s="479"/>
      <c r="F236" s="479"/>
      <c r="G236" s="479"/>
      <c r="H236" s="479"/>
      <c r="I236" s="479"/>
      <c r="J236" s="479">
        <v>86</v>
      </c>
      <c r="K236" s="479">
        <f t="shared" si="87"/>
        <v>1931</v>
      </c>
      <c r="L236" s="479">
        <v>1000</v>
      </c>
      <c r="M236" s="479"/>
      <c r="N236" s="480">
        <f t="shared" si="88"/>
        <v>1000</v>
      </c>
      <c r="O236" s="481">
        <f t="shared" si="89"/>
        <v>23172</v>
      </c>
      <c r="P236" s="482">
        <f t="shared" si="90"/>
        <v>741504</v>
      </c>
      <c r="Q236" s="383">
        <v>30</v>
      </c>
      <c r="R236" s="384">
        <v>1134</v>
      </c>
      <c r="S236" s="479">
        <v>1218</v>
      </c>
      <c r="T236" s="384"/>
      <c r="U236" s="384"/>
      <c r="V236" s="384"/>
      <c r="W236" s="384"/>
      <c r="X236" s="384"/>
      <c r="Y236" s="384">
        <v>93</v>
      </c>
      <c r="Z236" s="479">
        <f t="shared" si="91"/>
        <v>2445</v>
      </c>
      <c r="AA236" s="479">
        <v>1000</v>
      </c>
      <c r="AB236" s="384"/>
      <c r="AC236" s="480">
        <f t="shared" si="92"/>
        <v>1000</v>
      </c>
      <c r="AD236" s="481">
        <f t="shared" si="93"/>
        <v>29340</v>
      </c>
      <c r="AE236" s="482">
        <f t="shared" si="94"/>
        <v>880200</v>
      </c>
      <c r="AF236" s="482">
        <f t="shared" si="95"/>
        <v>-6168</v>
      </c>
      <c r="AG236" s="482">
        <f t="shared" si="96"/>
        <v>-138696</v>
      </c>
      <c r="AH236" s="383">
        <v>30</v>
      </c>
      <c r="AI236" s="482">
        <v>880200</v>
      </c>
    </row>
    <row r="237" spans="1:35" x14ac:dyDescent="0.2">
      <c r="A237" s="478" t="s">
        <v>16</v>
      </c>
      <c r="B237" s="383">
        <v>60</v>
      </c>
      <c r="C237" s="479">
        <v>760</v>
      </c>
      <c r="D237" s="479">
        <v>1070</v>
      </c>
      <c r="E237" s="479"/>
      <c r="F237" s="479"/>
      <c r="G237" s="479"/>
      <c r="H237" s="479"/>
      <c r="I237" s="479"/>
      <c r="J237" s="479">
        <v>86</v>
      </c>
      <c r="K237" s="479">
        <f t="shared" si="87"/>
        <v>1916</v>
      </c>
      <c r="L237" s="479">
        <v>1000</v>
      </c>
      <c r="M237" s="479"/>
      <c r="N237" s="480">
        <f t="shared" si="88"/>
        <v>1000</v>
      </c>
      <c r="O237" s="481">
        <f t="shared" si="89"/>
        <v>22992</v>
      </c>
      <c r="P237" s="482">
        <f t="shared" si="90"/>
        <v>1379520</v>
      </c>
      <c r="Q237" s="383">
        <v>54</v>
      </c>
      <c r="R237" s="384">
        <v>807</v>
      </c>
      <c r="S237" s="479">
        <v>1150</v>
      </c>
      <c r="T237" s="384"/>
      <c r="U237" s="384"/>
      <c r="V237" s="384"/>
      <c r="W237" s="384"/>
      <c r="X237" s="384"/>
      <c r="Y237" s="384">
        <v>82</v>
      </c>
      <c r="Z237" s="479">
        <f t="shared" si="91"/>
        <v>2039</v>
      </c>
      <c r="AA237" s="479">
        <v>1000</v>
      </c>
      <c r="AB237" s="384"/>
      <c r="AC237" s="480">
        <f t="shared" si="92"/>
        <v>1000</v>
      </c>
      <c r="AD237" s="481">
        <f t="shared" si="93"/>
        <v>24468</v>
      </c>
      <c r="AE237" s="482">
        <f t="shared" si="94"/>
        <v>1321272</v>
      </c>
      <c r="AF237" s="482">
        <f t="shared" si="95"/>
        <v>-1476</v>
      </c>
      <c r="AG237" s="482">
        <f t="shared" si="96"/>
        <v>58248</v>
      </c>
      <c r="AH237" s="383">
        <v>54</v>
      </c>
      <c r="AI237" s="482">
        <v>1321272</v>
      </c>
    </row>
    <row r="238" spans="1:35" x14ac:dyDescent="0.2">
      <c r="A238" s="478" t="s">
        <v>590</v>
      </c>
      <c r="B238" s="383">
        <v>62</v>
      </c>
      <c r="C238" s="479">
        <v>783</v>
      </c>
      <c r="D238" s="479">
        <v>1070</v>
      </c>
      <c r="E238" s="479"/>
      <c r="F238" s="479"/>
      <c r="G238" s="479"/>
      <c r="H238" s="479"/>
      <c r="I238" s="479"/>
      <c r="J238" s="479">
        <v>86</v>
      </c>
      <c r="K238" s="479">
        <f t="shared" si="87"/>
        <v>1939</v>
      </c>
      <c r="L238" s="479">
        <v>1000</v>
      </c>
      <c r="M238" s="479"/>
      <c r="N238" s="480">
        <f t="shared" si="88"/>
        <v>1000</v>
      </c>
      <c r="O238" s="481">
        <f t="shared" si="89"/>
        <v>23268</v>
      </c>
      <c r="P238" s="482">
        <f t="shared" si="90"/>
        <v>1442616</v>
      </c>
      <c r="Q238" s="383">
        <v>59</v>
      </c>
      <c r="R238" s="384">
        <v>814</v>
      </c>
      <c r="S238" s="479">
        <v>1150</v>
      </c>
      <c r="T238" s="384"/>
      <c r="U238" s="384"/>
      <c r="V238" s="384"/>
      <c r="W238" s="384"/>
      <c r="X238" s="384"/>
      <c r="Y238" s="384">
        <v>84</v>
      </c>
      <c r="Z238" s="479">
        <f t="shared" si="91"/>
        <v>2048</v>
      </c>
      <c r="AA238" s="479">
        <v>1000</v>
      </c>
      <c r="AB238" s="384"/>
      <c r="AC238" s="480">
        <f t="shared" si="92"/>
        <v>1000</v>
      </c>
      <c r="AD238" s="481">
        <f t="shared" si="93"/>
        <v>24576</v>
      </c>
      <c r="AE238" s="482">
        <f t="shared" si="94"/>
        <v>1449984</v>
      </c>
      <c r="AF238" s="482">
        <f t="shared" si="95"/>
        <v>-1308</v>
      </c>
      <c r="AG238" s="482">
        <f t="shared" si="96"/>
        <v>-7368</v>
      </c>
      <c r="AH238" s="383">
        <v>59</v>
      </c>
      <c r="AI238" s="482">
        <v>1449984</v>
      </c>
    </row>
    <row r="239" spans="1:35" x14ac:dyDescent="0.2">
      <c r="A239" s="478" t="s">
        <v>644</v>
      </c>
      <c r="B239" s="383">
        <v>21</v>
      </c>
      <c r="C239" s="479">
        <v>741</v>
      </c>
      <c r="D239" s="479">
        <v>1070</v>
      </c>
      <c r="E239" s="479"/>
      <c r="F239" s="479"/>
      <c r="G239" s="479"/>
      <c r="H239" s="479"/>
      <c r="I239" s="479"/>
      <c r="J239" s="479">
        <v>86</v>
      </c>
      <c r="K239" s="479">
        <f t="shared" si="87"/>
        <v>1897</v>
      </c>
      <c r="L239" s="479">
        <v>1000</v>
      </c>
      <c r="M239" s="479"/>
      <c r="N239" s="480">
        <f t="shared" si="88"/>
        <v>1000</v>
      </c>
      <c r="O239" s="481">
        <f t="shared" si="89"/>
        <v>22764</v>
      </c>
      <c r="P239" s="482">
        <f t="shared" si="90"/>
        <v>478044</v>
      </c>
      <c r="Q239" s="383">
        <v>19</v>
      </c>
      <c r="R239" s="384">
        <v>750</v>
      </c>
      <c r="S239" s="479">
        <v>1150</v>
      </c>
      <c r="T239" s="384"/>
      <c r="U239" s="384"/>
      <c r="V239" s="384"/>
      <c r="W239" s="384"/>
      <c r="X239" s="384"/>
      <c r="Y239" s="384">
        <v>79</v>
      </c>
      <c r="Z239" s="479">
        <f t="shared" si="91"/>
        <v>1979</v>
      </c>
      <c r="AA239" s="479">
        <v>1000</v>
      </c>
      <c r="AB239" s="384"/>
      <c r="AC239" s="480">
        <f t="shared" si="92"/>
        <v>1000</v>
      </c>
      <c r="AD239" s="481">
        <f t="shared" si="93"/>
        <v>23748</v>
      </c>
      <c r="AE239" s="482">
        <f t="shared" si="94"/>
        <v>451212</v>
      </c>
      <c r="AF239" s="482">
        <f t="shared" si="95"/>
        <v>-984</v>
      </c>
      <c r="AG239" s="482">
        <f t="shared" si="96"/>
        <v>26832</v>
      </c>
      <c r="AH239" s="383">
        <v>19</v>
      </c>
      <c r="AI239" s="482">
        <v>451212</v>
      </c>
    </row>
    <row r="240" spans="1:35" x14ac:dyDescent="0.2">
      <c r="A240" s="478" t="s">
        <v>645</v>
      </c>
      <c r="B240" s="383">
        <v>323</v>
      </c>
      <c r="C240" s="479">
        <v>703</v>
      </c>
      <c r="D240" s="479">
        <v>1070</v>
      </c>
      <c r="E240" s="479"/>
      <c r="F240" s="479"/>
      <c r="G240" s="479"/>
      <c r="H240" s="479"/>
      <c r="I240" s="479"/>
      <c r="J240" s="479">
        <v>86</v>
      </c>
      <c r="K240" s="479">
        <f t="shared" si="87"/>
        <v>1859</v>
      </c>
      <c r="L240" s="479">
        <v>1000</v>
      </c>
      <c r="M240" s="479"/>
      <c r="N240" s="480">
        <f t="shared" si="88"/>
        <v>1000</v>
      </c>
      <c r="O240" s="481">
        <f t="shared" si="89"/>
        <v>22308</v>
      </c>
      <c r="P240" s="482">
        <f t="shared" si="90"/>
        <v>7205484</v>
      </c>
      <c r="Q240" s="383">
        <v>311</v>
      </c>
      <c r="R240" s="384">
        <v>783</v>
      </c>
      <c r="S240" s="479">
        <v>1150</v>
      </c>
      <c r="T240" s="384"/>
      <c r="U240" s="384"/>
      <c r="V240" s="384"/>
      <c r="W240" s="384"/>
      <c r="X240" s="384"/>
      <c r="Y240" s="384">
        <v>84</v>
      </c>
      <c r="Z240" s="479">
        <f t="shared" si="91"/>
        <v>2017</v>
      </c>
      <c r="AA240" s="479">
        <v>1000</v>
      </c>
      <c r="AB240" s="384"/>
      <c r="AC240" s="480">
        <f t="shared" si="92"/>
        <v>1000</v>
      </c>
      <c r="AD240" s="481">
        <f t="shared" si="93"/>
        <v>24204</v>
      </c>
      <c r="AE240" s="482">
        <f t="shared" si="94"/>
        <v>7527444</v>
      </c>
      <c r="AF240" s="482">
        <f t="shared" si="95"/>
        <v>-1896</v>
      </c>
      <c r="AG240" s="482">
        <f t="shared" si="96"/>
        <v>-321960</v>
      </c>
      <c r="AH240" s="383">
        <v>311</v>
      </c>
      <c r="AI240" s="482">
        <v>7527444</v>
      </c>
    </row>
    <row r="241" spans="1:35" x14ac:dyDescent="0.2">
      <c r="A241" s="383" t="s">
        <v>647</v>
      </c>
      <c r="B241" s="383"/>
      <c r="C241" s="479"/>
      <c r="D241" s="479"/>
      <c r="E241" s="479"/>
      <c r="F241" s="479"/>
      <c r="G241" s="479"/>
      <c r="H241" s="479"/>
      <c r="I241" s="479"/>
      <c r="J241" s="479"/>
      <c r="K241" s="479"/>
      <c r="L241" s="479"/>
      <c r="M241" s="479"/>
      <c r="N241" s="480"/>
      <c r="O241" s="481"/>
      <c r="P241" s="482"/>
      <c r="Q241" s="383"/>
      <c r="R241" s="384"/>
      <c r="S241" s="384"/>
      <c r="T241" s="384"/>
      <c r="U241" s="384"/>
      <c r="V241" s="384"/>
      <c r="W241" s="384"/>
      <c r="X241" s="384"/>
      <c r="Y241" s="384"/>
      <c r="Z241" s="479"/>
      <c r="AA241" s="479"/>
      <c r="AB241" s="384"/>
      <c r="AC241" s="234"/>
      <c r="AD241" s="481"/>
      <c r="AE241" s="482"/>
      <c r="AF241" s="482"/>
      <c r="AG241" s="482"/>
      <c r="AH241" s="383"/>
      <c r="AI241" s="482"/>
    </row>
    <row r="242" spans="1:35" x14ac:dyDescent="0.2">
      <c r="A242" s="383" t="s">
        <v>648</v>
      </c>
      <c r="B242" s="383"/>
      <c r="C242" s="479"/>
      <c r="D242" s="479"/>
      <c r="E242" s="479"/>
      <c r="F242" s="479"/>
      <c r="G242" s="479"/>
      <c r="H242" s="479"/>
      <c r="I242" s="479"/>
      <c r="J242" s="479"/>
      <c r="K242" s="479"/>
      <c r="L242" s="479"/>
      <c r="M242" s="479"/>
      <c r="N242" s="480"/>
      <c r="O242" s="481"/>
      <c r="P242" s="482"/>
      <c r="Q242" s="383"/>
      <c r="R242" s="384"/>
      <c r="S242" s="384"/>
      <c r="T242" s="384"/>
      <c r="U242" s="384"/>
      <c r="V242" s="384"/>
      <c r="W242" s="384"/>
      <c r="X242" s="384"/>
      <c r="Y242" s="384"/>
      <c r="Z242" s="479"/>
      <c r="AA242" s="479"/>
      <c r="AB242" s="384"/>
      <c r="AC242" s="234"/>
      <c r="AD242" s="481"/>
      <c r="AE242" s="482"/>
      <c r="AF242" s="482"/>
      <c r="AG242" s="482"/>
      <c r="AH242" s="383"/>
      <c r="AI242" s="482"/>
    </row>
    <row r="243" spans="1:35" x14ac:dyDescent="0.2">
      <c r="A243" s="478" t="s">
        <v>709</v>
      </c>
      <c r="B243" s="383">
        <v>9</v>
      </c>
      <c r="C243" s="479">
        <f>ROUND((76.67*40)*190%,0)</f>
        <v>5827</v>
      </c>
      <c r="D243" s="479"/>
      <c r="E243" s="479"/>
      <c r="F243" s="479"/>
      <c r="G243" s="479"/>
      <c r="H243" s="479"/>
      <c r="I243" s="479"/>
      <c r="J243" s="479">
        <v>341</v>
      </c>
      <c r="K243" s="479">
        <f t="shared" ref="K243:K266" si="97">SUM(C243:J243)</f>
        <v>6168</v>
      </c>
      <c r="L243" s="479">
        <v>1000</v>
      </c>
      <c r="M243" s="479"/>
      <c r="N243" s="480">
        <f t="shared" ref="N243:N266" si="98">L243+M243</f>
        <v>1000</v>
      </c>
      <c r="O243" s="481">
        <f t="shared" ref="O243:O266" si="99">K243*12</f>
        <v>74016</v>
      </c>
      <c r="P243" s="482">
        <f t="shared" ref="P243:P266" si="100">B243*O243</f>
        <v>666144</v>
      </c>
      <c r="Q243" s="383">
        <v>10</v>
      </c>
      <c r="R243" s="384">
        <v>6675</v>
      </c>
      <c r="S243" s="384"/>
      <c r="T243" s="384"/>
      <c r="U243" s="384"/>
      <c r="V243" s="384"/>
      <c r="W243" s="384"/>
      <c r="X243" s="384"/>
      <c r="Y243" s="384">
        <v>356</v>
      </c>
      <c r="Z243" s="479">
        <f t="shared" ref="Z243:Z266" si="101">SUM(R243:Y243)</f>
        <v>7031</v>
      </c>
      <c r="AA243" s="479">
        <v>1000</v>
      </c>
      <c r="AB243" s="479">
        <v>12161.52</v>
      </c>
      <c r="AC243" s="480">
        <f t="shared" ref="AC243:AC266" si="102">AA243+AB243</f>
        <v>13161.52</v>
      </c>
      <c r="AD243" s="481">
        <f t="shared" ref="AD243:AD266" si="103">Z243*12</f>
        <v>84372</v>
      </c>
      <c r="AE243" s="482">
        <f t="shared" ref="AE243:AE266" si="104">Q243*AD243</f>
        <v>843720</v>
      </c>
      <c r="AF243" s="482">
        <f t="shared" ref="AF243:AF266" si="105">O243-AD243</f>
        <v>-10356</v>
      </c>
      <c r="AG243" s="482">
        <f t="shared" ref="AG243:AG266" si="106">P243-AE243</f>
        <v>-177576</v>
      </c>
      <c r="AH243" s="383">
        <v>10</v>
      </c>
      <c r="AI243" s="482">
        <v>843720</v>
      </c>
    </row>
    <row r="244" spans="1:35" x14ac:dyDescent="0.2">
      <c r="A244" s="478" t="s">
        <v>710</v>
      </c>
      <c r="B244" s="383">
        <v>11</v>
      </c>
      <c r="C244" s="479">
        <f>ROUND((76.67*30)*190%,0)</f>
        <v>4370</v>
      </c>
      <c r="D244" s="479"/>
      <c r="E244" s="479"/>
      <c r="F244" s="479"/>
      <c r="G244" s="479"/>
      <c r="H244" s="479"/>
      <c r="I244" s="479"/>
      <c r="J244" s="479">
        <v>256</v>
      </c>
      <c r="K244" s="479">
        <f t="shared" si="97"/>
        <v>4626</v>
      </c>
      <c r="L244" s="479">
        <v>1000</v>
      </c>
      <c r="M244" s="479"/>
      <c r="N244" s="480">
        <f t="shared" si="98"/>
        <v>1000</v>
      </c>
      <c r="O244" s="481">
        <f t="shared" si="99"/>
        <v>55512</v>
      </c>
      <c r="P244" s="482">
        <f t="shared" si="100"/>
        <v>610632</v>
      </c>
      <c r="Q244" s="383">
        <v>8</v>
      </c>
      <c r="R244" s="384">
        <v>4606</v>
      </c>
      <c r="S244" s="384"/>
      <c r="T244" s="384"/>
      <c r="U244" s="384"/>
      <c r="V244" s="384"/>
      <c r="W244" s="384"/>
      <c r="X244" s="384"/>
      <c r="Y244" s="384">
        <v>267</v>
      </c>
      <c r="Z244" s="479">
        <f t="shared" si="101"/>
        <v>4873</v>
      </c>
      <c r="AA244" s="479">
        <v>1000</v>
      </c>
      <c r="AB244" s="479">
        <v>9121.14</v>
      </c>
      <c r="AC244" s="480">
        <f t="shared" si="102"/>
        <v>10121.14</v>
      </c>
      <c r="AD244" s="481">
        <f t="shared" si="103"/>
        <v>58476</v>
      </c>
      <c r="AE244" s="482">
        <f t="shared" si="104"/>
        <v>467808</v>
      </c>
      <c r="AF244" s="482">
        <f t="shared" si="105"/>
        <v>-2964</v>
      </c>
      <c r="AG244" s="482">
        <f t="shared" si="106"/>
        <v>142824</v>
      </c>
      <c r="AH244" s="383">
        <v>8</v>
      </c>
      <c r="AI244" s="482">
        <v>467808</v>
      </c>
    </row>
    <row r="245" spans="1:35" x14ac:dyDescent="0.2">
      <c r="A245" s="478" t="s">
        <v>668</v>
      </c>
      <c r="B245" s="383">
        <v>60</v>
      </c>
      <c r="C245" s="479">
        <f>ROUND((76.67*40)*175%,0)</f>
        <v>5367</v>
      </c>
      <c r="D245" s="479"/>
      <c r="E245" s="479"/>
      <c r="F245" s="479"/>
      <c r="G245" s="479"/>
      <c r="H245" s="479"/>
      <c r="I245" s="479"/>
      <c r="J245" s="479">
        <v>314</v>
      </c>
      <c r="K245" s="479">
        <f t="shared" si="97"/>
        <v>5681</v>
      </c>
      <c r="L245" s="479">
        <v>1000</v>
      </c>
      <c r="M245" s="479"/>
      <c r="N245" s="480">
        <f t="shared" si="98"/>
        <v>1000</v>
      </c>
      <c r="O245" s="481">
        <f t="shared" si="99"/>
        <v>68172</v>
      </c>
      <c r="P245" s="482">
        <f t="shared" si="100"/>
        <v>4090320</v>
      </c>
      <c r="Q245" s="383">
        <v>62</v>
      </c>
      <c r="R245" s="384">
        <v>6191</v>
      </c>
      <c r="S245" s="384"/>
      <c r="T245" s="384"/>
      <c r="U245" s="384"/>
      <c r="V245" s="384"/>
      <c r="W245" s="384"/>
      <c r="X245" s="384"/>
      <c r="Y245" s="384">
        <v>328</v>
      </c>
      <c r="Z245" s="479">
        <f t="shared" si="101"/>
        <v>6519</v>
      </c>
      <c r="AA245" s="479">
        <v>1000</v>
      </c>
      <c r="AB245" s="479">
        <v>11201.4</v>
      </c>
      <c r="AC245" s="480">
        <f t="shared" si="102"/>
        <v>12201.4</v>
      </c>
      <c r="AD245" s="481">
        <f t="shared" si="103"/>
        <v>78228</v>
      </c>
      <c r="AE245" s="482">
        <f t="shared" si="104"/>
        <v>4850136</v>
      </c>
      <c r="AF245" s="482">
        <f t="shared" si="105"/>
        <v>-10056</v>
      </c>
      <c r="AG245" s="482">
        <f t="shared" si="106"/>
        <v>-759816</v>
      </c>
      <c r="AH245" s="383">
        <v>62</v>
      </c>
      <c r="AI245" s="482">
        <v>4850136</v>
      </c>
    </row>
    <row r="246" spans="1:35" x14ac:dyDescent="0.2">
      <c r="A246" s="478" t="s">
        <v>669</v>
      </c>
      <c r="B246" s="383">
        <v>126</v>
      </c>
      <c r="C246" s="479">
        <f>ROUND((76.67*30)*175%,0)</f>
        <v>4025</v>
      </c>
      <c r="D246" s="479"/>
      <c r="E246" s="479"/>
      <c r="F246" s="479"/>
      <c r="G246" s="479"/>
      <c r="H246" s="479"/>
      <c r="I246" s="479"/>
      <c r="J246" s="479">
        <v>235</v>
      </c>
      <c r="K246" s="479">
        <f t="shared" si="97"/>
        <v>4260</v>
      </c>
      <c r="L246" s="479">
        <v>1000</v>
      </c>
      <c r="M246" s="479">
        <v>4022</v>
      </c>
      <c r="N246" s="480">
        <f t="shared" si="98"/>
        <v>5022</v>
      </c>
      <c r="O246" s="481">
        <f t="shared" si="99"/>
        <v>51120</v>
      </c>
      <c r="P246" s="482">
        <f t="shared" si="100"/>
        <v>6441120</v>
      </c>
      <c r="Q246" s="383">
        <v>112</v>
      </c>
      <c r="R246" s="384">
        <v>4239</v>
      </c>
      <c r="S246" s="384"/>
      <c r="T246" s="384"/>
      <c r="U246" s="384"/>
      <c r="V246" s="384"/>
      <c r="W246" s="384"/>
      <c r="X246" s="384"/>
      <c r="Y246" s="384">
        <v>246</v>
      </c>
      <c r="Z246" s="479">
        <f t="shared" si="101"/>
        <v>4485</v>
      </c>
      <c r="AA246" s="479">
        <v>1000</v>
      </c>
      <c r="AB246" s="479">
        <v>8401.06</v>
      </c>
      <c r="AC246" s="480">
        <f t="shared" si="102"/>
        <v>9401.06</v>
      </c>
      <c r="AD246" s="481">
        <f t="shared" si="103"/>
        <v>53820</v>
      </c>
      <c r="AE246" s="482">
        <f t="shared" si="104"/>
        <v>6027840</v>
      </c>
      <c r="AF246" s="482">
        <f t="shared" si="105"/>
        <v>-2700</v>
      </c>
      <c r="AG246" s="482">
        <f t="shared" si="106"/>
        <v>413280</v>
      </c>
      <c r="AH246" s="383">
        <v>112</v>
      </c>
      <c r="AI246" s="482">
        <v>6027840</v>
      </c>
    </row>
    <row r="247" spans="1:35" x14ac:dyDescent="0.2">
      <c r="A247" s="478" t="s">
        <v>711</v>
      </c>
      <c r="B247" s="383">
        <v>150</v>
      </c>
      <c r="C247" s="479">
        <f>ROUND((76.67*40)*150%,0)</f>
        <v>4600</v>
      </c>
      <c r="D247" s="479"/>
      <c r="E247" s="479"/>
      <c r="F247" s="479"/>
      <c r="G247" s="479"/>
      <c r="H247" s="479"/>
      <c r="I247" s="479"/>
      <c r="J247" s="479">
        <v>269</v>
      </c>
      <c r="K247" s="479">
        <f t="shared" si="97"/>
        <v>4869</v>
      </c>
      <c r="L247" s="479">
        <v>1000</v>
      </c>
      <c r="M247" s="479"/>
      <c r="N247" s="480">
        <f t="shared" si="98"/>
        <v>1000</v>
      </c>
      <c r="O247" s="481">
        <f t="shared" si="99"/>
        <v>58428</v>
      </c>
      <c r="P247" s="482">
        <f t="shared" si="100"/>
        <v>8764200</v>
      </c>
      <c r="Q247" s="383">
        <v>157</v>
      </c>
      <c r="R247" s="384">
        <v>5333</v>
      </c>
      <c r="S247" s="384"/>
      <c r="T247" s="384"/>
      <c r="U247" s="384"/>
      <c r="V247" s="384"/>
      <c r="W247" s="384"/>
      <c r="X247" s="384"/>
      <c r="Y247" s="384">
        <v>280</v>
      </c>
      <c r="Z247" s="479">
        <f t="shared" si="101"/>
        <v>5613</v>
      </c>
      <c r="AA247" s="479">
        <v>1000</v>
      </c>
      <c r="AB247" s="479">
        <v>9601.2000000000007</v>
      </c>
      <c r="AC247" s="480">
        <f t="shared" si="102"/>
        <v>10601.2</v>
      </c>
      <c r="AD247" s="481">
        <f t="shared" si="103"/>
        <v>67356</v>
      </c>
      <c r="AE247" s="482">
        <f t="shared" si="104"/>
        <v>10574892</v>
      </c>
      <c r="AF247" s="482">
        <f t="shared" si="105"/>
        <v>-8928</v>
      </c>
      <c r="AG247" s="482">
        <f t="shared" si="106"/>
        <v>-1810692</v>
      </c>
      <c r="AH247" s="383">
        <v>157</v>
      </c>
      <c r="AI247" s="482">
        <v>10574892</v>
      </c>
    </row>
    <row r="248" spans="1:35" x14ac:dyDescent="0.2">
      <c r="A248" s="478" t="s">
        <v>712</v>
      </c>
      <c r="B248" s="383">
        <v>289</v>
      </c>
      <c r="C248" s="479">
        <f>ROUND((76.67*30)*150%,0)</f>
        <v>3450</v>
      </c>
      <c r="D248" s="479"/>
      <c r="E248" s="479"/>
      <c r="F248" s="479"/>
      <c r="G248" s="479"/>
      <c r="H248" s="479"/>
      <c r="I248" s="479"/>
      <c r="J248" s="479">
        <v>202</v>
      </c>
      <c r="K248" s="479">
        <f t="shared" si="97"/>
        <v>3652</v>
      </c>
      <c r="L248" s="479">
        <v>1000</v>
      </c>
      <c r="M248" s="479">
        <v>5489</v>
      </c>
      <c r="N248" s="480">
        <f t="shared" si="98"/>
        <v>6489</v>
      </c>
      <c r="O248" s="481">
        <f t="shared" si="99"/>
        <v>43824</v>
      </c>
      <c r="P248" s="482">
        <f t="shared" si="100"/>
        <v>12665136</v>
      </c>
      <c r="Q248" s="383">
        <v>252</v>
      </c>
      <c r="R248" s="384">
        <v>3607</v>
      </c>
      <c r="S248" s="384"/>
      <c r="T248" s="384"/>
      <c r="U248" s="384"/>
      <c r="V248" s="384"/>
      <c r="W248" s="384"/>
      <c r="X248" s="384"/>
      <c r="Y248" s="384">
        <v>209</v>
      </c>
      <c r="Z248" s="479">
        <f t="shared" si="101"/>
        <v>3816</v>
      </c>
      <c r="AA248" s="479">
        <v>1000</v>
      </c>
      <c r="AB248" s="479">
        <v>7200.9</v>
      </c>
      <c r="AC248" s="480">
        <f t="shared" si="102"/>
        <v>8200.9</v>
      </c>
      <c r="AD248" s="481">
        <f t="shared" si="103"/>
        <v>45792</v>
      </c>
      <c r="AE248" s="482">
        <f t="shared" si="104"/>
        <v>11539584</v>
      </c>
      <c r="AF248" s="482">
        <f t="shared" si="105"/>
        <v>-1968</v>
      </c>
      <c r="AG248" s="482">
        <f t="shared" si="106"/>
        <v>1125552</v>
      </c>
      <c r="AH248" s="383">
        <v>252</v>
      </c>
      <c r="AI248" s="482">
        <v>11539584</v>
      </c>
    </row>
    <row r="249" spans="1:35" x14ac:dyDescent="0.2">
      <c r="A249" s="478" t="s">
        <v>713</v>
      </c>
      <c r="B249" s="383">
        <v>93</v>
      </c>
      <c r="C249" s="479">
        <f>ROUND((76.67*40)*130%,0)</f>
        <v>3987</v>
      </c>
      <c r="D249" s="479"/>
      <c r="E249" s="479"/>
      <c r="F249" s="479"/>
      <c r="G249" s="479"/>
      <c r="H249" s="479"/>
      <c r="I249" s="479"/>
      <c r="J249" s="479">
        <v>233</v>
      </c>
      <c r="K249" s="479">
        <f t="shared" si="97"/>
        <v>4220</v>
      </c>
      <c r="L249" s="479">
        <v>1000</v>
      </c>
      <c r="M249" s="479"/>
      <c r="N249" s="480">
        <f t="shared" si="98"/>
        <v>1000</v>
      </c>
      <c r="O249" s="481">
        <f t="shared" si="99"/>
        <v>50640</v>
      </c>
      <c r="P249" s="482">
        <f t="shared" si="100"/>
        <v>4709520</v>
      </c>
      <c r="Q249" s="383">
        <v>98</v>
      </c>
      <c r="R249" s="384">
        <v>4592</v>
      </c>
      <c r="S249" s="384"/>
      <c r="T249" s="384"/>
      <c r="U249" s="384"/>
      <c r="V249" s="384"/>
      <c r="W249" s="384"/>
      <c r="X249" s="384"/>
      <c r="Y249" s="384">
        <v>242</v>
      </c>
      <c r="Z249" s="479">
        <f t="shared" si="101"/>
        <v>4834</v>
      </c>
      <c r="AA249" s="479">
        <v>1000</v>
      </c>
      <c r="AB249" s="479">
        <v>8321.0400000000009</v>
      </c>
      <c r="AC249" s="480">
        <f t="shared" si="102"/>
        <v>9321.0400000000009</v>
      </c>
      <c r="AD249" s="481">
        <f t="shared" si="103"/>
        <v>58008</v>
      </c>
      <c r="AE249" s="482">
        <f t="shared" si="104"/>
        <v>5684784</v>
      </c>
      <c r="AF249" s="482">
        <f t="shared" si="105"/>
        <v>-7368</v>
      </c>
      <c r="AG249" s="482">
        <f t="shared" si="106"/>
        <v>-975264</v>
      </c>
      <c r="AH249" s="383">
        <v>98</v>
      </c>
      <c r="AI249" s="482">
        <v>5684784</v>
      </c>
    </row>
    <row r="250" spans="1:35" x14ac:dyDescent="0.2">
      <c r="A250" s="478" t="s">
        <v>714</v>
      </c>
      <c r="B250" s="383">
        <v>451</v>
      </c>
      <c r="C250" s="479">
        <f>ROUND((76.67*30)*130%,0)</f>
        <v>2990</v>
      </c>
      <c r="D250" s="479"/>
      <c r="E250" s="479"/>
      <c r="F250" s="479"/>
      <c r="G250" s="479"/>
      <c r="H250" s="479"/>
      <c r="I250" s="479"/>
      <c r="J250" s="479">
        <v>175</v>
      </c>
      <c r="K250" s="479">
        <f t="shared" si="97"/>
        <v>3165</v>
      </c>
      <c r="L250" s="479">
        <v>1000</v>
      </c>
      <c r="M250" s="479"/>
      <c r="N250" s="480">
        <f t="shared" si="98"/>
        <v>1000</v>
      </c>
      <c r="O250" s="481">
        <f t="shared" si="99"/>
        <v>37980</v>
      </c>
      <c r="P250" s="482">
        <f t="shared" si="100"/>
        <v>17128980</v>
      </c>
      <c r="Q250" s="383">
        <v>410</v>
      </c>
      <c r="R250" s="384">
        <v>3143</v>
      </c>
      <c r="S250" s="384"/>
      <c r="T250" s="384"/>
      <c r="U250" s="384"/>
      <c r="V250" s="384"/>
      <c r="W250" s="384"/>
      <c r="X250" s="384"/>
      <c r="Y250" s="384">
        <v>182</v>
      </c>
      <c r="Z250" s="479">
        <f t="shared" si="101"/>
        <v>3325</v>
      </c>
      <c r="AA250" s="479">
        <v>1000</v>
      </c>
      <c r="AB250" s="479">
        <v>6240.78</v>
      </c>
      <c r="AC250" s="480">
        <f t="shared" si="102"/>
        <v>7240.78</v>
      </c>
      <c r="AD250" s="481">
        <f t="shared" si="103"/>
        <v>39900</v>
      </c>
      <c r="AE250" s="482">
        <f t="shared" si="104"/>
        <v>16359000</v>
      </c>
      <c r="AF250" s="482">
        <f t="shared" si="105"/>
        <v>-1920</v>
      </c>
      <c r="AG250" s="482">
        <f t="shared" si="106"/>
        <v>769980</v>
      </c>
      <c r="AH250" s="383">
        <v>410</v>
      </c>
      <c r="AI250" s="482">
        <v>16359000</v>
      </c>
    </row>
    <row r="251" spans="1:35" x14ac:dyDescent="0.2">
      <c r="A251" s="478" t="s">
        <v>715</v>
      </c>
      <c r="B251" s="383">
        <v>60</v>
      </c>
      <c r="C251" s="479">
        <f>ROUND((76.67*40)*120%,0)</f>
        <v>3680</v>
      </c>
      <c r="D251" s="479"/>
      <c r="E251" s="479"/>
      <c r="F251" s="479"/>
      <c r="G251" s="479"/>
      <c r="H251" s="479"/>
      <c r="I251" s="479"/>
      <c r="J251" s="479">
        <v>215</v>
      </c>
      <c r="K251" s="479">
        <f t="shared" si="97"/>
        <v>3895</v>
      </c>
      <c r="L251" s="479">
        <v>1000</v>
      </c>
      <c r="M251" s="479"/>
      <c r="N251" s="480">
        <f t="shared" si="98"/>
        <v>1000</v>
      </c>
      <c r="O251" s="481">
        <f t="shared" si="99"/>
        <v>46740</v>
      </c>
      <c r="P251" s="482">
        <f t="shared" si="100"/>
        <v>2804400</v>
      </c>
      <c r="Q251" s="383">
        <v>57</v>
      </c>
      <c r="R251" s="384">
        <v>4403</v>
      </c>
      <c r="S251" s="384"/>
      <c r="T251" s="384"/>
      <c r="U251" s="384"/>
      <c r="V251" s="384"/>
      <c r="W251" s="384"/>
      <c r="X251" s="384"/>
      <c r="Y251" s="384">
        <v>229</v>
      </c>
      <c r="Z251" s="479">
        <f t="shared" si="101"/>
        <v>4632</v>
      </c>
      <c r="AA251" s="479">
        <v>1000</v>
      </c>
      <c r="AB251" s="479">
        <v>7680.96</v>
      </c>
      <c r="AC251" s="480">
        <f t="shared" si="102"/>
        <v>8680.9599999999991</v>
      </c>
      <c r="AD251" s="481">
        <f t="shared" si="103"/>
        <v>55584</v>
      </c>
      <c r="AE251" s="482">
        <f t="shared" si="104"/>
        <v>3168288</v>
      </c>
      <c r="AF251" s="482">
        <f t="shared" si="105"/>
        <v>-8844</v>
      </c>
      <c r="AG251" s="482">
        <f t="shared" si="106"/>
        <v>-363888</v>
      </c>
      <c r="AH251" s="383">
        <v>57</v>
      </c>
      <c r="AI251" s="482">
        <v>3168288</v>
      </c>
    </row>
    <row r="252" spans="1:35" x14ac:dyDescent="0.2">
      <c r="A252" s="478" t="s">
        <v>716</v>
      </c>
      <c r="B252" s="383">
        <v>676</v>
      </c>
      <c r="C252" s="479">
        <f>ROUND((76.67*30)*120%,0)</f>
        <v>2760</v>
      </c>
      <c r="D252" s="479"/>
      <c r="E252" s="479"/>
      <c r="F252" s="479"/>
      <c r="G252" s="479"/>
      <c r="H252" s="479"/>
      <c r="I252" s="479"/>
      <c r="J252" s="479">
        <v>161</v>
      </c>
      <c r="K252" s="479">
        <f t="shared" si="97"/>
        <v>2921</v>
      </c>
      <c r="L252" s="479">
        <v>1000</v>
      </c>
      <c r="M252" s="479">
        <v>8654</v>
      </c>
      <c r="N252" s="480">
        <f t="shared" si="98"/>
        <v>9654</v>
      </c>
      <c r="O252" s="481">
        <f t="shared" si="99"/>
        <v>35052</v>
      </c>
      <c r="P252" s="482">
        <f t="shared" si="100"/>
        <v>23695152</v>
      </c>
      <c r="Q252" s="383">
        <v>595</v>
      </c>
      <c r="R252" s="384">
        <v>2908</v>
      </c>
      <c r="S252" s="384"/>
      <c r="T252" s="384"/>
      <c r="U252" s="384"/>
      <c r="V252" s="384"/>
      <c r="W252" s="384"/>
      <c r="X252" s="384"/>
      <c r="Y252" s="384">
        <v>168</v>
      </c>
      <c r="Z252" s="479">
        <f t="shared" si="101"/>
        <v>3076</v>
      </c>
      <c r="AA252" s="479">
        <v>1000</v>
      </c>
      <c r="AB252" s="479">
        <v>5760.72</v>
      </c>
      <c r="AC252" s="480">
        <f t="shared" si="102"/>
        <v>6760.72</v>
      </c>
      <c r="AD252" s="481">
        <f t="shared" si="103"/>
        <v>36912</v>
      </c>
      <c r="AE252" s="482">
        <f t="shared" si="104"/>
        <v>21962640</v>
      </c>
      <c r="AF252" s="482">
        <f t="shared" si="105"/>
        <v>-1860</v>
      </c>
      <c r="AG252" s="482">
        <f t="shared" si="106"/>
        <v>1732512</v>
      </c>
      <c r="AH252" s="383">
        <v>595</v>
      </c>
      <c r="AI252" s="482">
        <v>21962640</v>
      </c>
    </row>
    <row r="253" spans="1:35" x14ac:dyDescent="0.2">
      <c r="A253" s="478" t="s">
        <v>717</v>
      </c>
      <c r="B253" s="383">
        <v>25</v>
      </c>
      <c r="C253" s="479">
        <f>ROUND((76.67*40)*110%,0)</f>
        <v>3373</v>
      </c>
      <c r="D253" s="479"/>
      <c r="E253" s="479"/>
      <c r="F253" s="479"/>
      <c r="G253" s="479"/>
      <c r="H253" s="479"/>
      <c r="I253" s="479"/>
      <c r="J253" s="479">
        <v>197</v>
      </c>
      <c r="K253" s="479">
        <f t="shared" si="97"/>
        <v>3570</v>
      </c>
      <c r="L253" s="479">
        <v>1000</v>
      </c>
      <c r="M253" s="479"/>
      <c r="N253" s="480">
        <f t="shared" si="98"/>
        <v>1000</v>
      </c>
      <c r="O253" s="481">
        <f t="shared" si="99"/>
        <v>42840</v>
      </c>
      <c r="P253" s="482">
        <f t="shared" si="100"/>
        <v>1071000</v>
      </c>
      <c r="Q253" s="383">
        <v>25</v>
      </c>
      <c r="R253" s="384">
        <v>3942</v>
      </c>
      <c r="S253" s="384"/>
      <c r="T253" s="384"/>
      <c r="U253" s="384"/>
      <c r="V253" s="384"/>
      <c r="W253" s="384"/>
      <c r="X253" s="384"/>
      <c r="Y253" s="384">
        <v>206</v>
      </c>
      <c r="Z253" s="479">
        <f t="shared" si="101"/>
        <v>4148</v>
      </c>
      <c r="AA253" s="479">
        <v>1000</v>
      </c>
      <c r="AB253" s="479">
        <v>7040.88</v>
      </c>
      <c r="AC253" s="480">
        <f t="shared" si="102"/>
        <v>8040.88</v>
      </c>
      <c r="AD253" s="481">
        <f t="shared" si="103"/>
        <v>49776</v>
      </c>
      <c r="AE253" s="482">
        <f t="shared" si="104"/>
        <v>1244400</v>
      </c>
      <c r="AF253" s="482">
        <f t="shared" si="105"/>
        <v>-6936</v>
      </c>
      <c r="AG253" s="482">
        <f t="shared" si="106"/>
        <v>-173400</v>
      </c>
      <c r="AH253" s="383">
        <v>25</v>
      </c>
      <c r="AI253" s="482">
        <v>1244400</v>
      </c>
    </row>
    <row r="254" spans="1:35" x14ac:dyDescent="0.2">
      <c r="A254" s="478" t="s">
        <v>718</v>
      </c>
      <c r="B254" s="383">
        <v>641</v>
      </c>
      <c r="C254" s="479">
        <f>ROUND((76.67*30)*110%,0)</f>
        <v>2530</v>
      </c>
      <c r="D254" s="479"/>
      <c r="E254" s="479"/>
      <c r="F254" s="479"/>
      <c r="G254" s="479"/>
      <c r="H254" s="479"/>
      <c r="I254" s="479"/>
      <c r="J254" s="479">
        <v>148</v>
      </c>
      <c r="K254" s="479">
        <f t="shared" si="97"/>
        <v>2678</v>
      </c>
      <c r="L254" s="479">
        <v>1000</v>
      </c>
      <c r="M254" s="479"/>
      <c r="N254" s="480">
        <f t="shared" si="98"/>
        <v>1000</v>
      </c>
      <c r="O254" s="481">
        <f t="shared" si="99"/>
        <v>32136</v>
      </c>
      <c r="P254" s="482">
        <f t="shared" si="100"/>
        <v>20599176</v>
      </c>
      <c r="Q254" s="383">
        <v>597</v>
      </c>
      <c r="R254" s="384">
        <v>2677</v>
      </c>
      <c r="S254" s="384"/>
      <c r="T254" s="384"/>
      <c r="U254" s="384"/>
      <c r="V254" s="384"/>
      <c r="W254" s="384"/>
      <c r="X254" s="384"/>
      <c r="Y254" s="384">
        <v>154</v>
      </c>
      <c r="Z254" s="479">
        <f t="shared" si="101"/>
        <v>2831</v>
      </c>
      <c r="AA254" s="479">
        <v>1000</v>
      </c>
      <c r="AB254" s="479">
        <v>5280.66</v>
      </c>
      <c r="AC254" s="480">
        <f t="shared" si="102"/>
        <v>6280.66</v>
      </c>
      <c r="AD254" s="481">
        <f t="shared" si="103"/>
        <v>33972</v>
      </c>
      <c r="AE254" s="482">
        <f t="shared" si="104"/>
        <v>20281284</v>
      </c>
      <c r="AF254" s="482">
        <f t="shared" si="105"/>
        <v>-1836</v>
      </c>
      <c r="AG254" s="482">
        <f t="shared" si="106"/>
        <v>317892</v>
      </c>
      <c r="AH254" s="383">
        <v>597</v>
      </c>
      <c r="AI254" s="482">
        <v>20281284</v>
      </c>
    </row>
    <row r="255" spans="1:35" x14ac:dyDescent="0.2">
      <c r="A255" s="478" t="s">
        <v>719</v>
      </c>
      <c r="B255" s="383">
        <v>15</v>
      </c>
      <c r="C255" s="479">
        <f>ROUND((76.67*40)*100%,0)</f>
        <v>3067</v>
      </c>
      <c r="D255" s="479"/>
      <c r="E255" s="479"/>
      <c r="F255" s="479"/>
      <c r="G255" s="479"/>
      <c r="H255" s="479"/>
      <c r="I255" s="479"/>
      <c r="J255" s="479">
        <v>179</v>
      </c>
      <c r="K255" s="479">
        <f t="shared" si="97"/>
        <v>3246</v>
      </c>
      <c r="L255" s="479">
        <v>1000</v>
      </c>
      <c r="M255" s="479"/>
      <c r="N255" s="480">
        <f t="shared" si="98"/>
        <v>1000</v>
      </c>
      <c r="O255" s="481">
        <f t="shared" si="99"/>
        <v>38952</v>
      </c>
      <c r="P255" s="482">
        <f t="shared" si="100"/>
        <v>584280</v>
      </c>
      <c r="Q255" s="383">
        <v>24</v>
      </c>
      <c r="R255" s="384">
        <v>3802</v>
      </c>
      <c r="S255" s="384"/>
      <c r="T255" s="384"/>
      <c r="U255" s="384"/>
      <c r="V255" s="384"/>
      <c r="W255" s="384"/>
      <c r="X255" s="384"/>
      <c r="Y255" s="384">
        <v>197</v>
      </c>
      <c r="Z255" s="479">
        <f t="shared" si="101"/>
        <v>3999</v>
      </c>
      <c r="AA255" s="479">
        <v>1000</v>
      </c>
      <c r="AB255" s="479">
        <v>6400.8</v>
      </c>
      <c r="AC255" s="480">
        <f t="shared" si="102"/>
        <v>7400.8</v>
      </c>
      <c r="AD255" s="481">
        <f t="shared" si="103"/>
        <v>47988</v>
      </c>
      <c r="AE255" s="482">
        <f t="shared" si="104"/>
        <v>1151712</v>
      </c>
      <c r="AF255" s="482">
        <f t="shared" si="105"/>
        <v>-9036</v>
      </c>
      <c r="AG255" s="482">
        <f t="shared" si="106"/>
        <v>-567432</v>
      </c>
      <c r="AH255" s="383">
        <v>24</v>
      </c>
      <c r="AI255" s="482">
        <v>1151712</v>
      </c>
    </row>
    <row r="256" spans="1:35" x14ac:dyDescent="0.2">
      <c r="A256" s="478" t="s">
        <v>720</v>
      </c>
      <c r="B256" s="383">
        <v>621</v>
      </c>
      <c r="C256" s="479">
        <f>ROUND((76.67*30)*100%,0)</f>
        <v>2300</v>
      </c>
      <c r="D256" s="479"/>
      <c r="E256" s="479"/>
      <c r="F256" s="479"/>
      <c r="G256" s="479"/>
      <c r="H256" s="479"/>
      <c r="I256" s="479"/>
      <c r="J256" s="479">
        <v>135</v>
      </c>
      <c r="K256" s="479">
        <f t="shared" si="97"/>
        <v>2435</v>
      </c>
      <c r="L256" s="479">
        <v>1000</v>
      </c>
      <c r="M256" s="479">
        <v>6000</v>
      </c>
      <c r="N256" s="480">
        <f t="shared" si="98"/>
        <v>7000</v>
      </c>
      <c r="O256" s="481">
        <f t="shared" si="99"/>
        <v>29220</v>
      </c>
      <c r="P256" s="482">
        <f t="shared" si="100"/>
        <v>18145620</v>
      </c>
      <c r="Q256" s="383">
        <v>558</v>
      </c>
      <c r="R256" s="384">
        <v>2433</v>
      </c>
      <c r="S256" s="384"/>
      <c r="T256" s="384"/>
      <c r="U256" s="384"/>
      <c r="V256" s="384"/>
      <c r="W256" s="384"/>
      <c r="X256" s="384"/>
      <c r="Y256" s="384">
        <v>140</v>
      </c>
      <c r="Z256" s="479">
        <f t="shared" si="101"/>
        <v>2573</v>
      </c>
      <c r="AA256" s="479">
        <v>1000</v>
      </c>
      <c r="AB256" s="479">
        <v>4800.6000000000004</v>
      </c>
      <c r="AC256" s="480">
        <f t="shared" si="102"/>
        <v>5800.6</v>
      </c>
      <c r="AD256" s="481">
        <f t="shared" si="103"/>
        <v>30876</v>
      </c>
      <c r="AE256" s="482">
        <f t="shared" si="104"/>
        <v>17228808</v>
      </c>
      <c r="AF256" s="482">
        <f t="shared" si="105"/>
        <v>-1656</v>
      </c>
      <c r="AG256" s="482">
        <f t="shared" si="106"/>
        <v>916812</v>
      </c>
      <c r="AH256" s="383">
        <v>558</v>
      </c>
      <c r="AI256" s="482">
        <v>17228808</v>
      </c>
    </row>
    <row r="257" spans="1:35" x14ac:dyDescent="0.2">
      <c r="A257" s="478" t="s">
        <v>687</v>
      </c>
      <c r="B257" s="383">
        <v>3</v>
      </c>
      <c r="C257" s="479">
        <v>1067</v>
      </c>
      <c r="D257" s="479"/>
      <c r="E257" s="479"/>
      <c r="F257" s="479"/>
      <c r="G257" s="479"/>
      <c r="H257" s="479"/>
      <c r="I257" s="479"/>
      <c r="J257" s="479">
        <v>62</v>
      </c>
      <c r="K257" s="479">
        <f t="shared" si="97"/>
        <v>1129</v>
      </c>
      <c r="L257" s="479">
        <v>1000</v>
      </c>
      <c r="M257" s="479"/>
      <c r="N257" s="480">
        <f t="shared" si="98"/>
        <v>1000</v>
      </c>
      <c r="O257" s="481">
        <f t="shared" si="99"/>
        <v>13548</v>
      </c>
      <c r="P257" s="482">
        <f t="shared" si="100"/>
        <v>40644</v>
      </c>
      <c r="Q257" s="383">
        <v>3</v>
      </c>
      <c r="R257" s="384">
        <v>1067</v>
      </c>
      <c r="S257" s="384"/>
      <c r="T257" s="384"/>
      <c r="U257" s="384"/>
      <c r="V257" s="384"/>
      <c r="W257" s="384"/>
      <c r="X257" s="384"/>
      <c r="Y257" s="384">
        <v>84</v>
      </c>
      <c r="Z257" s="479">
        <f t="shared" si="101"/>
        <v>1151</v>
      </c>
      <c r="AA257" s="479">
        <v>1000</v>
      </c>
      <c r="AB257" s="384"/>
      <c r="AC257" s="480">
        <f t="shared" si="102"/>
        <v>1000</v>
      </c>
      <c r="AD257" s="481">
        <f t="shared" si="103"/>
        <v>13812</v>
      </c>
      <c r="AE257" s="482">
        <f t="shared" si="104"/>
        <v>41436</v>
      </c>
      <c r="AF257" s="482">
        <f t="shared" si="105"/>
        <v>-264</v>
      </c>
      <c r="AG257" s="482">
        <f t="shared" si="106"/>
        <v>-792</v>
      </c>
      <c r="AH257" s="383">
        <v>3</v>
      </c>
      <c r="AI257" s="482">
        <v>41436</v>
      </c>
    </row>
    <row r="258" spans="1:35" x14ac:dyDescent="0.2">
      <c r="A258" s="478" t="s">
        <v>688</v>
      </c>
      <c r="B258" s="383">
        <v>2</v>
      </c>
      <c r="C258" s="479">
        <v>1020</v>
      </c>
      <c r="D258" s="479"/>
      <c r="E258" s="479"/>
      <c r="F258" s="479"/>
      <c r="G258" s="479"/>
      <c r="H258" s="479"/>
      <c r="I258" s="479"/>
      <c r="J258" s="479">
        <v>60</v>
      </c>
      <c r="K258" s="479">
        <f t="shared" si="97"/>
        <v>1080</v>
      </c>
      <c r="L258" s="479">
        <v>1000</v>
      </c>
      <c r="M258" s="479"/>
      <c r="N258" s="480">
        <f t="shared" si="98"/>
        <v>1000</v>
      </c>
      <c r="O258" s="481">
        <f t="shared" si="99"/>
        <v>12960</v>
      </c>
      <c r="P258" s="482">
        <f t="shared" si="100"/>
        <v>25920</v>
      </c>
      <c r="Q258" s="383">
        <v>2</v>
      </c>
      <c r="R258" s="384">
        <v>1030</v>
      </c>
      <c r="S258" s="384"/>
      <c r="T258" s="384"/>
      <c r="U258" s="384"/>
      <c r="V258" s="384"/>
      <c r="W258" s="384"/>
      <c r="X258" s="384"/>
      <c r="Y258" s="384">
        <v>84</v>
      </c>
      <c r="Z258" s="479">
        <f t="shared" si="101"/>
        <v>1114</v>
      </c>
      <c r="AA258" s="479">
        <v>1000</v>
      </c>
      <c r="AB258" s="384"/>
      <c r="AC258" s="480">
        <f t="shared" si="102"/>
        <v>1000</v>
      </c>
      <c r="AD258" s="481">
        <f t="shared" si="103"/>
        <v>13368</v>
      </c>
      <c r="AE258" s="482">
        <f t="shared" si="104"/>
        <v>26736</v>
      </c>
      <c r="AF258" s="482">
        <f t="shared" si="105"/>
        <v>-408</v>
      </c>
      <c r="AG258" s="482">
        <f t="shared" si="106"/>
        <v>-816</v>
      </c>
      <c r="AH258" s="383">
        <v>2</v>
      </c>
      <c r="AI258" s="482">
        <v>26736</v>
      </c>
    </row>
    <row r="259" spans="1:35" x14ac:dyDescent="0.2">
      <c r="A259" s="478" t="s">
        <v>693</v>
      </c>
      <c r="B259" s="383">
        <v>4</v>
      </c>
      <c r="C259" s="479">
        <v>1039</v>
      </c>
      <c r="D259" s="479"/>
      <c r="E259" s="479"/>
      <c r="F259" s="479"/>
      <c r="G259" s="479"/>
      <c r="H259" s="479"/>
      <c r="I259" s="479"/>
      <c r="J259" s="479">
        <v>61</v>
      </c>
      <c r="K259" s="479">
        <f t="shared" si="97"/>
        <v>1100</v>
      </c>
      <c r="L259" s="479">
        <v>1000</v>
      </c>
      <c r="M259" s="479"/>
      <c r="N259" s="480">
        <f t="shared" si="98"/>
        <v>1000</v>
      </c>
      <c r="O259" s="481">
        <f t="shared" si="99"/>
        <v>13200</v>
      </c>
      <c r="P259" s="482">
        <f t="shared" si="100"/>
        <v>52800</v>
      </c>
      <c r="Q259" s="383">
        <v>3</v>
      </c>
      <c r="R259" s="384">
        <v>1044</v>
      </c>
      <c r="S259" s="384"/>
      <c r="T259" s="384"/>
      <c r="U259" s="384"/>
      <c r="V259" s="384"/>
      <c r="W259" s="384"/>
      <c r="X259" s="384"/>
      <c r="Y259" s="384">
        <v>84</v>
      </c>
      <c r="Z259" s="479">
        <f t="shared" si="101"/>
        <v>1128</v>
      </c>
      <c r="AA259" s="479">
        <v>1000</v>
      </c>
      <c r="AB259" s="384"/>
      <c r="AC259" s="480">
        <f t="shared" si="102"/>
        <v>1000</v>
      </c>
      <c r="AD259" s="481">
        <f t="shared" si="103"/>
        <v>13536</v>
      </c>
      <c r="AE259" s="482">
        <f t="shared" si="104"/>
        <v>40608</v>
      </c>
      <c r="AF259" s="482">
        <f t="shared" si="105"/>
        <v>-336</v>
      </c>
      <c r="AG259" s="482">
        <f t="shared" si="106"/>
        <v>12192</v>
      </c>
      <c r="AH259" s="383">
        <v>3</v>
      </c>
      <c r="AI259" s="482">
        <v>40608</v>
      </c>
    </row>
    <row r="260" spans="1:35" x14ac:dyDescent="0.2">
      <c r="A260" s="478" t="s">
        <v>694</v>
      </c>
      <c r="B260" s="383">
        <v>0</v>
      </c>
      <c r="C260" s="479"/>
      <c r="D260" s="479"/>
      <c r="E260" s="479"/>
      <c r="F260" s="479"/>
      <c r="G260" s="479"/>
      <c r="H260" s="479"/>
      <c r="I260" s="479"/>
      <c r="J260" s="479">
        <v>0</v>
      </c>
      <c r="K260" s="479">
        <f t="shared" si="97"/>
        <v>0</v>
      </c>
      <c r="L260" s="479">
        <v>1000</v>
      </c>
      <c r="M260" s="479"/>
      <c r="N260" s="480">
        <f t="shared" si="98"/>
        <v>1000</v>
      </c>
      <c r="O260" s="481">
        <f t="shared" si="99"/>
        <v>0</v>
      </c>
      <c r="P260" s="482">
        <f t="shared" si="100"/>
        <v>0</v>
      </c>
      <c r="Q260" s="383">
        <v>1</v>
      </c>
      <c r="R260" s="384">
        <v>1002</v>
      </c>
      <c r="S260" s="384"/>
      <c r="T260" s="384"/>
      <c r="U260" s="384"/>
      <c r="V260" s="384"/>
      <c r="W260" s="384"/>
      <c r="X260" s="384"/>
      <c r="Y260" s="384">
        <v>84</v>
      </c>
      <c r="Z260" s="479">
        <f t="shared" si="101"/>
        <v>1086</v>
      </c>
      <c r="AA260" s="479">
        <v>1000</v>
      </c>
      <c r="AB260" s="384"/>
      <c r="AC260" s="480">
        <f t="shared" si="102"/>
        <v>1000</v>
      </c>
      <c r="AD260" s="481">
        <f t="shared" si="103"/>
        <v>13032</v>
      </c>
      <c r="AE260" s="482">
        <f t="shared" si="104"/>
        <v>13032</v>
      </c>
      <c r="AF260" s="482">
        <f t="shared" si="105"/>
        <v>-13032</v>
      </c>
      <c r="AG260" s="482">
        <f t="shared" si="106"/>
        <v>-13032</v>
      </c>
      <c r="AH260" s="383">
        <v>1</v>
      </c>
      <c r="AI260" s="482">
        <v>13032</v>
      </c>
    </row>
    <row r="261" spans="1:35" x14ac:dyDescent="0.2">
      <c r="A261" s="478" t="s">
        <v>696</v>
      </c>
      <c r="B261" s="383">
        <v>2</v>
      </c>
      <c r="C261" s="479">
        <v>1025</v>
      </c>
      <c r="D261" s="479"/>
      <c r="E261" s="479"/>
      <c r="F261" s="479"/>
      <c r="G261" s="479"/>
      <c r="H261" s="479"/>
      <c r="I261" s="479"/>
      <c r="J261" s="479">
        <v>60</v>
      </c>
      <c r="K261" s="479">
        <f t="shared" si="97"/>
        <v>1085</v>
      </c>
      <c r="L261" s="479">
        <v>1000</v>
      </c>
      <c r="M261" s="479"/>
      <c r="N261" s="480">
        <f t="shared" si="98"/>
        <v>1000</v>
      </c>
      <c r="O261" s="481">
        <f t="shared" si="99"/>
        <v>13020</v>
      </c>
      <c r="P261" s="482">
        <f t="shared" si="100"/>
        <v>26040</v>
      </c>
      <c r="Q261" s="383">
        <v>2</v>
      </c>
      <c r="R261" s="384">
        <v>1025</v>
      </c>
      <c r="S261" s="384"/>
      <c r="T261" s="384"/>
      <c r="U261" s="384"/>
      <c r="V261" s="384"/>
      <c r="W261" s="384"/>
      <c r="X261" s="384"/>
      <c r="Y261" s="384">
        <v>84</v>
      </c>
      <c r="Z261" s="479">
        <f t="shared" si="101"/>
        <v>1109</v>
      </c>
      <c r="AA261" s="479">
        <v>1000</v>
      </c>
      <c r="AB261" s="384"/>
      <c r="AC261" s="480">
        <f t="shared" si="102"/>
        <v>1000</v>
      </c>
      <c r="AD261" s="481">
        <f t="shared" si="103"/>
        <v>13308</v>
      </c>
      <c r="AE261" s="482">
        <f t="shared" si="104"/>
        <v>26616</v>
      </c>
      <c r="AF261" s="482">
        <f t="shared" si="105"/>
        <v>-288</v>
      </c>
      <c r="AG261" s="482">
        <f t="shared" si="106"/>
        <v>-576</v>
      </c>
      <c r="AH261" s="383">
        <v>2</v>
      </c>
      <c r="AI261" s="482">
        <v>26616</v>
      </c>
    </row>
    <row r="262" spans="1:35" x14ac:dyDescent="0.2">
      <c r="A262" s="478" t="s">
        <v>697</v>
      </c>
      <c r="B262" s="383">
        <v>1</v>
      </c>
      <c r="C262" s="479">
        <v>987</v>
      </c>
      <c r="D262" s="479"/>
      <c r="E262" s="479"/>
      <c r="F262" s="479"/>
      <c r="G262" s="479"/>
      <c r="H262" s="479"/>
      <c r="I262" s="479"/>
      <c r="J262" s="479">
        <v>58</v>
      </c>
      <c r="K262" s="479">
        <f t="shared" si="97"/>
        <v>1045</v>
      </c>
      <c r="L262" s="479">
        <v>1000</v>
      </c>
      <c r="M262" s="479"/>
      <c r="N262" s="480">
        <f t="shared" si="98"/>
        <v>1000</v>
      </c>
      <c r="O262" s="481">
        <f t="shared" si="99"/>
        <v>12540</v>
      </c>
      <c r="P262" s="482">
        <f t="shared" si="100"/>
        <v>12540</v>
      </c>
      <c r="Q262" s="383">
        <v>1</v>
      </c>
      <c r="R262" s="384">
        <v>987</v>
      </c>
      <c r="S262" s="384"/>
      <c r="T262" s="384"/>
      <c r="U262" s="384"/>
      <c r="V262" s="384"/>
      <c r="W262" s="384"/>
      <c r="X262" s="384"/>
      <c r="Y262" s="384">
        <v>84</v>
      </c>
      <c r="Z262" s="479">
        <f t="shared" si="101"/>
        <v>1071</v>
      </c>
      <c r="AA262" s="479">
        <v>1000</v>
      </c>
      <c r="AB262" s="384"/>
      <c r="AC262" s="480">
        <f t="shared" si="102"/>
        <v>1000</v>
      </c>
      <c r="AD262" s="481">
        <f t="shared" si="103"/>
        <v>12852</v>
      </c>
      <c r="AE262" s="482">
        <f t="shared" si="104"/>
        <v>12852</v>
      </c>
      <c r="AF262" s="482">
        <f t="shared" si="105"/>
        <v>-312</v>
      </c>
      <c r="AG262" s="482">
        <f t="shared" si="106"/>
        <v>-312</v>
      </c>
      <c r="AH262" s="383">
        <v>1</v>
      </c>
      <c r="AI262" s="482">
        <v>12852</v>
      </c>
    </row>
    <row r="263" spans="1:35" x14ac:dyDescent="0.2">
      <c r="A263" s="478" t="s">
        <v>659</v>
      </c>
      <c r="B263" s="383">
        <v>327</v>
      </c>
      <c r="C263" s="479">
        <v>1430</v>
      </c>
      <c r="D263" s="479"/>
      <c r="E263" s="479"/>
      <c r="F263" s="479"/>
      <c r="G263" s="479"/>
      <c r="H263" s="479"/>
      <c r="I263" s="479"/>
      <c r="J263" s="479">
        <v>84</v>
      </c>
      <c r="K263" s="479">
        <f t="shared" si="97"/>
        <v>1514</v>
      </c>
      <c r="L263" s="479">
        <v>1000</v>
      </c>
      <c r="M263" s="479"/>
      <c r="N263" s="480">
        <f t="shared" si="98"/>
        <v>1000</v>
      </c>
      <c r="O263" s="481">
        <f t="shared" si="99"/>
        <v>18168</v>
      </c>
      <c r="P263" s="482">
        <f t="shared" si="100"/>
        <v>5940936</v>
      </c>
      <c r="Q263" s="383">
        <v>317</v>
      </c>
      <c r="R263" s="384">
        <v>1430</v>
      </c>
      <c r="S263" s="384"/>
      <c r="T263" s="384"/>
      <c r="U263" s="384"/>
      <c r="V263" s="384"/>
      <c r="W263" s="384"/>
      <c r="X263" s="384"/>
      <c r="Y263" s="384">
        <v>85</v>
      </c>
      <c r="Z263" s="479">
        <f t="shared" si="101"/>
        <v>1515</v>
      </c>
      <c r="AA263" s="479">
        <v>1000</v>
      </c>
      <c r="AB263" s="384">
        <v>200</v>
      </c>
      <c r="AC263" s="480">
        <f t="shared" si="102"/>
        <v>1200</v>
      </c>
      <c r="AD263" s="481">
        <f t="shared" si="103"/>
        <v>18180</v>
      </c>
      <c r="AE263" s="482">
        <f t="shared" si="104"/>
        <v>5763060</v>
      </c>
      <c r="AF263" s="482">
        <f t="shared" si="105"/>
        <v>-12</v>
      </c>
      <c r="AG263" s="482">
        <f t="shared" si="106"/>
        <v>177876</v>
      </c>
      <c r="AH263" s="383">
        <v>317</v>
      </c>
      <c r="AI263" s="482">
        <v>5763060</v>
      </c>
    </row>
    <row r="264" spans="1:35" x14ac:dyDescent="0.2">
      <c r="A264" s="478" t="s">
        <v>661</v>
      </c>
      <c r="B264" s="383">
        <v>5</v>
      </c>
      <c r="C264" s="479">
        <f>ROUND((76.67*40)*100%,0)</f>
        <v>3067</v>
      </c>
      <c r="D264" s="479"/>
      <c r="E264" s="479"/>
      <c r="F264" s="479"/>
      <c r="G264" s="479"/>
      <c r="H264" s="479"/>
      <c r="I264" s="479"/>
      <c r="J264" s="479">
        <v>179</v>
      </c>
      <c r="K264" s="479">
        <f t="shared" si="97"/>
        <v>3246</v>
      </c>
      <c r="L264" s="479">
        <v>600</v>
      </c>
      <c r="M264" s="479"/>
      <c r="N264" s="480">
        <f t="shared" si="98"/>
        <v>600</v>
      </c>
      <c r="O264" s="481">
        <f t="shared" si="99"/>
        <v>38952</v>
      </c>
      <c r="P264" s="482">
        <f t="shared" si="100"/>
        <v>194760</v>
      </c>
      <c r="Q264" s="383">
        <v>8</v>
      </c>
      <c r="R264" s="384">
        <v>3200</v>
      </c>
      <c r="S264" s="384"/>
      <c r="T264" s="384"/>
      <c r="U264" s="384"/>
      <c r="V264" s="384"/>
      <c r="W264" s="384"/>
      <c r="X264" s="384"/>
      <c r="Y264" s="384">
        <v>187</v>
      </c>
      <c r="Z264" s="479">
        <f t="shared" si="101"/>
        <v>3387</v>
      </c>
      <c r="AA264" s="479">
        <v>600</v>
      </c>
      <c r="AB264" s="384">
        <v>448</v>
      </c>
      <c r="AC264" s="480">
        <f t="shared" si="102"/>
        <v>1048</v>
      </c>
      <c r="AD264" s="481">
        <f t="shared" si="103"/>
        <v>40644</v>
      </c>
      <c r="AE264" s="482">
        <f t="shared" si="104"/>
        <v>325152</v>
      </c>
      <c r="AF264" s="482">
        <f t="shared" si="105"/>
        <v>-1692</v>
      </c>
      <c r="AG264" s="482">
        <f t="shared" si="106"/>
        <v>-130392</v>
      </c>
      <c r="AH264" s="383">
        <v>8</v>
      </c>
      <c r="AI264" s="482">
        <v>325152</v>
      </c>
    </row>
    <row r="265" spans="1:35" x14ac:dyDescent="0.2">
      <c r="A265" s="478" t="s">
        <v>660</v>
      </c>
      <c r="B265" s="383">
        <v>831</v>
      </c>
      <c r="C265" s="479">
        <f>ROUND((76.67*30)*100%,0)</f>
        <v>2300</v>
      </c>
      <c r="D265" s="479"/>
      <c r="E265" s="479"/>
      <c r="F265" s="479"/>
      <c r="G265" s="479"/>
      <c r="H265" s="479"/>
      <c r="I265" s="479"/>
      <c r="J265" s="479">
        <v>135</v>
      </c>
      <c r="K265" s="479">
        <f t="shared" si="97"/>
        <v>2435</v>
      </c>
      <c r="L265" s="479">
        <v>600</v>
      </c>
      <c r="M265" s="479"/>
      <c r="N265" s="480">
        <f t="shared" si="98"/>
        <v>600</v>
      </c>
      <c r="O265" s="481">
        <f t="shared" si="99"/>
        <v>29220</v>
      </c>
      <c r="P265" s="482">
        <f t="shared" si="100"/>
        <v>24281820</v>
      </c>
      <c r="Q265" s="383">
        <v>990</v>
      </c>
      <c r="R265" s="384">
        <v>2385</v>
      </c>
      <c r="S265" s="384"/>
      <c r="T265" s="384"/>
      <c r="U265" s="384"/>
      <c r="V265" s="384"/>
      <c r="W265" s="384"/>
      <c r="X265" s="384"/>
      <c r="Y265" s="384">
        <v>139</v>
      </c>
      <c r="Z265" s="479">
        <f t="shared" si="101"/>
        <v>2524</v>
      </c>
      <c r="AA265" s="479">
        <v>600</v>
      </c>
      <c r="AB265" s="384">
        <v>336</v>
      </c>
      <c r="AC265" s="480">
        <f t="shared" si="102"/>
        <v>936</v>
      </c>
      <c r="AD265" s="481">
        <f t="shared" si="103"/>
        <v>30288</v>
      </c>
      <c r="AE265" s="482">
        <f t="shared" si="104"/>
        <v>29985120</v>
      </c>
      <c r="AF265" s="482">
        <f t="shared" si="105"/>
        <v>-1068</v>
      </c>
      <c r="AG265" s="482">
        <f t="shared" si="106"/>
        <v>-5703300</v>
      </c>
      <c r="AH265" s="383">
        <v>990</v>
      </c>
      <c r="AI265" s="482">
        <v>29985120</v>
      </c>
    </row>
    <row r="266" spans="1:35" x14ac:dyDescent="0.2">
      <c r="A266" s="478" t="s">
        <v>721</v>
      </c>
      <c r="B266" s="383">
        <v>538</v>
      </c>
      <c r="C266" s="479">
        <v>1162</v>
      </c>
      <c r="D266" s="479"/>
      <c r="E266" s="479"/>
      <c r="F266" s="479"/>
      <c r="G266" s="479"/>
      <c r="H266" s="479"/>
      <c r="I266" s="479"/>
      <c r="J266" s="479">
        <v>68</v>
      </c>
      <c r="K266" s="479">
        <f t="shared" si="97"/>
        <v>1230</v>
      </c>
      <c r="L266" s="479">
        <v>300</v>
      </c>
      <c r="M266" s="479"/>
      <c r="N266" s="480">
        <f t="shared" si="98"/>
        <v>300</v>
      </c>
      <c r="O266" s="481">
        <f t="shared" si="99"/>
        <v>14760</v>
      </c>
      <c r="P266" s="482">
        <f t="shared" si="100"/>
        <v>7940880</v>
      </c>
      <c r="Q266" s="383">
        <v>561</v>
      </c>
      <c r="R266" s="384">
        <v>1196</v>
      </c>
      <c r="S266" s="384"/>
      <c r="T266" s="384"/>
      <c r="U266" s="384"/>
      <c r="V266" s="384"/>
      <c r="W266" s="384"/>
      <c r="X266" s="384"/>
      <c r="Y266" s="384">
        <v>91</v>
      </c>
      <c r="Z266" s="479">
        <f t="shared" si="101"/>
        <v>1287</v>
      </c>
      <c r="AA266" s="479">
        <v>300</v>
      </c>
      <c r="AB266" s="384">
        <v>250</v>
      </c>
      <c r="AC266" s="480">
        <f t="shared" si="102"/>
        <v>550</v>
      </c>
      <c r="AD266" s="481">
        <f t="shared" si="103"/>
        <v>15444</v>
      </c>
      <c r="AE266" s="482">
        <f t="shared" si="104"/>
        <v>8664084</v>
      </c>
      <c r="AF266" s="482">
        <f t="shared" si="105"/>
        <v>-684</v>
      </c>
      <c r="AG266" s="482">
        <f t="shared" si="106"/>
        <v>-723204</v>
      </c>
      <c r="AH266" s="383">
        <v>561</v>
      </c>
      <c r="AI266" s="482">
        <v>8664084</v>
      </c>
    </row>
    <row r="267" spans="1:35" x14ac:dyDescent="0.2">
      <c r="A267" s="383"/>
      <c r="B267" s="383"/>
      <c r="C267" s="479"/>
      <c r="D267" s="479"/>
      <c r="E267" s="479"/>
      <c r="F267" s="479"/>
      <c r="G267" s="479"/>
      <c r="H267" s="479"/>
      <c r="I267" s="479"/>
      <c r="J267" s="479"/>
      <c r="K267" s="479"/>
      <c r="L267" s="479"/>
      <c r="M267" s="479"/>
      <c r="N267" s="480"/>
      <c r="O267" s="481"/>
      <c r="P267" s="482"/>
      <c r="Q267" s="383"/>
      <c r="R267" s="384"/>
      <c r="S267" s="384"/>
      <c r="T267" s="384"/>
      <c r="U267" s="384"/>
      <c r="V267" s="384"/>
      <c r="W267" s="384"/>
      <c r="X267" s="384"/>
      <c r="Y267" s="384"/>
      <c r="Z267" s="479"/>
      <c r="AA267" s="479"/>
      <c r="AB267" s="384"/>
      <c r="AC267" s="234"/>
      <c r="AD267" s="481"/>
      <c r="AE267" s="482"/>
      <c r="AF267" s="482"/>
      <c r="AG267" s="482"/>
      <c r="AH267" s="383"/>
      <c r="AI267" s="482"/>
    </row>
    <row r="268" spans="1:35" x14ac:dyDescent="0.2">
      <c r="A268" s="383" t="s">
        <v>647</v>
      </c>
      <c r="B268" s="383"/>
      <c r="C268" s="479"/>
      <c r="D268" s="479"/>
      <c r="E268" s="479"/>
      <c r="F268" s="479"/>
      <c r="G268" s="479"/>
      <c r="H268" s="479"/>
      <c r="I268" s="479"/>
      <c r="J268" s="479"/>
      <c r="K268" s="479"/>
      <c r="L268" s="479"/>
      <c r="M268" s="479"/>
      <c r="N268" s="480"/>
      <c r="O268" s="481"/>
      <c r="P268" s="482"/>
      <c r="Q268" s="383"/>
      <c r="R268" s="384"/>
      <c r="S268" s="384"/>
      <c r="T268" s="384"/>
      <c r="U268" s="384"/>
      <c r="V268" s="384"/>
      <c r="W268" s="384"/>
      <c r="X268" s="384"/>
      <c r="Y268" s="384"/>
      <c r="Z268" s="479"/>
      <c r="AA268" s="479"/>
      <c r="AB268" s="384"/>
      <c r="AC268" s="234"/>
      <c r="AD268" s="481"/>
      <c r="AE268" s="482"/>
      <c r="AF268" s="482"/>
      <c r="AG268" s="482"/>
      <c r="AH268" s="383"/>
      <c r="AI268" s="482"/>
    </row>
    <row r="269" spans="1:35" x14ac:dyDescent="0.2">
      <c r="A269" s="383" t="s">
        <v>665</v>
      </c>
      <c r="B269" s="383"/>
      <c r="C269" s="479"/>
      <c r="D269" s="479"/>
      <c r="E269" s="479"/>
      <c r="F269" s="479"/>
      <c r="G269" s="479"/>
      <c r="H269" s="479"/>
      <c r="I269" s="479"/>
      <c r="J269" s="479"/>
      <c r="K269" s="479"/>
      <c r="L269" s="479"/>
      <c r="M269" s="479"/>
      <c r="N269" s="480"/>
      <c r="O269" s="481"/>
      <c r="P269" s="482"/>
      <c r="Q269" s="383"/>
      <c r="R269" s="384"/>
      <c r="S269" s="384"/>
      <c r="T269" s="384"/>
      <c r="U269" s="384"/>
      <c r="V269" s="384"/>
      <c r="W269" s="384"/>
      <c r="X269" s="384"/>
      <c r="Y269" s="384"/>
      <c r="Z269" s="479"/>
      <c r="AA269" s="479"/>
      <c r="AB269" s="384"/>
      <c r="AC269" s="234"/>
      <c r="AD269" s="481"/>
      <c r="AE269" s="482"/>
      <c r="AF269" s="482"/>
      <c r="AG269" s="482"/>
      <c r="AH269" s="383"/>
      <c r="AI269" s="482"/>
    </row>
    <row r="270" spans="1:35" x14ac:dyDescent="0.2">
      <c r="A270" s="478" t="s">
        <v>702</v>
      </c>
      <c r="B270" s="383">
        <v>4</v>
      </c>
      <c r="C270" s="479">
        <v>3344</v>
      </c>
      <c r="D270" s="479"/>
      <c r="E270" s="479"/>
      <c r="F270" s="479"/>
      <c r="G270" s="479"/>
      <c r="H270" s="479"/>
      <c r="I270" s="479"/>
      <c r="J270" s="479">
        <v>196</v>
      </c>
      <c r="K270" s="479">
        <f>SUM(C270:J270)</f>
        <v>3540</v>
      </c>
      <c r="L270" s="479">
        <v>1000</v>
      </c>
      <c r="M270" s="479"/>
      <c r="N270" s="480">
        <f>L270+M270</f>
        <v>1000</v>
      </c>
      <c r="O270" s="481">
        <f>K270*12</f>
        <v>42480</v>
      </c>
      <c r="P270" s="482">
        <f>B270*O270</f>
        <v>169920</v>
      </c>
      <c r="Q270" s="383">
        <v>4</v>
      </c>
      <c r="R270" s="384">
        <v>3344</v>
      </c>
      <c r="S270" s="384"/>
      <c r="T270" s="384"/>
      <c r="U270" s="384"/>
      <c r="V270" s="384"/>
      <c r="W270" s="384"/>
      <c r="X270" s="384"/>
      <c r="Y270" s="384">
        <v>196</v>
      </c>
      <c r="Z270" s="479">
        <f>SUM(R270:Y270)</f>
        <v>3540</v>
      </c>
      <c r="AA270" s="479">
        <v>1000</v>
      </c>
      <c r="AB270" s="384"/>
      <c r="AC270" s="480">
        <f>AA270+AB270</f>
        <v>1000</v>
      </c>
      <c r="AD270" s="481">
        <f>Z270*12</f>
        <v>42480</v>
      </c>
      <c r="AE270" s="482">
        <f>Q270*AD270</f>
        <v>169920</v>
      </c>
      <c r="AF270" s="482">
        <f>O270-AD270</f>
        <v>0</v>
      </c>
      <c r="AG270" s="482">
        <f>P270-AE270</f>
        <v>0</v>
      </c>
      <c r="AH270" s="383">
        <v>4</v>
      </c>
      <c r="AI270" s="482">
        <v>169920</v>
      </c>
    </row>
    <row r="271" spans="1:35" x14ac:dyDescent="0.2">
      <c r="A271" s="383" t="s">
        <v>647</v>
      </c>
      <c r="B271" s="383"/>
      <c r="C271" s="479"/>
      <c r="D271" s="479"/>
      <c r="E271" s="479"/>
      <c r="F271" s="479"/>
      <c r="G271" s="479"/>
      <c r="H271" s="479"/>
      <c r="I271" s="479"/>
      <c r="J271" s="479"/>
      <c r="K271" s="479"/>
      <c r="L271" s="479"/>
      <c r="M271" s="479"/>
      <c r="N271" s="480"/>
      <c r="O271" s="481"/>
      <c r="P271" s="482"/>
      <c r="Q271" s="383"/>
      <c r="R271" s="384"/>
      <c r="S271" s="384"/>
      <c r="T271" s="384"/>
      <c r="U271" s="384"/>
      <c r="V271" s="384"/>
      <c r="W271" s="384"/>
      <c r="X271" s="384"/>
      <c r="Y271" s="384"/>
      <c r="Z271" s="384"/>
      <c r="AA271" s="479"/>
      <c r="AB271" s="384"/>
      <c r="AC271" s="234"/>
      <c r="AD271" s="385"/>
      <c r="AE271" s="389"/>
      <c r="AF271" s="389"/>
      <c r="AG271" s="383"/>
      <c r="AH271" s="383"/>
      <c r="AI271" s="383"/>
    </row>
    <row r="272" spans="1:35" x14ac:dyDescent="0.2">
      <c r="A272" s="383" t="s">
        <v>647</v>
      </c>
      <c r="B272" s="383"/>
      <c r="C272" s="384"/>
      <c r="D272" s="384"/>
      <c r="E272" s="384"/>
      <c r="F272" s="384"/>
      <c r="G272" s="384"/>
      <c r="H272" s="384"/>
      <c r="I272" s="384"/>
      <c r="J272" s="384"/>
      <c r="K272" s="384"/>
      <c r="L272" s="384"/>
      <c r="M272" s="384"/>
      <c r="N272" s="234"/>
      <c r="O272" s="385"/>
      <c r="P272" s="389"/>
      <c r="Q272" s="383"/>
      <c r="R272" s="384"/>
      <c r="S272" s="384"/>
      <c r="T272" s="384"/>
      <c r="U272" s="384"/>
      <c r="V272" s="384"/>
      <c r="W272" s="384"/>
      <c r="X272" s="384"/>
      <c r="Y272" s="384"/>
      <c r="Z272" s="384"/>
      <c r="AA272" s="384"/>
      <c r="AB272" s="384"/>
      <c r="AC272" s="234"/>
      <c r="AD272" s="385"/>
      <c r="AE272" s="389"/>
      <c r="AF272" s="389"/>
      <c r="AG272" s="383"/>
      <c r="AH272" s="389"/>
      <c r="AI272" s="383"/>
    </row>
    <row r="273" spans="1:35" x14ac:dyDescent="0.2">
      <c r="A273" s="383" t="s">
        <v>22</v>
      </c>
      <c r="B273" s="383"/>
      <c r="C273" s="384"/>
      <c r="D273" s="384"/>
      <c r="E273" s="384"/>
      <c r="F273" s="384"/>
      <c r="G273" s="384"/>
      <c r="H273" s="384"/>
      <c r="I273" s="384"/>
      <c r="J273" s="384"/>
      <c r="K273" s="384"/>
      <c r="L273" s="384"/>
      <c r="M273" s="384"/>
      <c r="N273" s="234"/>
      <c r="O273" s="385"/>
      <c r="P273" s="389"/>
      <c r="Q273" s="383"/>
      <c r="R273" s="384"/>
      <c r="S273" s="384"/>
      <c r="T273" s="384"/>
      <c r="U273" s="384"/>
      <c r="V273" s="384"/>
      <c r="W273" s="384"/>
      <c r="X273" s="384"/>
      <c r="Y273" s="384"/>
      <c r="Z273" s="384"/>
      <c r="AA273" s="384"/>
      <c r="AB273" s="384"/>
      <c r="AC273" s="234"/>
      <c r="AD273" s="385"/>
      <c r="AE273" s="389"/>
      <c r="AF273" s="389"/>
      <c r="AG273" s="383"/>
      <c r="AH273" s="389"/>
      <c r="AI273" s="383"/>
    </row>
    <row r="274" spans="1:35" x14ac:dyDescent="0.2">
      <c r="A274" s="383" t="s">
        <v>703</v>
      </c>
      <c r="B274" s="383"/>
      <c r="C274" s="384"/>
      <c r="D274" s="384"/>
      <c r="E274" s="384"/>
      <c r="F274" s="384"/>
      <c r="G274" s="384"/>
      <c r="H274" s="384"/>
      <c r="I274" s="384"/>
      <c r="J274" s="384"/>
      <c r="K274" s="384"/>
      <c r="L274" s="384"/>
      <c r="M274" s="384"/>
      <c r="N274" s="234"/>
      <c r="O274" s="385"/>
      <c r="P274" s="389"/>
      <c r="Q274" s="383"/>
      <c r="R274" s="384"/>
      <c r="S274" s="384"/>
      <c r="T274" s="384"/>
      <c r="U274" s="479"/>
      <c r="V274" s="479"/>
      <c r="W274" s="479"/>
      <c r="X274" s="479"/>
      <c r="Y274" s="479"/>
      <c r="Z274" s="479"/>
      <c r="AA274" s="479"/>
      <c r="AB274" s="479"/>
      <c r="AC274" s="480"/>
      <c r="AD274" s="481"/>
      <c r="AE274" s="482"/>
      <c r="AF274" s="482"/>
      <c r="AG274" s="383"/>
      <c r="AH274" s="389"/>
      <c r="AI274" s="383"/>
    </row>
    <row r="275" spans="1:35" x14ac:dyDescent="0.2">
      <c r="A275" s="383" t="s">
        <v>722</v>
      </c>
      <c r="B275" s="383">
        <v>182</v>
      </c>
      <c r="C275" s="495">
        <v>500</v>
      </c>
      <c r="D275" s="495"/>
      <c r="E275" s="495"/>
      <c r="F275" s="495"/>
      <c r="G275" s="495"/>
      <c r="H275" s="495"/>
      <c r="I275" s="495"/>
      <c r="J275" s="495"/>
      <c r="K275" s="495"/>
      <c r="L275" s="495"/>
      <c r="M275" s="495"/>
      <c r="N275" s="496"/>
      <c r="O275" s="497">
        <f>(C275*10)*B275</f>
        <v>910000</v>
      </c>
      <c r="P275" s="497">
        <f>(C275*10)*B275</f>
        <v>910000</v>
      </c>
      <c r="Q275" s="383">
        <v>181</v>
      </c>
      <c r="R275" s="384">
        <v>500</v>
      </c>
      <c r="S275" s="384"/>
      <c r="T275" s="384"/>
      <c r="U275" s="479"/>
      <c r="V275" s="479"/>
      <c r="W275" s="479"/>
      <c r="X275" s="479"/>
      <c r="Y275" s="479"/>
      <c r="Z275" s="479"/>
      <c r="AA275" s="479"/>
      <c r="AB275" s="479"/>
      <c r="AC275" s="480"/>
      <c r="AD275" s="481">
        <f>(R275*10)*Q275</f>
        <v>905000</v>
      </c>
      <c r="AE275" s="482">
        <f>(R275*10)*Q275</f>
        <v>905000</v>
      </c>
      <c r="AF275" s="482">
        <f>P275-AE275</f>
        <v>5000</v>
      </c>
      <c r="AG275" s="383">
        <f>B275-Q275</f>
        <v>1</v>
      </c>
      <c r="AH275" s="389">
        <v>181</v>
      </c>
      <c r="AI275" s="488">
        <v>905000</v>
      </c>
    </row>
    <row r="276" spans="1:35" x14ac:dyDescent="0.2">
      <c r="A276" s="383" t="s">
        <v>723</v>
      </c>
      <c r="B276" s="383">
        <v>34</v>
      </c>
      <c r="C276" s="495">
        <v>700</v>
      </c>
      <c r="D276" s="495"/>
      <c r="E276" s="495"/>
      <c r="F276" s="495"/>
      <c r="G276" s="495"/>
      <c r="H276" s="495"/>
      <c r="I276" s="495"/>
      <c r="J276" s="495"/>
      <c r="K276" s="495"/>
      <c r="L276" s="495"/>
      <c r="M276" s="495"/>
      <c r="N276" s="496"/>
      <c r="O276" s="497">
        <f>(C276*10)*B276</f>
        <v>238000</v>
      </c>
      <c r="P276" s="497">
        <f>(C276*10)*B276</f>
        <v>238000</v>
      </c>
      <c r="Q276" s="383">
        <v>34</v>
      </c>
      <c r="R276" s="384">
        <v>700</v>
      </c>
      <c r="S276" s="384"/>
      <c r="T276" s="384"/>
      <c r="U276" s="479"/>
      <c r="V276" s="479"/>
      <c r="W276" s="479"/>
      <c r="X276" s="479"/>
      <c r="Y276" s="479"/>
      <c r="Z276" s="479"/>
      <c r="AA276" s="479"/>
      <c r="AB276" s="479"/>
      <c r="AC276" s="480"/>
      <c r="AD276" s="481">
        <f>(R276*10)*Q276</f>
        <v>238000</v>
      </c>
      <c r="AE276" s="482">
        <f>(R276*10)*Q276</f>
        <v>238000</v>
      </c>
      <c r="AF276" s="482">
        <f>P276-AE276</f>
        <v>0</v>
      </c>
      <c r="AG276" s="383">
        <f>B276-Q276</f>
        <v>0</v>
      </c>
      <c r="AH276" s="389">
        <v>34</v>
      </c>
      <c r="AI276" s="488">
        <v>238000</v>
      </c>
    </row>
    <row r="277" spans="1:35" x14ac:dyDescent="0.2">
      <c r="A277" s="383" t="s">
        <v>724</v>
      </c>
      <c r="B277" s="383"/>
      <c r="C277" s="495"/>
      <c r="D277" s="495"/>
      <c r="E277" s="495"/>
      <c r="F277" s="495"/>
      <c r="G277" s="495"/>
      <c r="H277" s="495"/>
      <c r="I277" s="495"/>
      <c r="J277" s="495"/>
      <c r="K277" s="495"/>
      <c r="L277" s="495"/>
      <c r="M277" s="495"/>
      <c r="N277" s="496"/>
      <c r="O277" s="497"/>
      <c r="P277" s="498"/>
      <c r="Q277" s="383"/>
      <c r="R277" s="384"/>
      <c r="S277" s="384"/>
      <c r="T277" s="384"/>
      <c r="U277" s="479"/>
      <c r="V277" s="479"/>
      <c r="W277" s="479"/>
      <c r="X277" s="479"/>
      <c r="Y277" s="479"/>
      <c r="Z277" s="479"/>
      <c r="AA277" s="479"/>
      <c r="AB277" s="479"/>
      <c r="AC277" s="480"/>
      <c r="AD277" s="481"/>
      <c r="AE277" s="482"/>
      <c r="AF277" s="482"/>
      <c r="AG277" s="383"/>
      <c r="AH277" s="389"/>
      <c r="AI277" s="488"/>
    </row>
    <row r="278" spans="1:35" ht="12.75" thickBot="1" x14ac:dyDescent="0.25">
      <c r="A278" s="383" t="s">
        <v>724</v>
      </c>
      <c r="B278" s="383"/>
      <c r="C278" s="495"/>
      <c r="D278" s="495"/>
      <c r="E278" s="495"/>
      <c r="F278" s="495"/>
      <c r="G278" s="495"/>
      <c r="H278" s="495"/>
      <c r="I278" s="495"/>
      <c r="J278" s="495"/>
      <c r="K278" s="495"/>
      <c r="L278" s="495"/>
      <c r="M278" s="495"/>
      <c r="N278" s="496"/>
      <c r="O278" s="497"/>
      <c r="P278" s="498"/>
      <c r="Q278" s="383"/>
      <c r="R278" s="384"/>
      <c r="S278" s="384"/>
      <c r="T278" s="384"/>
      <c r="U278" s="479"/>
      <c r="V278" s="479"/>
      <c r="W278" s="479"/>
      <c r="X278" s="479"/>
      <c r="Y278" s="479"/>
      <c r="Z278" s="479"/>
      <c r="AA278" s="479"/>
      <c r="AB278" s="479"/>
      <c r="AC278" s="480"/>
      <c r="AD278" s="481"/>
      <c r="AE278" s="482"/>
      <c r="AF278" s="482"/>
      <c r="AG278" s="383"/>
      <c r="AH278" s="389"/>
      <c r="AI278" s="488"/>
    </row>
    <row r="279" spans="1:35" ht="12.75" thickBot="1" x14ac:dyDescent="0.25">
      <c r="A279" s="467" t="s">
        <v>0</v>
      </c>
      <c r="B279" s="499">
        <f t="shared" ref="B279:AI279" si="107">SUM(B225:B278)</f>
        <v>5735</v>
      </c>
      <c r="C279" s="500">
        <f t="shared" si="107"/>
        <v>88479</v>
      </c>
      <c r="D279" s="500">
        <f t="shared" si="107"/>
        <v>16490</v>
      </c>
      <c r="E279" s="500">
        <f t="shared" si="107"/>
        <v>0</v>
      </c>
      <c r="F279" s="500">
        <f t="shared" si="107"/>
        <v>0</v>
      </c>
      <c r="G279" s="500">
        <f t="shared" si="107"/>
        <v>0</v>
      </c>
      <c r="H279" s="500">
        <f t="shared" si="107"/>
        <v>0</v>
      </c>
      <c r="I279" s="500">
        <f t="shared" si="107"/>
        <v>0</v>
      </c>
      <c r="J279" s="500">
        <f t="shared" si="107"/>
        <v>5199</v>
      </c>
      <c r="K279" s="500">
        <f t="shared" si="107"/>
        <v>108968</v>
      </c>
      <c r="L279" s="500">
        <f t="shared" si="107"/>
        <v>38500</v>
      </c>
      <c r="M279" s="500">
        <f t="shared" si="107"/>
        <v>24165</v>
      </c>
      <c r="N279" s="501">
        <f t="shared" si="107"/>
        <v>62665</v>
      </c>
      <c r="O279" s="502">
        <f t="shared" si="107"/>
        <v>2455616</v>
      </c>
      <c r="P279" s="503">
        <f t="shared" si="107"/>
        <v>175245308</v>
      </c>
      <c r="Q279" s="499">
        <f t="shared" si="107"/>
        <v>5619</v>
      </c>
      <c r="R279" s="504">
        <f t="shared" si="107"/>
        <v>96117</v>
      </c>
      <c r="S279" s="504">
        <f t="shared" si="107"/>
        <v>19512</v>
      </c>
      <c r="T279" s="504">
        <f t="shared" si="107"/>
        <v>0</v>
      </c>
      <c r="U279" s="491">
        <f t="shared" si="107"/>
        <v>0</v>
      </c>
      <c r="V279" s="491">
        <f t="shared" si="107"/>
        <v>0</v>
      </c>
      <c r="W279" s="491">
        <f t="shared" si="107"/>
        <v>0</v>
      </c>
      <c r="X279" s="491">
        <f t="shared" si="107"/>
        <v>0</v>
      </c>
      <c r="Y279" s="491">
        <f t="shared" si="107"/>
        <v>5931</v>
      </c>
      <c r="Z279" s="491">
        <f t="shared" si="107"/>
        <v>120360</v>
      </c>
      <c r="AA279" s="491">
        <f t="shared" si="107"/>
        <v>38500</v>
      </c>
      <c r="AB279" s="491">
        <f t="shared" si="107"/>
        <v>110447.66000000002</v>
      </c>
      <c r="AC279" s="505">
        <f t="shared" si="107"/>
        <v>148947.66</v>
      </c>
      <c r="AD279" s="506">
        <f t="shared" si="107"/>
        <v>2587320</v>
      </c>
      <c r="AE279" s="494">
        <f t="shared" si="107"/>
        <v>181634400</v>
      </c>
      <c r="AF279" s="494">
        <f t="shared" si="107"/>
        <v>-131704</v>
      </c>
      <c r="AG279" s="499">
        <f t="shared" si="107"/>
        <v>-6394091</v>
      </c>
      <c r="AH279" s="507">
        <f t="shared" si="107"/>
        <v>5619</v>
      </c>
      <c r="AI279" s="508">
        <f t="shared" si="107"/>
        <v>181634400</v>
      </c>
    </row>
    <row r="280" spans="1:35" x14ac:dyDescent="0.2">
      <c r="A280" s="234"/>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row>
    <row r="281" spans="1:35" x14ac:dyDescent="0.2">
      <c r="A281" s="234"/>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row>
    <row r="283" spans="1:35" x14ac:dyDescent="0.2">
      <c r="A283" s="275" t="s">
        <v>727</v>
      </c>
      <c r="B283" s="275"/>
      <c r="C283" s="275"/>
      <c r="D283" s="275"/>
      <c r="E283" s="275"/>
      <c r="F283" s="275"/>
      <c r="G283" s="275"/>
      <c r="H283" s="275"/>
      <c r="I283" s="275"/>
      <c r="J283" s="275"/>
      <c r="K283" s="275"/>
      <c r="L283" s="275"/>
      <c r="M283" s="275"/>
      <c r="N283" s="275"/>
      <c r="O283" s="275"/>
      <c r="P283" s="275"/>
      <c r="Q283" s="275"/>
      <c r="R283" s="275"/>
      <c r="S283" s="275"/>
      <c r="T283" s="275"/>
      <c r="U283" s="275"/>
      <c r="V283" s="275"/>
      <c r="W283" s="275"/>
      <c r="X283" s="275"/>
      <c r="Y283" s="275"/>
      <c r="Z283" s="275"/>
      <c r="AA283" s="275"/>
      <c r="AB283" s="275"/>
      <c r="AC283" s="275"/>
      <c r="AD283" s="275"/>
      <c r="AE283" s="364"/>
      <c r="AF283" s="364"/>
      <c r="AG283" s="364"/>
      <c r="AH283" s="364"/>
      <c r="AI283" s="364"/>
    </row>
    <row r="284" spans="1:35" ht="12.75" thickBot="1" x14ac:dyDescent="0.25">
      <c r="A284" s="274" t="s">
        <v>317</v>
      </c>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row>
    <row r="285" spans="1:35" ht="12.75" thickBot="1" x14ac:dyDescent="0.25">
      <c r="A285" s="1396" t="s">
        <v>42</v>
      </c>
      <c r="B285" s="1399" t="s">
        <v>356</v>
      </c>
      <c r="C285" s="1399"/>
      <c r="D285" s="1399"/>
      <c r="E285" s="1399"/>
      <c r="F285" s="1399"/>
      <c r="G285" s="1399"/>
      <c r="H285" s="1399"/>
      <c r="I285" s="1399"/>
      <c r="J285" s="1399"/>
      <c r="K285" s="1399"/>
      <c r="L285" s="1399"/>
      <c r="M285" s="1399"/>
      <c r="N285" s="1399"/>
      <c r="O285" s="1399"/>
      <c r="P285" s="1399"/>
      <c r="Q285" s="1400" t="s">
        <v>378</v>
      </c>
      <c r="R285" s="1399"/>
      <c r="S285" s="1399"/>
      <c r="T285" s="1399"/>
      <c r="U285" s="1399"/>
      <c r="V285" s="1399"/>
      <c r="W285" s="1399"/>
      <c r="X285" s="1399"/>
      <c r="Y285" s="1399"/>
      <c r="Z285" s="1399"/>
      <c r="AA285" s="1399"/>
      <c r="AB285" s="1399"/>
      <c r="AC285" s="1399"/>
      <c r="AD285" s="1399"/>
      <c r="AE285" s="1401"/>
      <c r="AF285" s="1402" t="s">
        <v>379</v>
      </c>
      <c r="AG285" s="1403"/>
      <c r="AH285" s="1402" t="s">
        <v>380</v>
      </c>
      <c r="AI285" s="1403"/>
    </row>
    <row r="286" spans="1:35" ht="137.25" x14ac:dyDescent="0.2">
      <c r="A286" s="1397"/>
      <c r="B286" s="556" t="s">
        <v>11</v>
      </c>
      <c r="C286" s="557" t="s">
        <v>130</v>
      </c>
      <c r="D286" s="558" t="s">
        <v>245</v>
      </c>
      <c r="E286" s="558" t="s">
        <v>132</v>
      </c>
      <c r="F286" s="558" t="s">
        <v>154</v>
      </c>
      <c r="G286" s="558" t="s">
        <v>155</v>
      </c>
      <c r="H286" s="558" t="s">
        <v>156</v>
      </c>
      <c r="I286" s="558" t="s">
        <v>157</v>
      </c>
      <c r="J286" s="558" t="s">
        <v>133</v>
      </c>
      <c r="K286" s="558" t="s">
        <v>134</v>
      </c>
      <c r="L286" s="558" t="s">
        <v>135</v>
      </c>
      <c r="M286" s="558" t="s">
        <v>153</v>
      </c>
      <c r="N286" s="559" t="s">
        <v>104</v>
      </c>
      <c r="O286" s="560" t="s">
        <v>138</v>
      </c>
      <c r="P286" s="561" t="s">
        <v>137</v>
      </c>
      <c r="Q286" s="556" t="s">
        <v>11</v>
      </c>
      <c r="R286" s="557" t="s">
        <v>130</v>
      </c>
      <c r="S286" s="558" t="s">
        <v>131</v>
      </c>
      <c r="T286" s="558" t="s">
        <v>132</v>
      </c>
      <c r="U286" s="558" t="s">
        <v>154</v>
      </c>
      <c r="V286" s="558" t="s">
        <v>155</v>
      </c>
      <c r="W286" s="558" t="s">
        <v>156</v>
      </c>
      <c r="X286" s="558" t="s">
        <v>157</v>
      </c>
      <c r="Y286" s="558" t="s">
        <v>133</v>
      </c>
      <c r="Z286" s="558" t="s">
        <v>134</v>
      </c>
      <c r="AA286" s="558" t="s">
        <v>135</v>
      </c>
      <c r="AB286" s="558" t="s">
        <v>153</v>
      </c>
      <c r="AC286" s="559" t="s">
        <v>104</v>
      </c>
      <c r="AD286" s="560" t="s">
        <v>138</v>
      </c>
      <c r="AE286" s="561" t="s">
        <v>425</v>
      </c>
      <c r="AF286" s="562" t="s">
        <v>142</v>
      </c>
      <c r="AG286" s="562" t="s">
        <v>141</v>
      </c>
      <c r="AH286" s="562" t="s">
        <v>11</v>
      </c>
      <c r="AI286" s="561" t="s">
        <v>426</v>
      </c>
    </row>
    <row r="287" spans="1:35" ht="12.75" thickBot="1" x14ac:dyDescent="0.25">
      <c r="A287" s="1398"/>
      <c r="B287" s="563" t="s">
        <v>43</v>
      </c>
      <c r="C287" s="564" t="s">
        <v>44</v>
      </c>
      <c r="D287" s="565" t="s">
        <v>45</v>
      </c>
      <c r="E287" s="565" t="s">
        <v>46</v>
      </c>
      <c r="F287" s="566" t="s">
        <v>47</v>
      </c>
      <c r="G287" s="566" t="s">
        <v>48</v>
      </c>
      <c r="H287" s="566" t="s">
        <v>63</v>
      </c>
      <c r="I287" s="566" t="s">
        <v>103</v>
      </c>
      <c r="J287" s="566" t="s">
        <v>136</v>
      </c>
      <c r="K287" s="566" t="s">
        <v>140</v>
      </c>
      <c r="L287" s="566" t="s">
        <v>162</v>
      </c>
      <c r="M287" s="566" t="s">
        <v>163</v>
      </c>
      <c r="N287" s="567" t="s">
        <v>165</v>
      </c>
      <c r="O287" s="568" t="s">
        <v>166</v>
      </c>
      <c r="P287" s="570" t="s">
        <v>167</v>
      </c>
      <c r="Q287" s="563" t="s">
        <v>43</v>
      </c>
      <c r="R287" s="564" t="s">
        <v>44</v>
      </c>
      <c r="S287" s="565" t="s">
        <v>45</v>
      </c>
      <c r="T287" s="565" t="s">
        <v>46</v>
      </c>
      <c r="U287" s="566" t="s">
        <v>47</v>
      </c>
      <c r="V287" s="566" t="s">
        <v>48</v>
      </c>
      <c r="W287" s="566" t="s">
        <v>63</v>
      </c>
      <c r="X287" s="566" t="s">
        <v>103</v>
      </c>
      <c r="Y287" s="566" t="s">
        <v>136</v>
      </c>
      <c r="Z287" s="566" t="s">
        <v>140</v>
      </c>
      <c r="AA287" s="566" t="s">
        <v>162</v>
      </c>
      <c r="AB287" s="566" t="s">
        <v>163</v>
      </c>
      <c r="AC287" s="567" t="s">
        <v>165</v>
      </c>
      <c r="AD287" s="568" t="s">
        <v>166</v>
      </c>
      <c r="AE287" s="570" t="s">
        <v>167</v>
      </c>
      <c r="AF287" s="569"/>
      <c r="AG287" s="563"/>
      <c r="AH287" s="569"/>
      <c r="AI287" s="563"/>
    </row>
    <row r="288" spans="1:35" x14ac:dyDescent="0.2">
      <c r="A288" s="571"/>
      <c r="B288" s="572"/>
      <c r="C288" s="573"/>
      <c r="D288" s="573"/>
      <c r="E288" s="573"/>
      <c r="F288" s="573"/>
      <c r="G288" s="573"/>
      <c r="H288" s="573"/>
      <c r="I288" s="573"/>
      <c r="J288" s="573"/>
      <c r="K288" s="573"/>
      <c r="L288" s="573"/>
      <c r="M288" s="573"/>
      <c r="N288" s="234"/>
      <c r="O288" s="574"/>
      <c r="P288" s="575"/>
      <c r="Q288" s="572"/>
      <c r="R288" s="573"/>
      <c r="S288" s="573"/>
      <c r="T288" s="573"/>
      <c r="U288" s="573"/>
      <c r="V288" s="573"/>
      <c r="W288" s="573"/>
      <c r="X288" s="573"/>
      <c r="Y288" s="573"/>
      <c r="Z288" s="573"/>
      <c r="AA288" s="573"/>
      <c r="AB288" s="573"/>
      <c r="AC288" s="234"/>
      <c r="AD288" s="574"/>
      <c r="AE288" s="575"/>
      <c r="AF288" s="575"/>
      <c r="AG288" s="572"/>
      <c r="AH288" s="575"/>
      <c r="AI288" s="572"/>
    </row>
    <row r="289" spans="1:35" x14ac:dyDescent="0.2">
      <c r="A289" s="576" t="s">
        <v>49</v>
      </c>
      <c r="B289" s="577"/>
      <c r="C289" s="578"/>
      <c r="D289" s="578"/>
      <c r="E289" s="578"/>
      <c r="F289" s="578"/>
      <c r="G289" s="578"/>
      <c r="H289" s="578"/>
      <c r="I289" s="578"/>
      <c r="J289" s="578"/>
      <c r="K289" s="578"/>
      <c r="L289" s="578"/>
      <c r="M289" s="578"/>
      <c r="N289" s="496"/>
      <c r="O289" s="579"/>
      <c r="P289" s="580"/>
      <c r="Q289" s="577"/>
      <c r="R289" s="578"/>
      <c r="S289" s="578"/>
      <c r="T289" s="578"/>
      <c r="U289" s="578"/>
      <c r="V289" s="578"/>
      <c r="W289" s="578"/>
      <c r="X289" s="578"/>
      <c r="Y289" s="578"/>
      <c r="Z289" s="578"/>
      <c r="AA289" s="578"/>
      <c r="AB289" s="578"/>
      <c r="AC289" s="496"/>
      <c r="AD289" s="579"/>
      <c r="AE289" s="580"/>
      <c r="AF289" s="580"/>
      <c r="AG289" s="577"/>
      <c r="AH289" s="580"/>
      <c r="AI289" s="577"/>
    </row>
    <row r="290" spans="1:35" x14ac:dyDescent="0.2">
      <c r="A290" s="581" t="s">
        <v>7</v>
      </c>
      <c r="B290" s="582">
        <f t="shared" ref="B290:AI290" si="108">SUM(B291:B296)</f>
        <v>9</v>
      </c>
      <c r="C290" s="583">
        <f t="shared" si="108"/>
        <v>8629.162857142861</v>
      </c>
      <c r="D290" s="583">
        <f t="shared" si="108"/>
        <v>9047.0585714285698</v>
      </c>
      <c r="E290" s="583">
        <f t="shared" si="108"/>
        <v>0</v>
      </c>
      <c r="F290" s="583">
        <f t="shared" si="108"/>
        <v>0</v>
      </c>
      <c r="G290" s="583">
        <f t="shared" si="108"/>
        <v>0</v>
      </c>
      <c r="H290" s="583">
        <f t="shared" si="108"/>
        <v>0</v>
      </c>
      <c r="I290" s="583">
        <f t="shared" si="108"/>
        <v>1200</v>
      </c>
      <c r="J290" s="583">
        <f t="shared" si="108"/>
        <v>0</v>
      </c>
      <c r="K290" s="583">
        <f t="shared" si="108"/>
        <v>107851.90142857144</v>
      </c>
      <c r="L290" s="583">
        <f t="shared" si="108"/>
        <v>3000</v>
      </c>
      <c r="M290" s="583">
        <f t="shared" si="108"/>
        <v>642.48728500000004</v>
      </c>
      <c r="N290" s="583">
        <f t="shared" si="108"/>
        <v>3642.4872850000002</v>
      </c>
      <c r="O290" s="583">
        <f t="shared" si="108"/>
        <v>230157.14442785716</v>
      </c>
      <c r="P290" s="583">
        <f t="shared" si="108"/>
        <v>640805.88728500018</v>
      </c>
      <c r="Q290" s="582">
        <f t="shared" si="108"/>
        <v>9</v>
      </c>
      <c r="R290" s="583">
        <f t="shared" si="108"/>
        <v>8629.162857142861</v>
      </c>
      <c r="S290" s="583">
        <f t="shared" si="108"/>
        <v>9047.0585714285698</v>
      </c>
      <c r="T290" s="583">
        <f t="shared" si="108"/>
        <v>0</v>
      </c>
      <c r="U290" s="583">
        <f t="shared" si="108"/>
        <v>0</v>
      </c>
      <c r="V290" s="583">
        <f t="shared" si="108"/>
        <v>0</v>
      </c>
      <c r="W290" s="583">
        <f t="shared" si="108"/>
        <v>0</v>
      </c>
      <c r="X290" s="583">
        <f t="shared" si="108"/>
        <v>1200</v>
      </c>
      <c r="Y290" s="583">
        <f t="shared" si="108"/>
        <v>0</v>
      </c>
      <c r="Z290" s="583">
        <f t="shared" si="108"/>
        <v>107851.90142857144</v>
      </c>
      <c r="AA290" s="583">
        <f t="shared" si="108"/>
        <v>3000</v>
      </c>
      <c r="AB290" s="583">
        <f t="shared" si="108"/>
        <v>642.48728500000004</v>
      </c>
      <c r="AC290" s="583">
        <f t="shared" si="108"/>
        <v>3642.4872850000002</v>
      </c>
      <c r="AD290" s="583">
        <f t="shared" si="108"/>
        <v>230157.14442785716</v>
      </c>
      <c r="AE290" s="583">
        <f t="shared" si="108"/>
        <v>640805.88728500018</v>
      </c>
      <c r="AF290" s="583">
        <f t="shared" si="108"/>
        <v>0</v>
      </c>
      <c r="AG290" s="583">
        <f t="shared" si="108"/>
        <v>0</v>
      </c>
      <c r="AH290" s="583">
        <f t="shared" si="108"/>
        <v>9</v>
      </c>
      <c r="AI290" s="583">
        <f t="shared" si="108"/>
        <v>640805.88728500018</v>
      </c>
    </row>
    <row r="291" spans="1:35" x14ac:dyDescent="0.2">
      <c r="A291" s="576" t="s">
        <v>3</v>
      </c>
      <c r="B291" s="576"/>
      <c r="C291" s="578"/>
      <c r="D291" s="578"/>
      <c r="E291" s="578"/>
      <c r="F291" s="578"/>
      <c r="G291" s="578"/>
      <c r="H291" s="578"/>
      <c r="I291" s="578"/>
      <c r="J291" s="578"/>
      <c r="K291" s="578"/>
      <c r="L291" s="578"/>
      <c r="M291" s="578"/>
      <c r="N291" s="496"/>
      <c r="O291" s="579"/>
      <c r="P291" s="580"/>
      <c r="Q291" s="576"/>
      <c r="R291" s="578"/>
      <c r="S291" s="578"/>
      <c r="T291" s="578"/>
      <c r="U291" s="578"/>
      <c r="V291" s="578"/>
      <c r="W291" s="578"/>
      <c r="X291" s="578"/>
      <c r="Y291" s="578"/>
      <c r="Z291" s="578"/>
      <c r="AA291" s="578"/>
      <c r="AB291" s="578"/>
      <c r="AC291" s="496"/>
      <c r="AD291" s="579"/>
      <c r="AE291" s="580"/>
      <c r="AF291" s="580"/>
      <c r="AG291" s="577"/>
      <c r="AH291" s="580"/>
      <c r="AI291" s="577"/>
    </row>
    <row r="292" spans="1:35" x14ac:dyDescent="0.2">
      <c r="A292" s="576" t="s">
        <v>730</v>
      </c>
      <c r="B292" s="576"/>
      <c r="C292" s="578"/>
      <c r="D292" s="578"/>
      <c r="E292" s="578"/>
      <c r="F292" s="578"/>
      <c r="G292" s="578"/>
      <c r="H292" s="578"/>
      <c r="I292" s="578"/>
      <c r="J292" s="578"/>
      <c r="K292" s="578">
        <f>+K294*12</f>
        <v>88975.679999999993</v>
      </c>
      <c r="L292" s="578"/>
      <c r="M292" s="578"/>
      <c r="N292" s="496"/>
      <c r="O292" s="579"/>
      <c r="P292" s="580"/>
      <c r="Q292" s="576"/>
      <c r="R292" s="578"/>
      <c r="S292" s="578"/>
      <c r="T292" s="578"/>
      <c r="U292" s="578"/>
      <c r="V292" s="578"/>
      <c r="W292" s="578"/>
      <c r="X292" s="578"/>
      <c r="Y292" s="578"/>
      <c r="Z292" s="578">
        <f>+Z294*12</f>
        <v>88975.679999999993</v>
      </c>
      <c r="AA292" s="578"/>
      <c r="AB292" s="578"/>
      <c r="AC292" s="496"/>
      <c r="AD292" s="579"/>
      <c r="AE292" s="580"/>
      <c r="AF292" s="580"/>
      <c r="AG292" s="577"/>
      <c r="AH292" s="580"/>
      <c r="AI292" s="577"/>
    </row>
    <row r="293" spans="1:35" x14ac:dyDescent="0.2">
      <c r="A293" s="576" t="s">
        <v>730</v>
      </c>
      <c r="B293" s="576"/>
      <c r="C293" s="578"/>
      <c r="D293" s="578"/>
      <c r="E293" s="578"/>
      <c r="F293" s="578"/>
      <c r="G293" s="578"/>
      <c r="H293" s="578"/>
      <c r="I293" s="578"/>
      <c r="J293" s="578"/>
      <c r="K293" s="578"/>
      <c r="L293" s="578"/>
      <c r="M293" s="578"/>
      <c r="N293" s="496"/>
      <c r="O293" s="579"/>
      <c r="P293" s="580"/>
      <c r="Q293" s="576"/>
      <c r="R293" s="578"/>
      <c r="S293" s="578"/>
      <c r="T293" s="578"/>
      <c r="U293" s="578"/>
      <c r="V293" s="578"/>
      <c r="W293" s="578"/>
      <c r="X293" s="578"/>
      <c r="Y293" s="578"/>
      <c r="Z293" s="578"/>
      <c r="AA293" s="578"/>
      <c r="AB293" s="578"/>
      <c r="AC293" s="496"/>
      <c r="AD293" s="579"/>
      <c r="AE293" s="580"/>
      <c r="AF293" s="580"/>
      <c r="AG293" s="577"/>
      <c r="AH293" s="580"/>
      <c r="AI293" s="577"/>
    </row>
    <row r="294" spans="1:35" x14ac:dyDescent="0.2">
      <c r="A294" s="576" t="s">
        <v>579</v>
      </c>
      <c r="B294" s="576">
        <v>1</v>
      </c>
      <c r="C294" s="578">
        <f>2406.64+128</f>
        <v>2534.64</v>
      </c>
      <c r="D294" s="578">
        <f>4280+200</f>
        <v>4480</v>
      </c>
      <c r="E294" s="578"/>
      <c r="F294" s="578"/>
      <c r="G294" s="578"/>
      <c r="H294" s="578"/>
      <c r="I294" s="578">
        <v>400</v>
      </c>
      <c r="J294" s="578">
        <v>0</v>
      </c>
      <c r="K294" s="578">
        <f>SUM(C294:J294)</f>
        <v>7414.6399999999994</v>
      </c>
      <c r="L294" s="578">
        <v>1000</v>
      </c>
      <c r="M294" s="234">
        <v>304</v>
      </c>
      <c r="N294" s="496">
        <f>+M294+L294</f>
        <v>1304</v>
      </c>
      <c r="O294" s="579">
        <f>+(K294*12)+N294</f>
        <v>90279.679999999993</v>
      </c>
      <c r="P294" s="580">
        <f>+O294*B294</f>
        <v>90279.679999999993</v>
      </c>
      <c r="Q294" s="576">
        <v>1</v>
      </c>
      <c r="R294" s="578">
        <f>2406.64+128</f>
        <v>2534.64</v>
      </c>
      <c r="S294" s="578">
        <f>4280+200</f>
        <v>4480</v>
      </c>
      <c r="T294" s="578"/>
      <c r="U294" s="578"/>
      <c r="V294" s="578"/>
      <c r="W294" s="578"/>
      <c r="X294" s="578">
        <v>400</v>
      </c>
      <c r="Y294" s="578">
        <v>0</v>
      </c>
      <c r="Z294" s="578">
        <f>SUM(R294:Y294)</f>
        <v>7414.6399999999994</v>
      </c>
      <c r="AA294" s="578">
        <v>1000</v>
      </c>
      <c r="AB294" s="234">
        <v>304</v>
      </c>
      <c r="AC294" s="496">
        <f>+AB294+AA294</f>
        <v>1304</v>
      </c>
      <c r="AD294" s="579">
        <f>+(Z294*12)+AC294</f>
        <v>90279.679999999993</v>
      </c>
      <c r="AE294" s="580">
        <f>+AD294*Q294</f>
        <v>90279.679999999993</v>
      </c>
      <c r="AF294" s="580">
        <f>+K294-Z294</f>
        <v>0</v>
      </c>
      <c r="AG294" s="577">
        <f>+P294-AE294</f>
        <v>0</v>
      </c>
      <c r="AH294" s="580">
        <f>+Q294</f>
        <v>1</v>
      </c>
      <c r="AI294" s="577">
        <f>+AE294</f>
        <v>90279.679999999993</v>
      </c>
    </row>
    <row r="295" spans="1:35" x14ac:dyDescent="0.2">
      <c r="A295" s="576" t="s">
        <v>580</v>
      </c>
      <c r="B295" s="576">
        <v>1</v>
      </c>
      <c r="C295" s="578">
        <f>2350.21+128</f>
        <v>2478.21</v>
      </c>
      <c r="D295" s="578">
        <f>2780+200</f>
        <v>2980</v>
      </c>
      <c r="E295" s="578"/>
      <c r="F295" s="578"/>
      <c r="G295" s="578"/>
      <c r="H295" s="578"/>
      <c r="I295" s="578">
        <v>400</v>
      </c>
      <c r="J295" s="578"/>
      <c r="K295" s="578">
        <f>SUM(C295:J295)</f>
        <v>5858.21</v>
      </c>
      <c r="L295" s="578">
        <v>1000</v>
      </c>
      <c r="M295" s="578">
        <v>137.48728500000001</v>
      </c>
      <c r="N295" s="496">
        <f>+M295+L295</f>
        <v>1137.4872849999999</v>
      </c>
      <c r="O295" s="579">
        <f>+(K295*12)+N295</f>
        <v>71436.007285</v>
      </c>
      <c r="P295" s="580">
        <f>+O295*B295</f>
        <v>71436.007285</v>
      </c>
      <c r="Q295" s="576">
        <v>1</v>
      </c>
      <c r="R295" s="578">
        <f>2350.21+128</f>
        <v>2478.21</v>
      </c>
      <c r="S295" s="578">
        <f>2780+200</f>
        <v>2980</v>
      </c>
      <c r="T295" s="578"/>
      <c r="U295" s="578"/>
      <c r="V295" s="578"/>
      <c r="W295" s="578"/>
      <c r="X295" s="578">
        <v>400</v>
      </c>
      <c r="Y295" s="578"/>
      <c r="Z295" s="578">
        <f>SUM(R295:Y295)</f>
        <v>5858.21</v>
      </c>
      <c r="AA295" s="578">
        <v>1000</v>
      </c>
      <c r="AB295" s="578">
        <v>137.48728500000001</v>
      </c>
      <c r="AC295" s="496">
        <f>+AB295+AA295</f>
        <v>1137.4872849999999</v>
      </c>
      <c r="AD295" s="579">
        <f>+(Z295*12)+AC295</f>
        <v>71436.007285</v>
      </c>
      <c r="AE295" s="580">
        <f>+AD295*Q295</f>
        <v>71436.007285</v>
      </c>
      <c r="AF295" s="580">
        <f>+K295-Z295</f>
        <v>0</v>
      </c>
      <c r="AG295" s="577">
        <f>+P295-AE295</f>
        <v>0</v>
      </c>
      <c r="AH295" s="580">
        <f>+Q295</f>
        <v>1</v>
      </c>
      <c r="AI295" s="577">
        <f>+AE295</f>
        <v>71436.007285</v>
      </c>
    </row>
    <row r="296" spans="1:35" x14ac:dyDescent="0.2">
      <c r="A296" s="576" t="s">
        <v>12</v>
      </c>
      <c r="B296" s="576">
        <v>7</v>
      </c>
      <c r="C296" s="578">
        <f>2727.31285714286+127*7</f>
        <v>3616.3128571428601</v>
      </c>
      <c r="D296" s="578">
        <f>1387.05857142857+200</f>
        <v>1587.0585714285701</v>
      </c>
      <c r="E296" s="578"/>
      <c r="F296" s="578"/>
      <c r="G296" s="578"/>
      <c r="H296" s="578"/>
      <c r="I296" s="578">
        <v>400</v>
      </c>
      <c r="J296" s="496"/>
      <c r="K296" s="578">
        <f>SUM(C296:J296)</f>
        <v>5603.3714285714304</v>
      </c>
      <c r="L296" s="578">
        <v>1000</v>
      </c>
      <c r="M296" s="578">
        <v>201</v>
      </c>
      <c r="N296" s="496">
        <f>+M296+L296</f>
        <v>1201</v>
      </c>
      <c r="O296" s="579">
        <f>+(K296*12)+N296</f>
        <v>68441.457142857165</v>
      </c>
      <c r="P296" s="580">
        <f>+O296*B296</f>
        <v>479090.20000000019</v>
      </c>
      <c r="Q296" s="576">
        <v>7</v>
      </c>
      <c r="R296" s="578">
        <f>2727.31285714286+127*7</f>
        <v>3616.3128571428601</v>
      </c>
      <c r="S296" s="578">
        <f>1387.05857142857+200</f>
        <v>1587.0585714285701</v>
      </c>
      <c r="T296" s="578"/>
      <c r="U296" s="578"/>
      <c r="V296" s="578"/>
      <c r="W296" s="578"/>
      <c r="X296" s="578">
        <v>400</v>
      </c>
      <c r="Y296" s="496"/>
      <c r="Z296" s="578">
        <f>SUM(R296:Y296)</f>
        <v>5603.3714285714304</v>
      </c>
      <c r="AA296" s="578">
        <v>1000</v>
      </c>
      <c r="AB296" s="578">
        <v>201</v>
      </c>
      <c r="AC296" s="496">
        <f>+AB296+AA296</f>
        <v>1201</v>
      </c>
      <c r="AD296" s="579">
        <f>+(Z296*12)+AC296</f>
        <v>68441.457142857165</v>
      </c>
      <c r="AE296" s="580">
        <f>+AD296*Q296</f>
        <v>479090.20000000019</v>
      </c>
      <c r="AF296" s="580">
        <f>+K296-Z296</f>
        <v>0</v>
      </c>
      <c r="AG296" s="577">
        <f>+P296-AE296</f>
        <v>0</v>
      </c>
      <c r="AH296" s="580">
        <f>+Q296</f>
        <v>7</v>
      </c>
      <c r="AI296" s="577">
        <f>+AE296</f>
        <v>479090.20000000019</v>
      </c>
    </row>
    <row r="297" spans="1:35" x14ac:dyDescent="0.2">
      <c r="A297" s="584" t="s">
        <v>4</v>
      </c>
      <c r="B297" s="582">
        <f t="shared" ref="B297:AI297" si="109">SUM(B298:B300)</f>
        <v>31</v>
      </c>
      <c r="C297" s="585">
        <f t="shared" si="109"/>
        <v>10469.965803571429</v>
      </c>
      <c r="D297" s="585">
        <f t="shared" si="109"/>
        <v>4505.368125</v>
      </c>
      <c r="E297" s="585">
        <f t="shared" si="109"/>
        <v>0</v>
      </c>
      <c r="F297" s="585">
        <f t="shared" si="109"/>
        <v>0</v>
      </c>
      <c r="G297" s="585">
        <f t="shared" si="109"/>
        <v>0</v>
      </c>
      <c r="H297" s="585">
        <f t="shared" si="109"/>
        <v>0</v>
      </c>
      <c r="I297" s="585">
        <f t="shared" si="109"/>
        <v>1200</v>
      </c>
      <c r="J297" s="585">
        <f t="shared" si="109"/>
        <v>0</v>
      </c>
      <c r="K297" s="585">
        <f t="shared" si="109"/>
        <v>16175.33392857143</v>
      </c>
      <c r="L297" s="585">
        <f t="shared" si="109"/>
        <v>3000</v>
      </c>
      <c r="M297" s="585">
        <f t="shared" si="109"/>
        <v>455.57305308035717</v>
      </c>
      <c r="N297" s="585">
        <f t="shared" si="109"/>
        <v>3455.5730530803576</v>
      </c>
      <c r="O297" s="585">
        <f t="shared" si="109"/>
        <v>197559.58019593754</v>
      </c>
      <c r="P297" s="585">
        <f t="shared" si="109"/>
        <v>2200945.6967000002</v>
      </c>
      <c r="Q297" s="582">
        <f t="shared" si="109"/>
        <v>31</v>
      </c>
      <c r="R297" s="585">
        <f t="shared" si="109"/>
        <v>10469.965803571429</v>
      </c>
      <c r="S297" s="585">
        <f t="shared" si="109"/>
        <v>4505.368125</v>
      </c>
      <c r="T297" s="585">
        <f t="shared" si="109"/>
        <v>0</v>
      </c>
      <c r="U297" s="585">
        <f t="shared" si="109"/>
        <v>0</v>
      </c>
      <c r="V297" s="585">
        <f t="shared" si="109"/>
        <v>0</v>
      </c>
      <c r="W297" s="585">
        <f t="shared" si="109"/>
        <v>0</v>
      </c>
      <c r="X297" s="585">
        <f t="shared" si="109"/>
        <v>1200</v>
      </c>
      <c r="Y297" s="585">
        <f t="shared" si="109"/>
        <v>0</v>
      </c>
      <c r="Z297" s="585">
        <f t="shared" si="109"/>
        <v>16175.33392857143</v>
      </c>
      <c r="AA297" s="585">
        <f t="shared" si="109"/>
        <v>3000</v>
      </c>
      <c r="AB297" s="585">
        <f t="shared" si="109"/>
        <v>455.57305308035717</v>
      </c>
      <c r="AC297" s="585">
        <f t="shared" si="109"/>
        <v>3455.5730530803576</v>
      </c>
      <c r="AD297" s="585">
        <f t="shared" si="109"/>
        <v>197559.58019593754</v>
      </c>
      <c r="AE297" s="585">
        <f t="shared" si="109"/>
        <v>2200945.6967000002</v>
      </c>
      <c r="AF297" s="582">
        <f t="shared" si="109"/>
        <v>0</v>
      </c>
      <c r="AG297" s="582">
        <f t="shared" si="109"/>
        <v>0</v>
      </c>
      <c r="AH297" s="582">
        <f t="shared" si="109"/>
        <v>31</v>
      </c>
      <c r="AI297" s="582">
        <f t="shared" si="109"/>
        <v>2200945.6967000002</v>
      </c>
    </row>
    <row r="298" spans="1:35" x14ac:dyDescent="0.2">
      <c r="A298" s="576" t="s">
        <v>583</v>
      </c>
      <c r="B298" s="576">
        <v>1</v>
      </c>
      <c r="C298" s="578">
        <f>2340.93+127</f>
        <v>2467.9299999999998</v>
      </c>
      <c r="D298" s="578">
        <f>1410+200</f>
        <v>1610</v>
      </c>
      <c r="E298" s="578"/>
      <c r="F298" s="578"/>
      <c r="G298" s="578"/>
      <c r="H298" s="578"/>
      <c r="I298" s="578">
        <v>400</v>
      </c>
      <c r="J298" s="578"/>
      <c r="K298" s="578">
        <f>SUM(C298:J298)</f>
        <v>4477.93</v>
      </c>
      <c r="L298" s="578">
        <v>1000</v>
      </c>
      <c r="M298" s="578">
        <v>163.834405</v>
      </c>
      <c r="N298" s="496">
        <f>+M298+L298</f>
        <v>1163.8344050000001</v>
      </c>
      <c r="O298" s="579">
        <f>+(K298*12)+N298</f>
        <v>54898.994405000005</v>
      </c>
      <c r="P298" s="580">
        <f>+O298*B298</f>
        <v>54898.994405000005</v>
      </c>
      <c r="Q298" s="576">
        <v>1</v>
      </c>
      <c r="R298" s="578">
        <f>2340.93+127</f>
        <v>2467.9299999999998</v>
      </c>
      <c r="S298" s="578">
        <f>1410+200</f>
        <v>1610</v>
      </c>
      <c r="T298" s="578"/>
      <c r="U298" s="578"/>
      <c r="V298" s="578"/>
      <c r="W298" s="578"/>
      <c r="X298" s="578">
        <v>400</v>
      </c>
      <c r="Y298" s="578"/>
      <c r="Z298" s="578">
        <f>SUM(R298:Y298)</f>
        <v>4477.93</v>
      </c>
      <c r="AA298" s="578">
        <v>1000</v>
      </c>
      <c r="AB298" s="578">
        <v>163.834405</v>
      </c>
      <c r="AC298" s="496">
        <f>+AB298+AA298</f>
        <v>1163.8344050000001</v>
      </c>
      <c r="AD298" s="579">
        <f>+(Z298*12)+AC298</f>
        <v>54898.994405000005</v>
      </c>
      <c r="AE298" s="580">
        <f>+AD298*Q298</f>
        <v>54898.994405000005</v>
      </c>
      <c r="AF298" s="580">
        <f>+K298-Z298</f>
        <v>0</v>
      </c>
      <c r="AG298" s="577">
        <f>+P298-AE298</f>
        <v>0</v>
      </c>
      <c r="AH298" s="580">
        <f>+Q298</f>
        <v>1</v>
      </c>
      <c r="AI298" s="577">
        <f>+AE298</f>
        <v>54898.994405000005</v>
      </c>
    </row>
    <row r="299" spans="1:35" x14ac:dyDescent="0.2">
      <c r="A299" s="576" t="s">
        <v>584</v>
      </c>
      <c r="B299" s="576">
        <v>14</v>
      </c>
      <c r="C299" s="578">
        <f>2001.65142857143+127*14</f>
        <v>3779.6514285714302</v>
      </c>
      <c r="D299" s="578">
        <f>1214.155+200</f>
        <v>1414.155</v>
      </c>
      <c r="E299" s="578"/>
      <c r="F299" s="578"/>
      <c r="G299" s="578"/>
      <c r="H299" s="578"/>
      <c r="I299" s="578">
        <v>400</v>
      </c>
      <c r="J299" s="578"/>
      <c r="K299" s="578">
        <f>SUM(C299:J299)</f>
        <v>5593.8064285714299</v>
      </c>
      <c r="L299" s="578">
        <v>1000</v>
      </c>
      <c r="M299" s="578">
        <v>135.65803714285713</v>
      </c>
      <c r="N299" s="496">
        <f>+M299+L299</f>
        <v>1135.6580371428572</v>
      </c>
      <c r="O299" s="579">
        <f>+(K299*12)+N299</f>
        <v>68261.335180000024</v>
      </c>
      <c r="P299" s="580">
        <f>+O299*B299</f>
        <v>955658.69252000027</v>
      </c>
      <c r="Q299" s="576">
        <v>14</v>
      </c>
      <c r="R299" s="578">
        <f>2001.65142857143+127*14</f>
        <v>3779.6514285714302</v>
      </c>
      <c r="S299" s="578">
        <f>1214.155+200</f>
        <v>1414.155</v>
      </c>
      <c r="T299" s="578"/>
      <c r="U299" s="578"/>
      <c r="V299" s="578"/>
      <c r="W299" s="578"/>
      <c r="X299" s="578">
        <v>400</v>
      </c>
      <c r="Y299" s="578"/>
      <c r="Z299" s="578">
        <f>SUM(R299:Y299)</f>
        <v>5593.8064285714299</v>
      </c>
      <c r="AA299" s="578">
        <v>1000</v>
      </c>
      <c r="AB299" s="578">
        <v>135.65803714285713</v>
      </c>
      <c r="AC299" s="496">
        <f>+AB299+AA299</f>
        <v>1135.6580371428572</v>
      </c>
      <c r="AD299" s="579">
        <f>+(Z299*12)+AC299</f>
        <v>68261.335180000024</v>
      </c>
      <c r="AE299" s="580">
        <f>+AD299*Q299</f>
        <v>955658.69252000027</v>
      </c>
      <c r="AF299" s="580">
        <f>+K299-Z299</f>
        <v>0</v>
      </c>
      <c r="AG299" s="577">
        <f>+P299-AE299</f>
        <v>0</v>
      </c>
      <c r="AH299" s="580">
        <f>+Q299</f>
        <v>14</v>
      </c>
      <c r="AI299" s="577">
        <f>+AE299</f>
        <v>955658.69252000027</v>
      </c>
    </row>
    <row r="300" spans="1:35" x14ac:dyDescent="0.2">
      <c r="A300" s="576" t="s">
        <v>585</v>
      </c>
      <c r="B300" s="576">
        <v>16</v>
      </c>
      <c r="C300" s="578">
        <f>2190.384375+127*16</f>
        <v>4222.3843749999996</v>
      </c>
      <c r="D300" s="578">
        <f>1281.213125+200</f>
        <v>1481.213125</v>
      </c>
      <c r="E300" s="578"/>
      <c r="F300" s="578"/>
      <c r="G300" s="578"/>
      <c r="H300" s="578"/>
      <c r="I300" s="578">
        <v>400</v>
      </c>
      <c r="J300" s="578"/>
      <c r="K300" s="578">
        <f>SUM(C300:J300)</f>
        <v>6103.5974999999999</v>
      </c>
      <c r="L300" s="578">
        <v>1000</v>
      </c>
      <c r="M300" s="578">
        <v>156.08061093750001</v>
      </c>
      <c r="N300" s="496">
        <f>+M300+L300</f>
        <v>1156.0806109375001</v>
      </c>
      <c r="O300" s="579">
        <f>+(K300*12)+N300</f>
        <v>74399.250610937495</v>
      </c>
      <c r="P300" s="580">
        <f>+O300*B300</f>
        <v>1190388.0097749999</v>
      </c>
      <c r="Q300" s="576">
        <v>16</v>
      </c>
      <c r="R300" s="578">
        <f>2190.384375+127*16</f>
        <v>4222.3843749999996</v>
      </c>
      <c r="S300" s="578">
        <f>1281.213125+200</f>
        <v>1481.213125</v>
      </c>
      <c r="T300" s="578"/>
      <c r="U300" s="578"/>
      <c r="V300" s="578"/>
      <c r="W300" s="578"/>
      <c r="X300" s="578">
        <v>400</v>
      </c>
      <c r="Y300" s="578"/>
      <c r="Z300" s="578">
        <f>SUM(R300:Y300)</f>
        <v>6103.5974999999999</v>
      </c>
      <c r="AA300" s="578">
        <v>1000</v>
      </c>
      <c r="AB300" s="578">
        <v>156.08061093750001</v>
      </c>
      <c r="AC300" s="496">
        <f>+AB300+AA300</f>
        <v>1156.0806109375001</v>
      </c>
      <c r="AD300" s="579">
        <f>+(Z300*12)+AC300</f>
        <v>74399.250610937495</v>
      </c>
      <c r="AE300" s="580">
        <f>+AD300*Q300</f>
        <v>1190388.0097749999</v>
      </c>
      <c r="AF300" s="580">
        <f>+K300-Z300</f>
        <v>0</v>
      </c>
      <c r="AG300" s="577">
        <f>+P300-AE300</f>
        <v>0</v>
      </c>
      <c r="AH300" s="580">
        <f>+Q300</f>
        <v>16</v>
      </c>
      <c r="AI300" s="577">
        <f>+AE300</f>
        <v>1190388.0097749999</v>
      </c>
    </row>
    <row r="301" spans="1:35" x14ac:dyDescent="0.2">
      <c r="A301" s="584" t="s">
        <v>5</v>
      </c>
      <c r="B301" s="582">
        <f t="shared" ref="B301:AI301" si="110">SUM(B302:B307)</f>
        <v>71</v>
      </c>
      <c r="C301" s="585">
        <f t="shared" si="110"/>
        <v>15782.047548449611</v>
      </c>
      <c r="D301" s="585">
        <f t="shared" si="110"/>
        <v>8002.0097189922499</v>
      </c>
      <c r="E301" s="585">
        <f t="shared" si="110"/>
        <v>0</v>
      </c>
      <c r="F301" s="585">
        <f t="shared" si="110"/>
        <v>0</v>
      </c>
      <c r="G301" s="585">
        <f t="shared" si="110"/>
        <v>0</v>
      </c>
      <c r="H301" s="585">
        <f t="shared" si="110"/>
        <v>0</v>
      </c>
      <c r="I301" s="585">
        <f t="shared" si="110"/>
        <v>2400</v>
      </c>
      <c r="J301" s="585">
        <f t="shared" si="110"/>
        <v>0</v>
      </c>
      <c r="K301" s="585">
        <f t="shared" si="110"/>
        <v>26184.057267441862</v>
      </c>
      <c r="L301" s="585">
        <f t="shared" si="110"/>
        <v>6000</v>
      </c>
      <c r="M301" s="585">
        <f t="shared" si="110"/>
        <v>830.36957869318189</v>
      </c>
      <c r="N301" s="585">
        <f t="shared" si="110"/>
        <v>6830.3695786931821</v>
      </c>
      <c r="O301" s="585">
        <f t="shared" si="110"/>
        <v>321039.05678799545</v>
      </c>
      <c r="P301" s="585">
        <f t="shared" si="110"/>
        <v>3685768.0783656817</v>
      </c>
      <c r="Q301" s="582">
        <f t="shared" si="110"/>
        <v>71</v>
      </c>
      <c r="R301" s="585">
        <f t="shared" si="110"/>
        <v>15782.047548449611</v>
      </c>
      <c r="S301" s="585">
        <f t="shared" si="110"/>
        <v>7802.0097189922499</v>
      </c>
      <c r="T301" s="585">
        <f t="shared" si="110"/>
        <v>0</v>
      </c>
      <c r="U301" s="585">
        <f t="shared" si="110"/>
        <v>0</v>
      </c>
      <c r="V301" s="585">
        <f t="shared" si="110"/>
        <v>0</v>
      </c>
      <c r="W301" s="585">
        <f t="shared" si="110"/>
        <v>0</v>
      </c>
      <c r="X301" s="585">
        <f t="shared" si="110"/>
        <v>2400</v>
      </c>
      <c r="Y301" s="585">
        <f t="shared" si="110"/>
        <v>0</v>
      </c>
      <c r="Z301" s="585">
        <f t="shared" si="110"/>
        <v>25984.057267441862</v>
      </c>
      <c r="AA301" s="585">
        <f t="shared" si="110"/>
        <v>6000</v>
      </c>
      <c r="AB301" s="585">
        <f t="shared" si="110"/>
        <v>830.36957869318189</v>
      </c>
      <c r="AC301" s="585">
        <f t="shared" si="110"/>
        <v>6830.3695786931821</v>
      </c>
      <c r="AD301" s="585">
        <f t="shared" si="110"/>
        <v>318639.05678799545</v>
      </c>
      <c r="AE301" s="585">
        <f t="shared" si="110"/>
        <v>3676168.0783656817</v>
      </c>
      <c r="AF301" s="582">
        <f t="shared" si="110"/>
        <v>200</v>
      </c>
      <c r="AG301" s="582">
        <f t="shared" si="110"/>
        <v>9600</v>
      </c>
      <c r="AH301" s="582">
        <f t="shared" si="110"/>
        <v>71</v>
      </c>
      <c r="AI301" s="582">
        <f t="shared" si="110"/>
        <v>3676168.0783656817</v>
      </c>
    </row>
    <row r="302" spans="1:35" x14ac:dyDescent="0.2">
      <c r="A302" s="576" t="s">
        <v>15</v>
      </c>
      <c r="B302" s="576">
        <v>43</v>
      </c>
      <c r="C302" s="578">
        <f>2124.40046511628</f>
        <v>2124.40046511628</v>
      </c>
      <c r="D302" s="578">
        <f>1131.29930232558+200</f>
        <v>1331.2993023255799</v>
      </c>
      <c r="E302" s="578"/>
      <c r="F302" s="578"/>
      <c r="G302" s="578"/>
      <c r="H302" s="578"/>
      <c r="I302" s="578">
        <v>400</v>
      </c>
      <c r="J302" s="578"/>
      <c r="K302" s="578">
        <f t="shared" ref="K302:K307" si="111">SUM(C302:J302)</f>
        <v>3855.6997674418599</v>
      </c>
      <c r="L302" s="578">
        <v>1000</v>
      </c>
      <c r="M302" s="578">
        <v>151.08322431818189</v>
      </c>
      <c r="N302" s="496">
        <f t="shared" ref="N302:N307" si="112">+M302+L302</f>
        <v>1151.0832243181819</v>
      </c>
      <c r="O302" s="579">
        <f t="shared" ref="O302:O307" si="113">+(K302*12)+N302</f>
        <v>47419.480433620498</v>
      </c>
      <c r="P302" s="580">
        <f t="shared" ref="P302:P307" si="114">+O302*B302</f>
        <v>2039037.6586456813</v>
      </c>
      <c r="Q302" s="576">
        <v>43</v>
      </c>
      <c r="R302" s="578">
        <f>2124.40046511628</f>
        <v>2124.40046511628</v>
      </c>
      <c r="S302" s="578">
        <f>1131.29930232558+200</f>
        <v>1331.2993023255799</v>
      </c>
      <c r="T302" s="578"/>
      <c r="U302" s="578"/>
      <c r="V302" s="578"/>
      <c r="W302" s="578"/>
      <c r="X302" s="578">
        <v>400</v>
      </c>
      <c r="Y302" s="578"/>
      <c r="Z302" s="578">
        <f t="shared" ref="Z302:Z307" si="115">SUM(R302:Y302)</f>
        <v>3855.6997674418599</v>
      </c>
      <c r="AA302" s="578">
        <v>1000</v>
      </c>
      <c r="AB302" s="578">
        <v>151.08322431818189</v>
      </c>
      <c r="AC302" s="496">
        <f t="shared" ref="AC302:AC307" si="116">+AB302+AA302</f>
        <v>1151.0832243181819</v>
      </c>
      <c r="AD302" s="579">
        <f t="shared" ref="AD302:AD307" si="117">+(Z302*12)+AC302</f>
        <v>47419.480433620498</v>
      </c>
      <c r="AE302" s="580">
        <f t="shared" ref="AE302:AE307" si="118">+AD302*Q302</f>
        <v>2039037.6586456813</v>
      </c>
      <c r="AF302" s="580">
        <f t="shared" ref="AF302:AF307" si="119">+K302-Z302</f>
        <v>0</v>
      </c>
      <c r="AG302" s="577">
        <f t="shared" ref="AG302:AG307" si="120">+P302-AE302</f>
        <v>0</v>
      </c>
      <c r="AH302" s="580">
        <f t="shared" ref="AH302:AH307" si="121">+Q302</f>
        <v>43</v>
      </c>
      <c r="AI302" s="577">
        <f t="shared" ref="AI302:AI307" si="122">+AE302</f>
        <v>2039037.6586456813</v>
      </c>
    </row>
    <row r="303" spans="1:35" x14ac:dyDescent="0.2">
      <c r="A303" s="576" t="s">
        <v>586</v>
      </c>
      <c r="B303" s="576">
        <v>4</v>
      </c>
      <c r="C303" s="578">
        <f>2206.315+127*4</f>
        <v>2714.3150000000001</v>
      </c>
      <c r="D303" s="578">
        <f>1090+200</f>
        <v>1290</v>
      </c>
      <c r="E303" s="578"/>
      <c r="F303" s="578"/>
      <c r="G303" s="578"/>
      <c r="H303" s="578"/>
      <c r="I303" s="578">
        <v>400</v>
      </c>
      <c r="J303" s="578"/>
      <c r="K303" s="578">
        <f t="shared" si="111"/>
        <v>4404.3150000000005</v>
      </c>
      <c r="L303" s="578">
        <v>1000</v>
      </c>
      <c r="M303" s="578">
        <v>157.92192750000001</v>
      </c>
      <c r="N303" s="496">
        <f t="shared" si="112"/>
        <v>1157.9219275</v>
      </c>
      <c r="O303" s="579">
        <f t="shared" si="113"/>
        <v>54009.701927500006</v>
      </c>
      <c r="P303" s="580">
        <f t="shared" si="114"/>
        <v>216038.80771000002</v>
      </c>
      <c r="Q303" s="576">
        <v>4</v>
      </c>
      <c r="R303" s="578">
        <f>2206.315+127*4</f>
        <v>2714.3150000000001</v>
      </c>
      <c r="S303" s="578">
        <v>1090</v>
      </c>
      <c r="T303" s="578"/>
      <c r="U303" s="578"/>
      <c r="V303" s="578"/>
      <c r="W303" s="578"/>
      <c r="X303" s="578">
        <v>400</v>
      </c>
      <c r="Y303" s="578"/>
      <c r="Z303" s="578">
        <f t="shared" si="115"/>
        <v>4204.3150000000005</v>
      </c>
      <c r="AA303" s="578">
        <v>1000</v>
      </c>
      <c r="AB303" s="578">
        <v>157.92192750000001</v>
      </c>
      <c r="AC303" s="496">
        <f t="shared" si="116"/>
        <v>1157.9219275</v>
      </c>
      <c r="AD303" s="579">
        <f t="shared" si="117"/>
        <v>51609.701927500006</v>
      </c>
      <c r="AE303" s="580">
        <f t="shared" si="118"/>
        <v>206438.80771000002</v>
      </c>
      <c r="AF303" s="580">
        <f t="shared" si="119"/>
        <v>200</v>
      </c>
      <c r="AG303" s="577">
        <f t="shared" si="120"/>
        <v>9600</v>
      </c>
      <c r="AH303" s="580">
        <f t="shared" si="121"/>
        <v>4</v>
      </c>
      <c r="AI303" s="577">
        <f t="shared" si="122"/>
        <v>206438.80771000002</v>
      </c>
    </row>
    <row r="304" spans="1:35" x14ac:dyDescent="0.2">
      <c r="A304" s="576" t="s">
        <v>587</v>
      </c>
      <c r="B304" s="576">
        <v>12</v>
      </c>
      <c r="C304" s="578">
        <f>2082.95083333333+127*12</f>
        <v>3606.9508333333301</v>
      </c>
      <c r="D304" s="578">
        <f>1193.28416666667+200</f>
        <v>1393.28416666667</v>
      </c>
      <c r="E304" s="578"/>
      <c r="F304" s="578"/>
      <c r="G304" s="578"/>
      <c r="H304" s="578"/>
      <c r="I304" s="578">
        <v>400</v>
      </c>
      <c r="J304" s="578"/>
      <c r="K304" s="578">
        <f t="shared" si="111"/>
        <v>5400.2350000000006</v>
      </c>
      <c r="L304" s="578">
        <v>1000</v>
      </c>
      <c r="M304" s="578">
        <v>147.08262375000001</v>
      </c>
      <c r="N304" s="496">
        <f t="shared" si="112"/>
        <v>1147.08262375</v>
      </c>
      <c r="O304" s="579">
        <f t="shared" si="113"/>
        <v>65949.902623750007</v>
      </c>
      <c r="P304" s="580">
        <f t="shared" si="114"/>
        <v>791398.83148500009</v>
      </c>
      <c r="Q304" s="576">
        <v>12</v>
      </c>
      <c r="R304" s="578">
        <f>2082.95083333333+127*12</f>
        <v>3606.9508333333301</v>
      </c>
      <c r="S304" s="578">
        <f>1193.28416666667+200</f>
        <v>1393.28416666667</v>
      </c>
      <c r="T304" s="578"/>
      <c r="U304" s="578"/>
      <c r="V304" s="578"/>
      <c r="W304" s="578"/>
      <c r="X304" s="578">
        <v>400</v>
      </c>
      <c r="Y304" s="578"/>
      <c r="Z304" s="578">
        <f t="shared" si="115"/>
        <v>5400.2350000000006</v>
      </c>
      <c r="AA304" s="578">
        <v>1000</v>
      </c>
      <c r="AB304" s="578">
        <v>147.08262375000001</v>
      </c>
      <c r="AC304" s="496">
        <f t="shared" si="116"/>
        <v>1147.08262375</v>
      </c>
      <c r="AD304" s="579">
        <f t="shared" si="117"/>
        <v>65949.902623750007</v>
      </c>
      <c r="AE304" s="580">
        <f t="shared" si="118"/>
        <v>791398.83148500009</v>
      </c>
      <c r="AF304" s="580">
        <f t="shared" si="119"/>
        <v>0</v>
      </c>
      <c r="AG304" s="577">
        <f t="shared" si="120"/>
        <v>0</v>
      </c>
      <c r="AH304" s="580">
        <f t="shared" si="121"/>
        <v>12</v>
      </c>
      <c r="AI304" s="577">
        <f t="shared" si="122"/>
        <v>791398.83148500009</v>
      </c>
    </row>
    <row r="305" spans="1:35" x14ac:dyDescent="0.2">
      <c r="A305" s="576" t="s">
        <v>588</v>
      </c>
      <c r="B305" s="576">
        <v>8</v>
      </c>
      <c r="C305" s="578">
        <f>1843.48125+127*8</f>
        <v>2859.4812499999998</v>
      </c>
      <c r="D305" s="578">
        <f>1057.42625+200</f>
        <v>1257.42625</v>
      </c>
      <c r="E305" s="578"/>
      <c r="F305" s="578"/>
      <c r="G305" s="578"/>
      <c r="H305" s="578"/>
      <c r="I305" s="578">
        <v>400</v>
      </c>
      <c r="J305" s="578"/>
      <c r="K305" s="578">
        <f t="shared" si="111"/>
        <v>4516.9074999999993</v>
      </c>
      <c r="L305" s="578">
        <v>1000</v>
      </c>
      <c r="M305" s="578">
        <v>125.91615312499999</v>
      </c>
      <c r="N305" s="496">
        <f t="shared" si="112"/>
        <v>1125.9161531249999</v>
      </c>
      <c r="O305" s="579">
        <f t="shared" si="113"/>
        <v>55328.806153124991</v>
      </c>
      <c r="P305" s="580">
        <f t="shared" si="114"/>
        <v>442630.44922499993</v>
      </c>
      <c r="Q305" s="576">
        <v>8</v>
      </c>
      <c r="R305" s="578">
        <f>1843.48125+127*8</f>
        <v>2859.4812499999998</v>
      </c>
      <c r="S305" s="578">
        <f>1057.42625+200</f>
        <v>1257.42625</v>
      </c>
      <c r="T305" s="578"/>
      <c r="U305" s="578"/>
      <c r="V305" s="578"/>
      <c r="W305" s="578"/>
      <c r="X305" s="578">
        <v>400</v>
      </c>
      <c r="Y305" s="578"/>
      <c r="Z305" s="578">
        <f t="shared" si="115"/>
        <v>4516.9074999999993</v>
      </c>
      <c r="AA305" s="578">
        <v>1000</v>
      </c>
      <c r="AB305" s="578">
        <v>125.91615312499999</v>
      </c>
      <c r="AC305" s="496">
        <f t="shared" si="116"/>
        <v>1125.9161531249999</v>
      </c>
      <c r="AD305" s="579">
        <f t="shared" si="117"/>
        <v>55328.806153124991</v>
      </c>
      <c r="AE305" s="580">
        <f t="shared" si="118"/>
        <v>442630.44922499993</v>
      </c>
      <c r="AF305" s="580">
        <f t="shared" si="119"/>
        <v>0</v>
      </c>
      <c r="AG305" s="577">
        <f t="shared" si="120"/>
        <v>0</v>
      </c>
      <c r="AH305" s="580">
        <f t="shared" si="121"/>
        <v>8</v>
      </c>
      <c r="AI305" s="577">
        <f t="shared" si="122"/>
        <v>442630.44922499993</v>
      </c>
    </row>
    <row r="306" spans="1:35" x14ac:dyDescent="0.2">
      <c r="A306" s="576" t="s">
        <v>643</v>
      </c>
      <c r="B306" s="576">
        <v>2</v>
      </c>
      <c r="C306" s="578">
        <f>2134.5+127*2</f>
        <v>2388.5</v>
      </c>
      <c r="D306" s="578">
        <f>1240+200</f>
        <v>1440</v>
      </c>
      <c r="E306" s="578"/>
      <c r="F306" s="578"/>
      <c r="G306" s="578"/>
      <c r="H306" s="578"/>
      <c r="I306" s="578">
        <v>400</v>
      </c>
      <c r="J306" s="578"/>
      <c r="K306" s="578">
        <f t="shared" si="111"/>
        <v>4228.5</v>
      </c>
      <c r="L306" s="578">
        <v>1000</v>
      </c>
      <c r="M306" s="578">
        <v>124.86825</v>
      </c>
      <c r="N306" s="496">
        <f t="shared" si="112"/>
        <v>1124.86825</v>
      </c>
      <c r="O306" s="579">
        <f t="shared" si="113"/>
        <v>51866.86825</v>
      </c>
      <c r="P306" s="580">
        <f t="shared" si="114"/>
        <v>103733.7365</v>
      </c>
      <c r="Q306" s="576">
        <v>2</v>
      </c>
      <c r="R306" s="578">
        <f>2134.5+127*2</f>
        <v>2388.5</v>
      </c>
      <c r="S306" s="578">
        <f>1240+200</f>
        <v>1440</v>
      </c>
      <c r="T306" s="578"/>
      <c r="U306" s="578"/>
      <c r="V306" s="578"/>
      <c r="W306" s="578"/>
      <c r="X306" s="578">
        <v>400</v>
      </c>
      <c r="Y306" s="578"/>
      <c r="Z306" s="578">
        <f t="shared" si="115"/>
        <v>4228.5</v>
      </c>
      <c r="AA306" s="578">
        <v>1000</v>
      </c>
      <c r="AB306" s="578">
        <v>124.86825</v>
      </c>
      <c r="AC306" s="496">
        <f t="shared" si="116"/>
        <v>1124.86825</v>
      </c>
      <c r="AD306" s="579">
        <f t="shared" si="117"/>
        <v>51866.86825</v>
      </c>
      <c r="AE306" s="580">
        <f t="shared" si="118"/>
        <v>103733.7365</v>
      </c>
      <c r="AF306" s="580">
        <f t="shared" si="119"/>
        <v>0</v>
      </c>
      <c r="AG306" s="577">
        <f t="shared" si="120"/>
        <v>0</v>
      </c>
      <c r="AH306" s="580">
        <f t="shared" si="121"/>
        <v>2</v>
      </c>
      <c r="AI306" s="577">
        <f t="shared" si="122"/>
        <v>103733.7365</v>
      </c>
    </row>
    <row r="307" spans="1:35" x14ac:dyDescent="0.2">
      <c r="A307" s="576" t="s">
        <v>589</v>
      </c>
      <c r="B307" s="576">
        <v>2</v>
      </c>
      <c r="C307" s="578">
        <f>1834.4+127*2</f>
        <v>2088.4</v>
      </c>
      <c r="D307" s="578">
        <f>1090+200</f>
        <v>1290</v>
      </c>
      <c r="E307" s="578"/>
      <c r="F307" s="578"/>
      <c r="G307" s="578"/>
      <c r="H307" s="578"/>
      <c r="I307" s="578">
        <v>400</v>
      </c>
      <c r="J307" s="578"/>
      <c r="K307" s="578">
        <f t="shared" si="111"/>
        <v>3778.4</v>
      </c>
      <c r="L307" s="578">
        <v>1000</v>
      </c>
      <c r="M307" s="578">
        <v>123.4974</v>
      </c>
      <c r="N307" s="496">
        <f t="shared" si="112"/>
        <v>1123.4974</v>
      </c>
      <c r="O307" s="579">
        <f t="shared" si="113"/>
        <v>46464.297400000003</v>
      </c>
      <c r="P307" s="580">
        <f t="shared" si="114"/>
        <v>92928.594800000006</v>
      </c>
      <c r="Q307" s="576">
        <v>2</v>
      </c>
      <c r="R307" s="578">
        <f>1834.4+127*2</f>
        <v>2088.4</v>
      </c>
      <c r="S307" s="578">
        <f>1090+200</f>
        <v>1290</v>
      </c>
      <c r="T307" s="578"/>
      <c r="U307" s="578"/>
      <c r="V307" s="578"/>
      <c r="W307" s="578"/>
      <c r="X307" s="578">
        <v>400</v>
      </c>
      <c r="Y307" s="578"/>
      <c r="Z307" s="578">
        <f t="shared" si="115"/>
        <v>3778.4</v>
      </c>
      <c r="AA307" s="578">
        <v>1000</v>
      </c>
      <c r="AB307" s="578">
        <v>123.4974</v>
      </c>
      <c r="AC307" s="496">
        <f t="shared" si="116"/>
        <v>1123.4974</v>
      </c>
      <c r="AD307" s="579">
        <f t="shared" si="117"/>
        <v>46464.297400000003</v>
      </c>
      <c r="AE307" s="580">
        <f t="shared" si="118"/>
        <v>92928.594800000006</v>
      </c>
      <c r="AF307" s="580">
        <f t="shared" si="119"/>
        <v>0</v>
      </c>
      <c r="AG307" s="577">
        <f t="shared" si="120"/>
        <v>0</v>
      </c>
      <c r="AH307" s="580">
        <f t="shared" si="121"/>
        <v>2</v>
      </c>
      <c r="AI307" s="577">
        <f t="shared" si="122"/>
        <v>92928.594800000006</v>
      </c>
    </row>
    <row r="308" spans="1:35" x14ac:dyDescent="0.2">
      <c r="A308" s="584" t="s">
        <v>6</v>
      </c>
      <c r="B308" s="582">
        <f t="shared" ref="B308:AI308" si="123">SUM(B309:B314)</f>
        <v>12</v>
      </c>
      <c r="C308" s="585">
        <f t="shared" si="123"/>
        <v>5727.1326190476202</v>
      </c>
      <c r="D308" s="585">
        <f t="shared" si="123"/>
        <v>4260.1952380952398</v>
      </c>
      <c r="E308" s="585">
        <f t="shared" si="123"/>
        <v>0</v>
      </c>
      <c r="F308" s="585">
        <f t="shared" si="123"/>
        <v>0</v>
      </c>
      <c r="G308" s="585">
        <f t="shared" si="123"/>
        <v>0</v>
      </c>
      <c r="H308" s="585">
        <f t="shared" si="123"/>
        <v>0</v>
      </c>
      <c r="I308" s="585">
        <f t="shared" si="123"/>
        <v>1200</v>
      </c>
      <c r="J308" s="585">
        <f t="shared" si="123"/>
        <v>0</v>
      </c>
      <c r="K308" s="585">
        <f t="shared" si="123"/>
        <v>11187.32785714286</v>
      </c>
      <c r="L308" s="585">
        <f t="shared" si="123"/>
        <v>3000</v>
      </c>
      <c r="M308" s="585">
        <f t="shared" si="123"/>
        <v>326.86642488095237</v>
      </c>
      <c r="N308" s="585">
        <f t="shared" si="123"/>
        <v>3326.8664248809523</v>
      </c>
      <c r="O308" s="585">
        <f t="shared" si="123"/>
        <v>137574.80071059527</v>
      </c>
      <c r="P308" s="585">
        <f t="shared" si="123"/>
        <v>534229.9360100003</v>
      </c>
      <c r="Q308" s="582">
        <f t="shared" si="123"/>
        <v>12</v>
      </c>
      <c r="R308" s="585">
        <f t="shared" si="123"/>
        <v>5727.1326190476202</v>
      </c>
      <c r="S308" s="585">
        <f t="shared" si="123"/>
        <v>4260.1952380952398</v>
      </c>
      <c r="T308" s="585">
        <f t="shared" si="123"/>
        <v>0</v>
      </c>
      <c r="U308" s="585">
        <f t="shared" si="123"/>
        <v>0</v>
      </c>
      <c r="V308" s="585">
        <f t="shared" si="123"/>
        <v>0</v>
      </c>
      <c r="W308" s="585">
        <f t="shared" si="123"/>
        <v>0</v>
      </c>
      <c r="X308" s="585">
        <f t="shared" si="123"/>
        <v>1200</v>
      </c>
      <c r="Y308" s="585">
        <f t="shared" si="123"/>
        <v>0</v>
      </c>
      <c r="Z308" s="585">
        <f t="shared" si="123"/>
        <v>11187.32785714286</v>
      </c>
      <c r="AA308" s="585">
        <f t="shared" si="123"/>
        <v>3000</v>
      </c>
      <c r="AB308" s="585">
        <f t="shared" si="123"/>
        <v>326.86642488095237</v>
      </c>
      <c r="AC308" s="585">
        <f t="shared" si="123"/>
        <v>3326.8664248809523</v>
      </c>
      <c r="AD308" s="585">
        <f t="shared" si="123"/>
        <v>137574.80071059527</v>
      </c>
      <c r="AE308" s="585">
        <f t="shared" si="123"/>
        <v>534229.9360100003</v>
      </c>
      <c r="AF308" s="582">
        <f t="shared" si="123"/>
        <v>0</v>
      </c>
      <c r="AG308" s="582">
        <f t="shared" si="123"/>
        <v>0</v>
      </c>
      <c r="AH308" s="582">
        <f t="shared" si="123"/>
        <v>12</v>
      </c>
      <c r="AI308" s="582">
        <f t="shared" si="123"/>
        <v>534229.9360100003</v>
      </c>
    </row>
    <row r="309" spans="1:35" x14ac:dyDescent="0.2">
      <c r="A309" s="576" t="s">
        <v>16</v>
      </c>
      <c r="B309" s="576"/>
      <c r="C309" s="578"/>
      <c r="D309" s="578"/>
      <c r="E309" s="578"/>
      <c r="F309" s="578"/>
      <c r="G309" s="578"/>
      <c r="H309" s="578"/>
      <c r="I309" s="578"/>
      <c r="J309" s="578"/>
      <c r="K309" s="578"/>
      <c r="L309" s="578"/>
      <c r="M309" s="578"/>
      <c r="N309" s="496">
        <f t="shared" ref="N309:N314" si="124">+M309+L309</f>
        <v>0</v>
      </c>
      <c r="O309" s="579"/>
      <c r="P309" s="580"/>
      <c r="Q309" s="576"/>
      <c r="R309" s="578"/>
      <c r="S309" s="578"/>
      <c r="T309" s="578"/>
      <c r="U309" s="578"/>
      <c r="V309" s="578"/>
      <c r="W309" s="578"/>
      <c r="X309" s="578"/>
      <c r="Y309" s="578"/>
      <c r="Z309" s="578"/>
      <c r="AA309" s="578"/>
      <c r="AB309" s="578"/>
      <c r="AC309" s="496">
        <f t="shared" ref="AC309:AC314" si="125">+AB309+AA309</f>
        <v>0</v>
      </c>
      <c r="AD309" s="579"/>
      <c r="AE309" s="580"/>
      <c r="AF309" s="580">
        <f t="shared" ref="AF309:AF314" si="126">+K309-Z309</f>
        <v>0</v>
      </c>
      <c r="AG309" s="577">
        <f t="shared" ref="AG309:AG314" si="127">+P309-AE309</f>
        <v>0</v>
      </c>
      <c r="AH309" s="580">
        <f t="shared" ref="AH309:AH314" si="128">+Q309</f>
        <v>0</v>
      </c>
      <c r="AI309" s="577">
        <f t="shared" ref="AI309:AI314" si="129">+AE309</f>
        <v>0</v>
      </c>
    </row>
    <row r="310" spans="1:35" x14ac:dyDescent="0.2">
      <c r="A310" s="576" t="s">
        <v>590</v>
      </c>
      <c r="B310" s="576">
        <v>3</v>
      </c>
      <c r="C310" s="578">
        <f>1946.62333333333+127*3</f>
        <v>2327.6233333333303</v>
      </c>
      <c r="D310" s="578">
        <f>1003.13666666667+200</f>
        <v>1203.13666666667</v>
      </c>
      <c r="E310" s="578"/>
      <c r="F310" s="578"/>
      <c r="G310" s="578"/>
      <c r="H310" s="578"/>
      <c r="I310" s="578">
        <v>400</v>
      </c>
      <c r="J310" s="578"/>
      <c r="K310" s="578">
        <f>SUM(C310:J310)</f>
        <v>3930.76</v>
      </c>
      <c r="L310" s="578">
        <v>1000</v>
      </c>
      <c r="M310" s="578">
        <v>142.85413166666666</v>
      </c>
      <c r="N310" s="496">
        <f t="shared" si="124"/>
        <v>1142.8541316666667</v>
      </c>
      <c r="O310" s="579">
        <f>+(K310*12)+N310</f>
        <v>48311.97413166667</v>
      </c>
      <c r="P310" s="580">
        <f>+O310*B310</f>
        <v>144935.922395</v>
      </c>
      <c r="Q310" s="576">
        <v>3</v>
      </c>
      <c r="R310" s="578">
        <f>1946.62333333333+127*3</f>
        <v>2327.6233333333303</v>
      </c>
      <c r="S310" s="578">
        <f>1003.13666666667+200</f>
        <v>1203.13666666667</v>
      </c>
      <c r="T310" s="578"/>
      <c r="U310" s="578"/>
      <c r="V310" s="578"/>
      <c r="W310" s="578"/>
      <c r="X310" s="578">
        <v>400</v>
      </c>
      <c r="Y310" s="578"/>
      <c r="Z310" s="578">
        <f>SUM(R310:Y310)</f>
        <v>3930.76</v>
      </c>
      <c r="AA310" s="578">
        <v>1000</v>
      </c>
      <c r="AB310" s="578">
        <v>142.85413166666666</v>
      </c>
      <c r="AC310" s="496">
        <f t="shared" si="125"/>
        <v>1142.8541316666667</v>
      </c>
      <c r="AD310" s="579">
        <f>+(Z310*12)+AC310</f>
        <v>48311.97413166667</v>
      </c>
      <c r="AE310" s="580">
        <f>+AD310*Q310</f>
        <v>144935.922395</v>
      </c>
      <c r="AF310" s="580">
        <f t="shared" si="126"/>
        <v>0</v>
      </c>
      <c r="AG310" s="577">
        <f t="shared" si="127"/>
        <v>0</v>
      </c>
      <c r="AH310" s="580">
        <f t="shared" si="128"/>
        <v>3</v>
      </c>
      <c r="AI310" s="577">
        <f t="shared" si="129"/>
        <v>144935.922395</v>
      </c>
    </row>
    <row r="311" spans="1:35" x14ac:dyDescent="0.2">
      <c r="A311" s="576" t="s">
        <v>591</v>
      </c>
      <c r="B311" s="576">
        <v>2</v>
      </c>
      <c r="C311" s="578">
        <f>1590.675+127*2</f>
        <v>1844.675</v>
      </c>
      <c r="D311" s="578">
        <f>1390+200</f>
        <v>1590</v>
      </c>
      <c r="E311" s="578"/>
      <c r="F311" s="578"/>
      <c r="G311" s="578"/>
      <c r="H311" s="578"/>
      <c r="I311" s="578">
        <v>400</v>
      </c>
      <c r="J311" s="578"/>
      <c r="K311" s="578">
        <f>SUM(C311:J311)</f>
        <v>3834.6750000000002</v>
      </c>
      <c r="L311" s="578">
        <v>1000</v>
      </c>
      <c r="M311" s="578">
        <v>93.054487499999993</v>
      </c>
      <c r="N311" s="496">
        <f t="shared" si="124"/>
        <v>1093.0544875000001</v>
      </c>
      <c r="O311" s="579">
        <f>+(K311*12)+N311</f>
        <v>47109.154487500004</v>
      </c>
      <c r="P311" s="580">
        <f>+O311*B311</f>
        <v>94218.308975000007</v>
      </c>
      <c r="Q311" s="576">
        <v>2</v>
      </c>
      <c r="R311" s="578">
        <f>1590.675+127*2</f>
        <v>1844.675</v>
      </c>
      <c r="S311" s="578">
        <f>1390+200</f>
        <v>1590</v>
      </c>
      <c r="T311" s="578"/>
      <c r="U311" s="578"/>
      <c r="V311" s="578"/>
      <c r="W311" s="578"/>
      <c r="X311" s="578">
        <v>400</v>
      </c>
      <c r="Y311" s="578"/>
      <c r="Z311" s="578">
        <f>SUM(R311:Y311)</f>
        <v>3834.6750000000002</v>
      </c>
      <c r="AA311" s="578">
        <v>1000</v>
      </c>
      <c r="AB311" s="578">
        <v>93.054487499999993</v>
      </c>
      <c r="AC311" s="496">
        <f t="shared" si="125"/>
        <v>1093.0544875000001</v>
      </c>
      <c r="AD311" s="579">
        <f>+(Z311*12)+AC311</f>
        <v>47109.154487500004</v>
      </c>
      <c r="AE311" s="580">
        <f>+AD311*Q311</f>
        <v>94218.308975000007</v>
      </c>
      <c r="AF311" s="580">
        <f t="shared" si="126"/>
        <v>0</v>
      </c>
      <c r="AG311" s="577">
        <f t="shared" si="127"/>
        <v>0</v>
      </c>
      <c r="AH311" s="580">
        <f t="shared" si="128"/>
        <v>2</v>
      </c>
      <c r="AI311" s="577">
        <f t="shared" si="129"/>
        <v>94218.308975000007</v>
      </c>
    </row>
    <row r="312" spans="1:35" x14ac:dyDescent="0.2">
      <c r="A312" s="576" t="s">
        <v>644</v>
      </c>
      <c r="B312" s="576">
        <v>7</v>
      </c>
      <c r="C312" s="578">
        <f>1554.83428571429</f>
        <v>1554.83428571429</v>
      </c>
      <c r="D312" s="578">
        <f>1267.05857142857+200</f>
        <v>1467.0585714285701</v>
      </c>
      <c r="E312" s="578"/>
      <c r="F312" s="578"/>
      <c r="G312" s="578"/>
      <c r="H312" s="578"/>
      <c r="I312" s="578">
        <v>400</v>
      </c>
      <c r="J312" s="578"/>
      <c r="K312" s="578">
        <f>SUM(C312:J312)</f>
        <v>3421.8928571428601</v>
      </c>
      <c r="L312" s="578">
        <v>1000</v>
      </c>
      <c r="M312" s="578">
        <v>90.957805714285726</v>
      </c>
      <c r="N312" s="496">
        <f t="shared" si="124"/>
        <v>1090.9578057142858</v>
      </c>
      <c r="O312" s="579">
        <f>+(K312*12)+N312</f>
        <v>42153.672091428605</v>
      </c>
      <c r="P312" s="580">
        <f>+O312*B312</f>
        <v>295075.70464000024</v>
      </c>
      <c r="Q312" s="576">
        <v>7</v>
      </c>
      <c r="R312" s="578">
        <f>1554.83428571429</f>
        <v>1554.83428571429</v>
      </c>
      <c r="S312" s="578">
        <f>1267.05857142857+200</f>
        <v>1467.0585714285701</v>
      </c>
      <c r="T312" s="578"/>
      <c r="U312" s="578"/>
      <c r="V312" s="578"/>
      <c r="W312" s="578"/>
      <c r="X312" s="578">
        <v>400</v>
      </c>
      <c r="Y312" s="578"/>
      <c r="Z312" s="578">
        <f>SUM(R312:Y312)</f>
        <v>3421.8928571428601</v>
      </c>
      <c r="AA312" s="578">
        <v>1000</v>
      </c>
      <c r="AB312" s="578">
        <v>90.957805714285726</v>
      </c>
      <c r="AC312" s="496">
        <f t="shared" si="125"/>
        <v>1090.9578057142858</v>
      </c>
      <c r="AD312" s="579">
        <f>+(Z312*12)+AC312</f>
        <v>42153.672091428605</v>
      </c>
      <c r="AE312" s="580">
        <f>+AD312*Q312</f>
        <v>295075.70464000024</v>
      </c>
      <c r="AF312" s="580">
        <f t="shared" si="126"/>
        <v>0</v>
      </c>
      <c r="AG312" s="577">
        <f t="shared" si="127"/>
        <v>0</v>
      </c>
      <c r="AH312" s="580">
        <f t="shared" si="128"/>
        <v>7</v>
      </c>
      <c r="AI312" s="577">
        <f t="shared" si="129"/>
        <v>295075.70464000024</v>
      </c>
    </row>
    <row r="313" spans="1:35" x14ac:dyDescent="0.2">
      <c r="A313" s="576" t="s">
        <v>645</v>
      </c>
      <c r="B313" s="576"/>
      <c r="C313" s="578"/>
      <c r="D313" s="578"/>
      <c r="E313" s="578"/>
      <c r="F313" s="578"/>
      <c r="G313" s="578"/>
      <c r="H313" s="578"/>
      <c r="I313" s="578"/>
      <c r="J313" s="578"/>
      <c r="K313" s="578"/>
      <c r="L313" s="578"/>
      <c r="M313" s="578"/>
      <c r="N313" s="496">
        <f t="shared" si="124"/>
        <v>0</v>
      </c>
      <c r="O313" s="579"/>
      <c r="P313" s="580"/>
      <c r="Q313" s="576"/>
      <c r="R313" s="578"/>
      <c r="S313" s="578"/>
      <c r="T313" s="578"/>
      <c r="U313" s="578"/>
      <c r="V313" s="578"/>
      <c r="W313" s="578"/>
      <c r="X313" s="578"/>
      <c r="Y313" s="578"/>
      <c r="Z313" s="578"/>
      <c r="AA313" s="578"/>
      <c r="AB313" s="578"/>
      <c r="AC313" s="496">
        <f t="shared" si="125"/>
        <v>0</v>
      </c>
      <c r="AD313" s="579"/>
      <c r="AE313" s="580"/>
      <c r="AF313" s="580">
        <f t="shared" si="126"/>
        <v>0</v>
      </c>
      <c r="AG313" s="577">
        <f t="shared" si="127"/>
        <v>0</v>
      </c>
      <c r="AH313" s="580">
        <f t="shared" si="128"/>
        <v>0</v>
      </c>
      <c r="AI313" s="577">
        <f t="shared" si="129"/>
        <v>0</v>
      </c>
    </row>
    <row r="314" spans="1:35" x14ac:dyDescent="0.2">
      <c r="A314" s="576" t="s">
        <v>646</v>
      </c>
      <c r="B314" s="576"/>
      <c r="C314" s="578"/>
      <c r="D314" s="578"/>
      <c r="E314" s="578"/>
      <c r="F314" s="578"/>
      <c r="G314" s="578"/>
      <c r="H314" s="578"/>
      <c r="I314" s="578"/>
      <c r="J314" s="578"/>
      <c r="K314" s="578"/>
      <c r="L314" s="578"/>
      <c r="M314" s="578"/>
      <c r="N314" s="496">
        <f t="shared" si="124"/>
        <v>0</v>
      </c>
      <c r="O314" s="579"/>
      <c r="P314" s="580"/>
      <c r="Q314" s="576"/>
      <c r="R314" s="578"/>
      <c r="S314" s="578"/>
      <c r="T314" s="578"/>
      <c r="U314" s="578"/>
      <c r="V314" s="578"/>
      <c r="W314" s="578"/>
      <c r="X314" s="578"/>
      <c r="Y314" s="578"/>
      <c r="Z314" s="578"/>
      <c r="AA314" s="578"/>
      <c r="AB314" s="578"/>
      <c r="AC314" s="496">
        <f t="shared" si="125"/>
        <v>0</v>
      </c>
      <c r="AD314" s="579"/>
      <c r="AE314" s="580"/>
      <c r="AF314" s="580">
        <f t="shared" si="126"/>
        <v>0</v>
      </c>
      <c r="AG314" s="577">
        <f t="shared" si="127"/>
        <v>0</v>
      </c>
      <c r="AH314" s="580">
        <f t="shared" si="128"/>
        <v>0</v>
      </c>
      <c r="AI314" s="577">
        <f t="shared" si="129"/>
        <v>0</v>
      </c>
    </row>
    <row r="315" spans="1:35" x14ac:dyDescent="0.2">
      <c r="A315" s="586" t="s">
        <v>731</v>
      </c>
      <c r="B315" s="587">
        <f t="shared" ref="B315:AH315" si="130">+B308+B301+B297+B290</f>
        <v>123</v>
      </c>
      <c r="C315" s="588">
        <f t="shared" si="130"/>
        <v>40608.30882821152</v>
      </c>
      <c r="D315" s="588">
        <f t="shared" si="130"/>
        <v>25814.631653516059</v>
      </c>
      <c r="E315" s="588">
        <f t="shared" si="130"/>
        <v>0</v>
      </c>
      <c r="F315" s="588">
        <f t="shared" si="130"/>
        <v>0</v>
      </c>
      <c r="G315" s="588">
        <f t="shared" si="130"/>
        <v>0</v>
      </c>
      <c r="H315" s="588">
        <f t="shared" si="130"/>
        <v>0</v>
      </c>
      <c r="I315" s="588">
        <f t="shared" si="130"/>
        <v>6000</v>
      </c>
      <c r="J315" s="588">
        <f t="shared" si="130"/>
        <v>0</v>
      </c>
      <c r="K315" s="588">
        <f t="shared" si="130"/>
        <v>161398.62048172759</v>
      </c>
      <c r="L315" s="588">
        <f t="shared" si="130"/>
        <v>15000</v>
      </c>
      <c r="M315" s="588">
        <f t="shared" si="130"/>
        <v>2255.2963416544912</v>
      </c>
      <c r="N315" s="588">
        <f t="shared" si="130"/>
        <v>17255.296341654492</v>
      </c>
      <c r="O315" s="588">
        <f t="shared" si="130"/>
        <v>886330.58212238539</v>
      </c>
      <c r="P315" s="588">
        <f t="shared" si="130"/>
        <v>7061749.5983606819</v>
      </c>
      <c r="Q315" s="587">
        <f t="shared" si="130"/>
        <v>123</v>
      </c>
      <c r="R315" s="588">
        <f t="shared" si="130"/>
        <v>40608.30882821152</v>
      </c>
      <c r="S315" s="588">
        <f t="shared" si="130"/>
        <v>25614.631653516059</v>
      </c>
      <c r="T315" s="588">
        <f t="shared" si="130"/>
        <v>0</v>
      </c>
      <c r="U315" s="588">
        <f t="shared" si="130"/>
        <v>0</v>
      </c>
      <c r="V315" s="588">
        <f t="shared" si="130"/>
        <v>0</v>
      </c>
      <c r="W315" s="588">
        <f t="shared" si="130"/>
        <v>0</v>
      </c>
      <c r="X315" s="588">
        <f t="shared" si="130"/>
        <v>6000</v>
      </c>
      <c r="Y315" s="588">
        <f t="shared" si="130"/>
        <v>0</v>
      </c>
      <c r="Z315" s="588">
        <f t="shared" si="130"/>
        <v>161198.62048172759</v>
      </c>
      <c r="AA315" s="588">
        <f t="shared" si="130"/>
        <v>15000</v>
      </c>
      <c r="AB315" s="588">
        <f t="shared" si="130"/>
        <v>2255.2963416544912</v>
      </c>
      <c r="AC315" s="588">
        <f t="shared" si="130"/>
        <v>17255.296341654492</v>
      </c>
      <c r="AD315" s="588">
        <f t="shared" si="130"/>
        <v>883930.58212238539</v>
      </c>
      <c r="AE315" s="588">
        <f t="shared" si="130"/>
        <v>7052149.5983606819</v>
      </c>
      <c r="AF315" s="587">
        <f t="shared" si="130"/>
        <v>200</v>
      </c>
      <c r="AG315" s="587">
        <f t="shared" si="130"/>
        <v>9600</v>
      </c>
      <c r="AH315" s="587">
        <f t="shared" si="130"/>
        <v>123</v>
      </c>
      <c r="AI315" s="588">
        <f>+AI308+AI301+AI297+AI290-AI425</f>
        <v>7052149.5983606819</v>
      </c>
    </row>
    <row r="316" spans="1:35" x14ac:dyDescent="0.2">
      <c r="A316" s="589" t="s">
        <v>732</v>
      </c>
      <c r="B316" s="582">
        <f t="shared" ref="B316:AH316" si="131">SUM(B317:B321)</f>
        <v>302</v>
      </c>
      <c r="C316" s="585">
        <f t="shared" si="131"/>
        <v>35067</v>
      </c>
      <c r="D316" s="585">
        <f t="shared" si="131"/>
        <v>0</v>
      </c>
      <c r="E316" s="585">
        <f t="shared" si="131"/>
        <v>0</v>
      </c>
      <c r="F316" s="585">
        <f t="shared" si="131"/>
        <v>0</v>
      </c>
      <c r="G316" s="585">
        <f t="shared" si="131"/>
        <v>3769.5133655886502</v>
      </c>
      <c r="H316" s="585">
        <f t="shared" si="131"/>
        <v>0</v>
      </c>
      <c r="I316" s="585">
        <f t="shared" si="131"/>
        <v>0</v>
      </c>
      <c r="J316" s="585">
        <f t="shared" si="131"/>
        <v>4149.4487298309832</v>
      </c>
      <c r="K316" s="585">
        <f t="shared" si="131"/>
        <v>42985.962095419629</v>
      </c>
      <c r="L316" s="585">
        <f t="shared" si="131"/>
        <v>5000</v>
      </c>
      <c r="M316" s="585">
        <f t="shared" si="131"/>
        <v>1873.2999174311933</v>
      </c>
      <c r="N316" s="585">
        <f t="shared" si="131"/>
        <v>6873.2999174311935</v>
      </c>
      <c r="O316" s="585">
        <f t="shared" si="131"/>
        <v>522704.8450624668</v>
      </c>
      <c r="P316" s="585">
        <f t="shared" si="131"/>
        <v>29121555.824736349</v>
      </c>
      <c r="Q316" s="582">
        <f t="shared" si="131"/>
        <v>302</v>
      </c>
      <c r="R316" s="585">
        <f t="shared" si="131"/>
        <v>35067</v>
      </c>
      <c r="S316" s="585">
        <f t="shared" si="131"/>
        <v>0</v>
      </c>
      <c r="T316" s="585">
        <f t="shared" si="131"/>
        <v>0</v>
      </c>
      <c r="U316" s="585">
        <f t="shared" si="131"/>
        <v>0</v>
      </c>
      <c r="V316" s="585">
        <f t="shared" si="131"/>
        <v>3769.5133655886502</v>
      </c>
      <c r="W316" s="585">
        <f t="shared" si="131"/>
        <v>0</v>
      </c>
      <c r="X316" s="585">
        <f t="shared" si="131"/>
        <v>0</v>
      </c>
      <c r="Y316" s="585">
        <f t="shared" si="131"/>
        <v>4149.4487298309832</v>
      </c>
      <c r="Z316" s="585">
        <f t="shared" si="131"/>
        <v>42985.962095419629</v>
      </c>
      <c r="AA316" s="585">
        <f t="shared" si="131"/>
        <v>5000</v>
      </c>
      <c r="AB316" s="585">
        <f t="shared" si="131"/>
        <v>1873.2999174311933</v>
      </c>
      <c r="AC316" s="585">
        <f t="shared" si="131"/>
        <v>6873.2999174311935</v>
      </c>
      <c r="AD316" s="585">
        <f t="shared" si="131"/>
        <v>522704.8450624668</v>
      </c>
      <c r="AE316" s="585">
        <f t="shared" si="131"/>
        <v>29121555.824736349</v>
      </c>
      <c r="AF316" s="582">
        <f t="shared" si="131"/>
        <v>0</v>
      </c>
      <c r="AG316" s="582">
        <f t="shared" si="131"/>
        <v>0</v>
      </c>
      <c r="AH316" s="582">
        <f t="shared" si="131"/>
        <v>303</v>
      </c>
      <c r="AI316" s="585">
        <f>(SUM(AI317:AI321))-470201.04</f>
        <v>28651354.78473635</v>
      </c>
    </row>
    <row r="317" spans="1:35" x14ac:dyDescent="0.2">
      <c r="A317" s="590" t="s">
        <v>733</v>
      </c>
      <c r="B317" s="576">
        <v>109</v>
      </c>
      <c r="C317" s="578">
        <f>7266</f>
        <v>7266</v>
      </c>
      <c r="D317" s="578"/>
      <c r="E317" s="578"/>
      <c r="F317" s="578"/>
      <c r="G317" s="578">
        <v>841.2130433889231</v>
      </c>
      <c r="H317" s="578"/>
      <c r="I317" s="578"/>
      <c r="J317" s="578">
        <v>945.6880733944954</v>
      </c>
      <c r="K317" s="578">
        <f>SUM(C317:J317)</f>
        <v>9052.9011167834178</v>
      </c>
      <c r="L317" s="578">
        <v>1000</v>
      </c>
      <c r="M317" s="578">
        <v>432.67891743119333</v>
      </c>
      <c r="N317" s="496">
        <f>+M317+L317</f>
        <v>1432.6789174311934</v>
      </c>
      <c r="O317" s="579">
        <f>+(K317*12)+N317</f>
        <v>110067.49231883221</v>
      </c>
      <c r="P317" s="580">
        <f>+O317*B317</f>
        <v>11997356.662752712</v>
      </c>
      <c r="Q317" s="576">
        <v>109</v>
      </c>
      <c r="R317" s="578">
        <f>7266</f>
        <v>7266</v>
      </c>
      <c r="S317" s="578"/>
      <c r="T317" s="578"/>
      <c r="U317" s="578"/>
      <c r="V317" s="578">
        <v>841.2130433889231</v>
      </c>
      <c r="W317" s="578"/>
      <c r="X317" s="578"/>
      <c r="Y317" s="578">
        <v>945.6880733944954</v>
      </c>
      <c r="Z317" s="578">
        <f>SUM(R317:Y317)</f>
        <v>9052.9011167834178</v>
      </c>
      <c r="AA317" s="578">
        <v>1000</v>
      </c>
      <c r="AB317" s="578">
        <v>432.67891743119333</v>
      </c>
      <c r="AC317" s="496">
        <f>+AB317+AA317</f>
        <v>1432.6789174311934</v>
      </c>
      <c r="AD317" s="579">
        <f>+(Z317*12)+AC317</f>
        <v>110067.49231883221</v>
      </c>
      <c r="AE317" s="580">
        <f>+AD317*Q317</f>
        <v>11997356.662752712</v>
      </c>
      <c r="AF317" s="580">
        <f>+K317-Z317</f>
        <v>0</v>
      </c>
      <c r="AG317" s="577">
        <f>+P317-AE317</f>
        <v>0</v>
      </c>
      <c r="AH317" s="580">
        <f>+Q317</f>
        <v>109</v>
      </c>
      <c r="AI317" s="577">
        <f>+AE317</f>
        <v>11997356.662752712</v>
      </c>
    </row>
    <row r="318" spans="1:35" x14ac:dyDescent="0.2">
      <c r="A318" s="590" t="s">
        <v>734</v>
      </c>
      <c r="B318" s="576">
        <v>1</v>
      </c>
      <c r="C318" s="578">
        <v>6826</v>
      </c>
      <c r="D318" s="578"/>
      <c r="E318" s="578"/>
      <c r="F318" s="578"/>
      <c r="G318" s="578">
        <v>748.63555304993247</v>
      </c>
      <c r="H318" s="578"/>
      <c r="I318" s="578"/>
      <c r="J318" s="578">
        <v>900</v>
      </c>
      <c r="K318" s="578">
        <f>SUM(C318:J318)</f>
        <v>8474.6355530499313</v>
      </c>
      <c r="L318" s="578">
        <v>1000</v>
      </c>
      <c r="M318" s="578">
        <v>399.32100000000003</v>
      </c>
      <c r="N318" s="496">
        <f>+M318+L318</f>
        <v>1399.3209999999999</v>
      </c>
      <c r="O318" s="579">
        <f>+(K318*12)+N318</f>
        <v>103094.94763659917</v>
      </c>
      <c r="P318" s="580">
        <f>+O318*B318</f>
        <v>103094.94763659917</v>
      </c>
      <c r="Q318" s="576">
        <v>1</v>
      </c>
      <c r="R318" s="578">
        <v>6826</v>
      </c>
      <c r="S318" s="578"/>
      <c r="T318" s="578"/>
      <c r="U318" s="578"/>
      <c r="V318" s="578">
        <v>748.63555304993247</v>
      </c>
      <c r="W318" s="578"/>
      <c r="X318" s="578"/>
      <c r="Y318" s="578">
        <v>900</v>
      </c>
      <c r="Z318" s="578">
        <f>SUM(R318:Y318)</f>
        <v>8474.6355530499313</v>
      </c>
      <c r="AA318" s="578">
        <v>1000</v>
      </c>
      <c r="AB318" s="578">
        <v>399.32100000000003</v>
      </c>
      <c r="AC318" s="496">
        <f>+AB318+AA318</f>
        <v>1399.3209999999999</v>
      </c>
      <c r="AD318" s="579">
        <f>+(Z318*12)+AC318</f>
        <v>103094.94763659917</v>
      </c>
      <c r="AE318" s="580">
        <f>+AD318*Q318</f>
        <v>103094.94763659917</v>
      </c>
      <c r="AF318" s="580">
        <f>+K318-Z318</f>
        <v>0</v>
      </c>
      <c r="AG318" s="577">
        <f>+P318-AE318</f>
        <v>0</v>
      </c>
      <c r="AH318" s="580">
        <f>+Q318</f>
        <v>1</v>
      </c>
      <c r="AI318" s="577">
        <f>+AE318</f>
        <v>103094.94763659917</v>
      </c>
    </row>
    <row r="319" spans="1:35" x14ac:dyDescent="0.2">
      <c r="A319" s="590" t="s">
        <v>735</v>
      </c>
      <c r="B319" s="576">
        <v>23</v>
      </c>
      <c r="C319" s="578">
        <f>6336+127*23</f>
        <v>9257</v>
      </c>
      <c r="D319" s="578"/>
      <c r="E319" s="578"/>
      <c r="F319" s="578"/>
      <c r="G319" s="578">
        <v>748.63555304993258</v>
      </c>
      <c r="H319" s="578"/>
      <c r="I319" s="578"/>
      <c r="J319" s="578">
        <v>942.60869565217388</v>
      </c>
      <c r="K319" s="578">
        <f>SUM(C319:J319)</f>
        <v>10948.244248702107</v>
      </c>
      <c r="L319" s="578">
        <v>1000</v>
      </c>
      <c r="M319" s="578">
        <v>370.65600000000006</v>
      </c>
      <c r="N319" s="496">
        <f>+M319+L319</f>
        <v>1370.6559999999999</v>
      </c>
      <c r="O319" s="579">
        <f>+(K319*12)+N319</f>
        <v>132749.58698442529</v>
      </c>
      <c r="P319" s="580">
        <f>+O319*B319</f>
        <v>3053240.5006417818</v>
      </c>
      <c r="Q319" s="576">
        <v>23</v>
      </c>
      <c r="R319" s="578">
        <f>6336+127*23</f>
        <v>9257</v>
      </c>
      <c r="S319" s="578"/>
      <c r="T319" s="578"/>
      <c r="U319" s="578"/>
      <c r="V319" s="578">
        <v>748.63555304993258</v>
      </c>
      <c r="W319" s="578"/>
      <c r="X319" s="578"/>
      <c r="Y319" s="578">
        <v>942.60869565217388</v>
      </c>
      <c r="Z319" s="578">
        <f>SUM(R319:Y319)</f>
        <v>10948.244248702107</v>
      </c>
      <c r="AA319" s="578">
        <v>1000</v>
      </c>
      <c r="AB319" s="578">
        <v>370.65600000000006</v>
      </c>
      <c r="AC319" s="496">
        <f>+AB319+AA319</f>
        <v>1370.6559999999999</v>
      </c>
      <c r="AD319" s="579">
        <f>+(Z319*12)+AC319</f>
        <v>132749.58698442529</v>
      </c>
      <c r="AE319" s="580">
        <f>+AD319*Q319</f>
        <v>3053240.5006417818</v>
      </c>
      <c r="AF319" s="580">
        <f>+K319-Z319</f>
        <v>0</v>
      </c>
      <c r="AG319" s="577">
        <f>+P319-AE319</f>
        <v>0</v>
      </c>
      <c r="AH319" s="580">
        <f>+Q319</f>
        <v>23</v>
      </c>
      <c r="AI319" s="577">
        <f>+AE319</f>
        <v>3053240.5006417818</v>
      </c>
    </row>
    <row r="320" spans="1:35" x14ac:dyDescent="0.2">
      <c r="A320" s="590" t="s">
        <v>736</v>
      </c>
      <c r="B320" s="576">
        <v>16</v>
      </c>
      <c r="C320" s="578">
        <f>5932+127*2</f>
        <v>6186</v>
      </c>
      <c r="D320" s="578"/>
      <c r="E320" s="578"/>
      <c r="F320" s="578"/>
      <c r="G320" s="578">
        <v>732.57691304993216</v>
      </c>
      <c r="H320" s="578"/>
      <c r="I320" s="578"/>
      <c r="J320" s="578">
        <v>926.25</v>
      </c>
      <c r="K320" s="578">
        <f>SUM(C320:J320)</f>
        <v>7844.826913049932</v>
      </c>
      <c r="L320" s="578">
        <v>1000</v>
      </c>
      <c r="M320" s="578">
        <v>347.02199999999999</v>
      </c>
      <c r="N320" s="496">
        <f>+M320+L320</f>
        <v>1347.0219999999999</v>
      </c>
      <c r="O320" s="579">
        <f>+(K320*12)+N320</f>
        <v>95484.944956599182</v>
      </c>
      <c r="P320" s="580">
        <f>+O320*B320</f>
        <v>1527759.1193055869</v>
      </c>
      <c r="Q320" s="576">
        <v>16</v>
      </c>
      <c r="R320" s="578">
        <f>5932+127*2</f>
        <v>6186</v>
      </c>
      <c r="S320" s="578"/>
      <c r="T320" s="578"/>
      <c r="U320" s="578"/>
      <c r="V320" s="578">
        <v>732.57691304993216</v>
      </c>
      <c r="W320" s="578"/>
      <c r="X320" s="578"/>
      <c r="Y320" s="578">
        <v>926.25</v>
      </c>
      <c r="Z320" s="578">
        <f>SUM(R320:Y320)</f>
        <v>7844.826913049932</v>
      </c>
      <c r="AA320" s="578">
        <v>1000</v>
      </c>
      <c r="AB320" s="578">
        <v>347.02199999999999</v>
      </c>
      <c r="AC320" s="496">
        <f>+AB320+AA320</f>
        <v>1347.0219999999999</v>
      </c>
      <c r="AD320" s="579">
        <f>+(Z320*12)+AC320</f>
        <v>95484.944956599182</v>
      </c>
      <c r="AE320" s="580">
        <f>+AD320*Q320</f>
        <v>1527759.1193055869</v>
      </c>
      <c r="AF320" s="580">
        <f>+K320-Z320</f>
        <v>0</v>
      </c>
      <c r="AG320" s="577">
        <f>+P320-AE320</f>
        <v>0</v>
      </c>
      <c r="AH320" s="580">
        <f>+Q320</f>
        <v>16</v>
      </c>
      <c r="AI320" s="577">
        <f>+AE320</f>
        <v>1527759.1193055869</v>
      </c>
    </row>
    <row r="321" spans="1:35" x14ac:dyDescent="0.2">
      <c r="A321" s="590" t="s">
        <v>737</v>
      </c>
      <c r="B321" s="576">
        <v>153</v>
      </c>
      <c r="C321" s="578">
        <v>5532</v>
      </c>
      <c r="D321" s="578"/>
      <c r="E321" s="578"/>
      <c r="F321" s="578"/>
      <c r="G321" s="578">
        <v>698.45230304993015</v>
      </c>
      <c r="H321" s="578"/>
      <c r="I321" s="578"/>
      <c r="J321" s="578">
        <v>434.9019607843137</v>
      </c>
      <c r="K321" s="578">
        <f>SUM(C321:J321)</f>
        <v>6665.3542638342442</v>
      </c>
      <c r="L321" s="578">
        <v>1000</v>
      </c>
      <c r="M321" s="578">
        <v>323.62200000000001</v>
      </c>
      <c r="N321" s="496">
        <f>+M321+L321</f>
        <v>1323.6220000000001</v>
      </c>
      <c r="O321" s="579">
        <f>+(K321*12)+N321</f>
        <v>81307.873166010933</v>
      </c>
      <c r="P321" s="580">
        <f>+O321*B321</f>
        <v>12440104.594399672</v>
      </c>
      <c r="Q321" s="576">
        <v>153</v>
      </c>
      <c r="R321" s="578">
        <v>5532</v>
      </c>
      <c r="S321" s="578"/>
      <c r="T321" s="578"/>
      <c r="U321" s="578"/>
      <c r="V321" s="578">
        <v>698.45230304993015</v>
      </c>
      <c r="W321" s="578"/>
      <c r="X321" s="578"/>
      <c r="Y321" s="578">
        <v>434.9019607843137</v>
      </c>
      <c r="Z321" s="578">
        <f>SUM(R321:Y321)</f>
        <v>6665.3542638342442</v>
      </c>
      <c r="AA321" s="578">
        <v>1000</v>
      </c>
      <c r="AB321" s="578">
        <v>323.62200000000001</v>
      </c>
      <c r="AC321" s="496">
        <f>+AB321+AA321</f>
        <v>1323.6220000000001</v>
      </c>
      <c r="AD321" s="579">
        <f>+(Z321*12)+AC321</f>
        <v>81307.873166010933</v>
      </c>
      <c r="AE321" s="580">
        <f>+AD321*Q321</f>
        <v>12440104.594399672</v>
      </c>
      <c r="AF321" s="580">
        <f>+K321-Z321</f>
        <v>0</v>
      </c>
      <c r="AG321" s="577">
        <f>+P321-AE321</f>
        <v>0</v>
      </c>
      <c r="AH321" s="580">
        <v>154</v>
      </c>
      <c r="AI321" s="577">
        <f>+AE321</f>
        <v>12440104.594399672</v>
      </c>
    </row>
    <row r="322" spans="1:35" x14ac:dyDescent="0.2">
      <c r="A322" s="589" t="s">
        <v>738</v>
      </c>
      <c r="B322" s="582">
        <f t="shared" ref="B322:AI322" si="132">SUM(B323:B327)</f>
        <v>336</v>
      </c>
      <c r="C322" s="585">
        <f t="shared" si="132"/>
        <v>19533</v>
      </c>
      <c r="D322" s="585">
        <f t="shared" si="132"/>
        <v>0</v>
      </c>
      <c r="E322" s="585">
        <f t="shared" si="132"/>
        <v>0</v>
      </c>
      <c r="F322" s="585">
        <f t="shared" si="132"/>
        <v>0</v>
      </c>
      <c r="G322" s="585">
        <f t="shared" si="132"/>
        <v>3695.0018452496597</v>
      </c>
      <c r="H322" s="585">
        <f t="shared" si="132"/>
        <v>0</v>
      </c>
      <c r="I322" s="585">
        <f t="shared" si="132"/>
        <v>0</v>
      </c>
      <c r="J322" s="585">
        <f t="shared" si="132"/>
        <v>2250.9748427672957</v>
      </c>
      <c r="K322" s="585">
        <f t="shared" si="132"/>
        <v>25478.976688016952</v>
      </c>
      <c r="L322" s="585">
        <f t="shared" si="132"/>
        <v>5000</v>
      </c>
      <c r="M322" s="585">
        <f t="shared" si="132"/>
        <v>1142.6804999999999</v>
      </c>
      <c r="N322" s="585">
        <f t="shared" si="132"/>
        <v>6142.6804999999995</v>
      </c>
      <c r="O322" s="585">
        <f t="shared" si="132"/>
        <v>311890.40075620345</v>
      </c>
      <c r="P322" s="585">
        <f t="shared" si="132"/>
        <v>21658693.539657325</v>
      </c>
      <c r="Q322" s="582">
        <f t="shared" si="132"/>
        <v>336</v>
      </c>
      <c r="R322" s="585">
        <f t="shared" si="132"/>
        <v>19533</v>
      </c>
      <c r="S322" s="585">
        <f t="shared" si="132"/>
        <v>0</v>
      </c>
      <c r="T322" s="585">
        <f t="shared" si="132"/>
        <v>0</v>
      </c>
      <c r="U322" s="585">
        <f t="shared" si="132"/>
        <v>0</v>
      </c>
      <c r="V322" s="585">
        <f t="shared" si="132"/>
        <v>3695.0018452496597</v>
      </c>
      <c r="W322" s="585">
        <f t="shared" si="132"/>
        <v>0</v>
      </c>
      <c r="X322" s="585">
        <f t="shared" si="132"/>
        <v>0</v>
      </c>
      <c r="Y322" s="585">
        <f t="shared" si="132"/>
        <v>2250.9748427672957</v>
      </c>
      <c r="Z322" s="585">
        <f t="shared" si="132"/>
        <v>25478.976688016952</v>
      </c>
      <c r="AA322" s="585">
        <f t="shared" si="132"/>
        <v>5000</v>
      </c>
      <c r="AB322" s="585">
        <f t="shared" si="132"/>
        <v>1142.6804999999999</v>
      </c>
      <c r="AC322" s="585">
        <f t="shared" si="132"/>
        <v>6142.6804999999995</v>
      </c>
      <c r="AD322" s="585">
        <f t="shared" si="132"/>
        <v>311890.40075620345</v>
      </c>
      <c r="AE322" s="585">
        <f t="shared" si="132"/>
        <v>21658693.539657325</v>
      </c>
      <c r="AF322" s="582">
        <f t="shared" si="132"/>
        <v>0</v>
      </c>
      <c r="AG322" s="582">
        <f t="shared" si="132"/>
        <v>0</v>
      </c>
      <c r="AH322" s="582">
        <f t="shared" si="132"/>
        <v>337</v>
      </c>
      <c r="AI322" s="582">
        <f t="shared" si="132"/>
        <v>21658693.539657325</v>
      </c>
    </row>
    <row r="323" spans="1:35" x14ac:dyDescent="0.2">
      <c r="A323" s="590">
        <v>14</v>
      </c>
      <c r="B323" s="576">
        <v>212</v>
      </c>
      <c r="C323" s="578">
        <v>4471</v>
      </c>
      <c r="D323" s="578"/>
      <c r="E323" s="578"/>
      <c r="F323" s="578"/>
      <c r="G323" s="578">
        <v>785.43660304993148</v>
      </c>
      <c r="H323" s="578"/>
      <c r="I323" s="578"/>
      <c r="J323" s="578">
        <v>455.14150943396226</v>
      </c>
      <c r="K323" s="578">
        <f>SUM(C323:J323)</f>
        <v>5711.5781124838941</v>
      </c>
      <c r="L323" s="578">
        <v>1000</v>
      </c>
      <c r="M323" s="578">
        <v>261.55349999999999</v>
      </c>
      <c r="N323" s="496">
        <f>+M323+L323</f>
        <v>1261.5535</v>
      </c>
      <c r="O323" s="579">
        <f>+(K323*12)+N323</f>
        <v>69800.490849806723</v>
      </c>
      <c r="P323" s="580">
        <f>+O323*B323</f>
        <v>14797704.060159026</v>
      </c>
      <c r="Q323" s="576">
        <v>212</v>
      </c>
      <c r="R323" s="578">
        <v>4471</v>
      </c>
      <c r="S323" s="578"/>
      <c r="T323" s="578"/>
      <c r="U323" s="578"/>
      <c r="V323" s="578">
        <v>785.43660304993148</v>
      </c>
      <c r="W323" s="578"/>
      <c r="X323" s="578"/>
      <c r="Y323" s="578">
        <v>455.14150943396226</v>
      </c>
      <c r="Z323" s="578">
        <f>SUM(R323:Y323)</f>
        <v>5711.5781124838941</v>
      </c>
      <c r="AA323" s="578">
        <v>1000</v>
      </c>
      <c r="AB323" s="578">
        <v>261.55349999999999</v>
      </c>
      <c r="AC323" s="496">
        <f>+AB323+AA323</f>
        <v>1261.5535</v>
      </c>
      <c r="AD323" s="579">
        <f>+(Z323*12)+AC323</f>
        <v>69800.490849806723</v>
      </c>
      <c r="AE323" s="580">
        <f>+AD323*Q323</f>
        <v>14797704.060159026</v>
      </c>
      <c r="AF323" s="580">
        <f>+K323-Z323</f>
        <v>0</v>
      </c>
      <c r="AG323" s="577">
        <f>+P323-AE323</f>
        <v>0</v>
      </c>
      <c r="AH323" s="580">
        <f>+Q323</f>
        <v>212</v>
      </c>
      <c r="AI323" s="577">
        <f>+AE323</f>
        <v>14797704.060159026</v>
      </c>
    </row>
    <row r="324" spans="1:35" x14ac:dyDescent="0.2">
      <c r="A324" s="590">
        <v>13</v>
      </c>
      <c r="B324" s="576">
        <v>4</v>
      </c>
      <c r="C324" s="578">
        <v>4158</v>
      </c>
      <c r="D324" s="578"/>
      <c r="E324" s="578"/>
      <c r="F324" s="578"/>
      <c r="G324" s="578">
        <v>750.64288304993238</v>
      </c>
      <c r="H324" s="578"/>
      <c r="I324" s="578"/>
      <c r="J324" s="578">
        <v>485</v>
      </c>
      <c r="K324" s="578">
        <f>SUM(C324:J324)</f>
        <v>5393.6428830499326</v>
      </c>
      <c r="L324" s="578">
        <v>1000</v>
      </c>
      <c r="M324" s="578">
        <v>243.24300000000002</v>
      </c>
      <c r="N324" s="496">
        <f>+M324+L324</f>
        <v>1243.2429999999999</v>
      </c>
      <c r="O324" s="579">
        <f>+(K324*12)+N324</f>
        <v>65966.957596599197</v>
      </c>
      <c r="P324" s="580">
        <f>+O324*B324</f>
        <v>263867.83038639679</v>
      </c>
      <c r="Q324" s="576">
        <v>4</v>
      </c>
      <c r="R324" s="578">
        <v>4158</v>
      </c>
      <c r="S324" s="578"/>
      <c r="T324" s="578"/>
      <c r="U324" s="578"/>
      <c r="V324" s="578">
        <v>750.64288304993238</v>
      </c>
      <c r="W324" s="578"/>
      <c r="X324" s="578"/>
      <c r="Y324" s="578">
        <v>485</v>
      </c>
      <c r="Z324" s="578">
        <f>SUM(R324:Y324)</f>
        <v>5393.6428830499326</v>
      </c>
      <c r="AA324" s="578">
        <v>1000</v>
      </c>
      <c r="AB324" s="578">
        <v>243.24300000000002</v>
      </c>
      <c r="AC324" s="496">
        <f>+AB324+AA324</f>
        <v>1243.2429999999999</v>
      </c>
      <c r="AD324" s="579">
        <f>+(Z324*12)+AC324</f>
        <v>65966.957596599197</v>
      </c>
      <c r="AE324" s="580">
        <f>+AD324*Q324</f>
        <v>263867.83038639679</v>
      </c>
      <c r="AF324" s="580">
        <f>+K324-Z324</f>
        <v>0</v>
      </c>
      <c r="AG324" s="577">
        <f>+P324-AE324</f>
        <v>0</v>
      </c>
      <c r="AH324" s="580">
        <f>+Q324</f>
        <v>4</v>
      </c>
      <c r="AI324" s="577">
        <f>+AE324</f>
        <v>263867.83038639679</v>
      </c>
    </row>
    <row r="325" spans="1:35" x14ac:dyDescent="0.2">
      <c r="A325" s="590">
        <v>12</v>
      </c>
      <c r="B325" s="576">
        <v>2</v>
      </c>
      <c r="C325" s="578">
        <v>3900</v>
      </c>
      <c r="D325" s="578"/>
      <c r="E325" s="578"/>
      <c r="F325" s="578"/>
      <c r="G325" s="578">
        <v>748.63555304993247</v>
      </c>
      <c r="H325" s="578"/>
      <c r="I325" s="578"/>
      <c r="J325" s="578">
        <v>450</v>
      </c>
      <c r="K325" s="578">
        <f>SUM(C325:J325)</f>
        <v>5098.6355530499322</v>
      </c>
      <c r="L325" s="578">
        <v>1000</v>
      </c>
      <c r="M325" s="578">
        <v>228.15</v>
      </c>
      <c r="N325" s="496">
        <f>+M325+L325</f>
        <v>1228.1500000000001</v>
      </c>
      <c r="O325" s="579">
        <f>+(K325*12)+N325</f>
        <v>62411.776636599192</v>
      </c>
      <c r="P325" s="580">
        <f>+O325*B325</f>
        <v>124823.55327319838</v>
      </c>
      <c r="Q325" s="576">
        <v>2</v>
      </c>
      <c r="R325" s="578">
        <v>3900</v>
      </c>
      <c r="S325" s="578"/>
      <c r="T325" s="578"/>
      <c r="U325" s="578"/>
      <c r="V325" s="578">
        <v>748.63555304993247</v>
      </c>
      <c r="W325" s="578"/>
      <c r="X325" s="578"/>
      <c r="Y325" s="578">
        <v>450</v>
      </c>
      <c r="Z325" s="578">
        <f>SUM(R325:Y325)</f>
        <v>5098.6355530499322</v>
      </c>
      <c r="AA325" s="578">
        <v>1000</v>
      </c>
      <c r="AB325" s="578">
        <v>228.15</v>
      </c>
      <c r="AC325" s="496">
        <f>+AB325+AA325</f>
        <v>1228.1500000000001</v>
      </c>
      <c r="AD325" s="579">
        <f>+(Z325*12)+AC325</f>
        <v>62411.776636599192</v>
      </c>
      <c r="AE325" s="580">
        <f>+AD325*Q325</f>
        <v>124823.55327319838</v>
      </c>
      <c r="AF325" s="580">
        <f>+K325-Z325</f>
        <v>0</v>
      </c>
      <c r="AG325" s="577">
        <f>+P325-AE325</f>
        <v>0</v>
      </c>
      <c r="AH325" s="580">
        <f>+Q325</f>
        <v>2</v>
      </c>
      <c r="AI325" s="577">
        <f>+AE325</f>
        <v>124823.55327319838</v>
      </c>
    </row>
    <row r="326" spans="1:35" x14ac:dyDescent="0.2">
      <c r="A326" s="590">
        <v>11</v>
      </c>
      <c r="B326" s="576">
        <v>6</v>
      </c>
      <c r="C326" s="578">
        <v>3660</v>
      </c>
      <c r="D326" s="578"/>
      <c r="E326" s="578"/>
      <c r="F326" s="578"/>
      <c r="G326" s="578">
        <v>714.51094304993239</v>
      </c>
      <c r="H326" s="578"/>
      <c r="I326" s="578"/>
      <c r="J326" s="578">
        <v>448.33333333333331</v>
      </c>
      <c r="K326" s="578">
        <f>SUM(C326:J326)</f>
        <v>4822.8442763832654</v>
      </c>
      <c r="L326" s="578">
        <v>1000</v>
      </c>
      <c r="M326" s="578">
        <v>214.10999999999999</v>
      </c>
      <c r="N326" s="496">
        <f>+M326+L326</f>
        <v>1214.1099999999999</v>
      </c>
      <c r="O326" s="579">
        <f>+(K326*12)+N326</f>
        <v>59088.241316599189</v>
      </c>
      <c r="P326" s="580">
        <f>+O326*B326</f>
        <v>354529.44789959514</v>
      </c>
      <c r="Q326" s="576">
        <v>6</v>
      </c>
      <c r="R326" s="578">
        <v>3660</v>
      </c>
      <c r="S326" s="578"/>
      <c r="T326" s="578"/>
      <c r="U326" s="578"/>
      <c r="V326" s="578">
        <v>714.51094304993239</v>
      </c>
      <c r="W326" s="578"/>
      <c r="X326" s="578"/>
      <c r="Y326" s="578">
        <v>448.33333333333331</v>
      </c>
      <c r="Z326" s="578">
        <f>SUM(R326:Y326)</f>
        <v>4822.8442763832654</v>
      </c>
      <c r="AA326" s="578">
        <v>1000</v>
      </c>
      <c r="AB326" s="578">
        <v>214.10999999999999</v>
      </c>
      <c r="AC326" s="496">
        <f>+AB326+AA326</f>
        <v>1214.1099999999999</v>
      </c>
      <c r="AD326" s="579">
        <f>+(Z326*12)+AC326</f>
        <v>59088.241316599189</v>
      </c>
      <c r="AE326" s="580">
        <f>+AD326*Q326</f>
        <v>354529.44789959514</v>
      </c>
      <c r="AF326" s="580">
        <f>+K326-Z326</f>
        <v>0</v>
      </c>
      <c r="AG326" s="577">
        <f>+P326-AE326</f>
        <v>0</v>
      </c>
      <c r="AH326" s="580">
        <f>+Q326</f>
        <v>6</v>
      </c>
      <c r="AI326" s="577">
        <f>+AE326</f>
        <v>354529.44789959514</v>
      </c>
    </row>
    <row r="327" spans="1:35" x14ac:dyDescent="0.2">
      <c r="A327" s="590">
        <v>10</v>
      </c>
      <c r="B327" s="576">
        <v>112</v>
      </c>
      <c r="C327" s="578">
        <v>3344</v>
      </c>
      <c r="D327" s="578"/>
      <c r="E327" s="578"/>
      <c r="F327" s="578"/>
      <c r="G327" s="578">
        <v>695.77586304993133</v>
      </c>
      <c r="H327" s="578"/>
      <c r="I327" s="578"/>
      <c r="J327" s="578">
        <v>412.5</v>
      </c>
      <c r="K327" s="578">
        <f>SUM(C327:J327)</f>
        <v>4452.2758630499311</v>
      </c>
      <c r="L327" s="578">
        <v>1000</v>
      </c>
      <c r="M327" s="578">
        <v>195.62399999999982</v>
      </c>
      <c r="N327" s="496">
        <f>+M327+L327</f>
        <v>1195.6239999999998</v>
      </c>
      <c r="O327" s="579">
        <f>+(K327*12)+N327</f>
        <v>54622.934356599173</v>
      </c>
      <c r="P327" s="580">
        <f>+O327*B327</f>
        <v>6117768.6479391074</v>
      </c>
      <c r="Q327" s="576">
        <v>112</v>
      </c>
      <c r="R327" s="578">
        <v>3344</v>
      </c>
      <c r="S327" s="578"/>
      <c r="T327" s="578"/>
      <c r="U327" s="578"/>
      <c r="V327" s="578">
        <v>695.77586304993133</v>
      </c>
      <c r="W327" s="578"/>
      <c r="X327" s="578"/>
      <c r="Y327" s="578">
        <v>412.5</v>
      </c>
      <c r="Z327" s="578">
        <f>SUM(R327:Y327)</f>
        <v>4452.2758630499311</v>
      </c>
      <c r="AA327" s="578">
        <v>1000</v>
      </c>
      <c r="AB327" s="578">
        <v>195.62399999999982</v>
      </c>
      <c r="AC327" s="496">
        <f>+AB327+AA327</f>
        <v>1195.6239999999998</v>
      </c>
      <c r="AD327" s="579">
        <f>+(Z327*12)+AC327</f>
        <v>54622.934356599173</v>
      </c>
      <c r="AE327" s="580">
        <f>+AD327*Q327</f>
        <v>6117768.6479391074</v>
      </c>
      <c r="AF327" s="580">
        <f>+K327-Z327</f>
        <v>0</v>
      </c>
      <c r="AG327" s="577">
        <f>+P327-AE327</f>
        <v>0</v>
      </c>
      <c r="AH327" s="580">
        <v>113</v>
      </c>
      <c r="AI327" s="577">
        <f>+AE327</f>
        <v>6117768.6479391074</v>
      </c>
    </row>
    <row r="328" spans="1:35" x14ac:dyDescent="0.2">
      <c r="A328" s="589" t="s">
        <v>739</v>
      </c>
      <c r="B328" s="582">
        <f t="shared" ref="B328:AI328" si="133">SUM(B329:B333)</f>
        <v>28</v>
      </c>
      <c r="C328" s="585">
        <f t="shared" si="133"/>
        <v>15375</v>
      </c>
      <c r="D328" s="585">
        <f t="shared" si="133"/>
        <v>0</v>
      </c>
      <c r="E328" s="585">
        <f t="shared" si="133"/>
        <v>0</v>
      </c>
      <c r="F328" s="585">
        <f t="shared" si="133"/>
        <v>0</v>
      </c>
      <c r="G328" s="585">
        <f t="shared" si="133"/>
        <v>2944.7234091497976</v>
      </c>
      <c r="H328" s="585">
        <f t="shared" si="133"/>
        <v>0</v>
      </c>
      <c r="I328" s="585">
        <f t="shared" si="133"/>
        <v>0</v>
      </c>
      <c r="J328" s="585">
        <f t="shared" si="133"/>
        <v>1330</v>
      </c>
      <c r="K328" s="585">
        <f t="shared" si="133"/>
        <v>19649.723409149796</v>
      </c>
      <c r="L328" s="585">
        <f t="shared" si="133"/>
        <v>4000</v>
      </c>
      <c r="M328" s="585">
        <f t="shared" si="133"/>
        <v>899.4375</v>
      </c>
      <c r="N328" s="585">
        <f t="shared" si="133"/>
        <v>4899.4375</v>
      </c>
      <c r="O328" s="585">
        <f t="shared" si="133"/>
        <v>240696.11840979755</v>
      </c>
      <c r="P328" s="585">
        <f t="shared" si="133"/>
        <v>1833015.427328178</v>
      </c>
      <c r="Q328" s="582">
        <f t="shared" si="133"/>
        <v>28</v>
      </c>
      <c r="R328" s="585">
        <f t="shared" si="133"/>
        <v>15375</v>
      </c>
      <c r="S328" s="585">
        <f t="shared" si="133"/>
        <v>0</v>
      </c>
      <c r="T328" s="585">
        <f t="shared" si="133"/>
        <v>0</v>
      </c>
      <c r="U328" s="585">
        <f t="shared" si="133"/>
        <v>0</v>
      </c>
      <c r="V328" s="585">
        <f t="shared" si="133"/>
        <v>2944.7234091497976</v>
      </c>
      <c r="W328" s="585">
        <f t="shared" si="133"/>
        <v>0</v>
      </c>
      <c r="X328" s="585">
        <f t="shared" si="133"/>
        <v>0</v>
      </c>
      <c r="Y328" s="585">
        <f t="shared" si="133"/>
        <v>1330</v>
      </c>
      <c r="Z328" s="585">
        <f t="shared" si="133"/>
        <v>19649.723409149796</v>
      </c>
      <c r="AA328" s="585">
        <f t="shared" si="133"/>
        <v>4000</v>
      </c>
      <c r="AB328" s="585">
        <f t="shared" si="133"/>
        <v>899.4375</v>
      </c>
      <c r="AC328" s="585">
        <f t="shared" si="133"/>
        <v>4899.4375</v>
      </c>
      <c r="AD328" s="585">
        <f t="shared" si="133"/>
        <v>240696.11840979755</v>
      </c>
      <c r="AE328" s="585">
        <f t="shared" si="133"/>
        <v>1833015.427328178</v>
      </c>
      <c r="AF328" s="582">
        <f t="shared" si="133"/>
        <v>0</v>
      </c>
      <c r="AG328" s="582">
        <f t="shared" si="133"/>
        <v>0</v>
      </c>
      <c r="AH328" s="582">
        <f t="shared" si="133"/>
        <v>28</v>
      </c>
      <c r="AI328" s="582">
        <f t="shared" si="133"/>
        <v>1833015.427328178</v>
      </c>
    </row>
    <row r="329" spans="1:35" x14ac:dyDescent="0.2">
      <c r="A329" s="590">
        <v>5</v>
      </c>
      <c r="B329" s="576">
        <v>23</v>
      </c>
      <c r="C329" s="578">
        <v>4471</v>
      </c>
      <c r="D329" s="578"/>
      <c r="E329" s="578"/>
      <c r="F329" s="578"/>
      <c r="G329" s="578">
        <v>785.43660304993273</v>
      </c>
      <c r="H329" s="578"/>
      <c r="I329" s="578"/>
      <c r="J329" s="578">
        <v>280</v>
      </c>
      <c r="K329" s="578">
        <f>SUM(C329:J329)</f>
        <v>5536.4366030499332</v>
      </c>
      <c r="L329" s="578">
        <v>1000</v>
      </c>
      <c r="M329" s="578">
        <v>261.55349999999999</v>
      </c>
      <c r="N329" s="496">
        <f>+M329+L329</f>
        <v>1261.5535</v>
      </c>
      <c r="O329" s="579">
        <f>+(K329*12)+N329</f>
        <v>67698.792736599193</v>
      </c>
      <c r="P329" s="580">
        <f>+O329*B329</f>
        <v>1557072.2329417814</v>
      </c>
      <c r="Q329" s="576">
        <v>23</v>
      </c>
      <c r="R329" s="578">
        <v>4471</v>
      </c>
      <c r="S329" s="578"/>
      <c r="T329" s="578"/>
      <c r="U329" s="578"/>
      <c r="V329" s="578">
        <v>785.43660304993273</v>
      </c>
      <c r="W329" s="578"/>
      <c r="X329" s="578"/>
      <c r="Y329" s="578">
        <v>280</v>
      </c>
      <c r="Z329" s="578">
        <f>SUM(R329:Y329)</f>
        <v>5536.4366030499332</v>
      </c>
      <c r="AA329" s="578">
        <v>1000</v>
      </c>
      <c r="AB329" s="578">
        <v>261.55349999999999</v>
      </c>
      <c r="AC329" s="496">
        <f>+AB329+AA329</f>
        <v>1261.5535</v>
      </c>
      <c r="AD329" s="579">
        <f>+(Z329*12)+AC329</f>
        <v>67698.792736599193</v>
      </c>
      <c r="AE329" s="580">
        <f>+AD329*Q329</f>
        <v>1557072.2329417814</v>
      </c>
      <c r="AF329" s="580">
        <f>+K329-Z329</f>
        <v>0</v>
      </c>
      <c r="AG329" s="577">
        <f>+P329-AE329</f>
        <v>0</v>
      </c>
      <c r="AH329" s="580">
        <f>+Q329</f>
        <v>23</v>
      </c>
      <c r="AI329" s="577">
        <f>+AE329</f>
        <v>1557072.2329417814</v>
      </c>
    </row>
    <row r="330" spans="1:35" x14ac:dyDescent="0.2">
      <c r="A330" s="590">
        <v>4</v>
      </c>
      <c r="B330" s="576"/>
      <c r="C330" s="578"/>
      <c r="D330" s="578"/>
      <c r="E330" s="578"/>
      <c r="F330" s="578"/>
      <c r="G330" s="578"/>
      <c r="H330" s="578"/>
      <c r="I330" s="578"/>
      <c r="J330" s="578"/>
      <c r="K330" s="578">
        <f>SUM(C330:J330)</f>
        <v>0</v>
      </c>
      <c r="L330" s="578"/>
      <c r="M330" s="578"/>
      <c r="N330" s="496"/>
      <c r="O330" s="579">
        <f>+(K330*12)+N330</f>
        <v>0</v>
      </c>
      <c r="P330" s="580">
        <f>+O330*B330</f>
        <v>0</v>
      </c>
      <c r="Q330" s="576"/>
      <c r="R330" s="578"/>
      <c r="S330" s="578"/>
      <c r="T330" s="578"/>
      <c r="U330" s="578"/>
      <c r="V330" s="578"/>
      <c r="W330" s="578"/>
      <c r="X330" s="578"/>
      <c r="Y330" s="578"/>
      <c r="Z330" s="578">
        <f>SUM(R330:Y330)</f>
        <v>0</v>
      </c>
      <c r="AA330" s="578"/>
      <c r="AB330" s="578"/>
      <c r="AC330" s="496"/>
      <c r="AD330" s="579">
        <f>+(Z330*12)+AC330</f>
        <v>0</v>
      </c>
      <c r="AE330" s="580">
        <f>+AD330*Q330</f>
        <v>0</v>
      </c>
      <c r="AF330" s="580">
        <f>+K330-Z330</f>
        <v>0</v>
      </c>
      <c r="AG330" s="577">
        <f>+P330-AE330</f>
        <v>0</v>
      </c>
      <c r="AH330" s="580">
        <f>+Q330</f>
        <v>0</v>
      </c>
      <c r="AI330" s="577">
        <f>+AE330</f>
        <v>0</v>
      </c>
    </row>
    <row r="331" spans="1:35" x14ac:dyDescent="0.2">
      <c r="A331" s="590">
        <v>3</v>
      </c>
      <c r="B331" s="576">
        <v>1</v>
      </c>
      <c r="C331" s="578">
        <v>3900</v>
      </c>
      <c r="D331" s="578"/>
      <c r="E331" s="578"/>
      <c r="F331" s="578"/>
      <c r="G331" s="578">
        <v>749</v>
      </c>
      <c r="H331" s="578"/>
      <c r="I331" s="578"/>
      <c r="J331" s="578">
        <v>450</v>
      </c>
      <c r="K331" s="578">
        <f>SUM(C331:J331)</f>
        <v>5099</v>
      </c>
      <c r="L331" s="578">
        <v>1000</v>
      </c>
      <c r="M331" s="578">
        <v>228.15</v>
      </c>
      <c r="N331" s="496">
        <f>+M331+L331</f>
        <v>1228.1500000000001</v>
      </c>
      <c r="O331" s="579">
        <f>+(K331*12)+N331</f>
        <v>62416.15</v>
      </c>
      <c r="P331" s="580">
        <f>+O331*B331</f>
        <v>62416.15</v>
      </c>
      <c r="Q331" s="576">
        <v>1</v>
      </c>
      <c r="R331" s="578">
        <v>3900</v>
      </c>
      <c r="S331" s="578"/>
      <c r="T331" s="578"/>
      <c r="U331" s="578"/>
      <c r="V331" s="578">
        <v>749</v>
      </c>
      <c r="W331" s="578"/>
      <c r="X331" s="578"/>
      <c r="Y331" s="578">
        <v>450</v>
      </c>
      <c r="Z331" s="578">
        <f>SUM(R331:Y331)</f>
        <v>5099</v>
      </c>
      <c r="AA331" s="578">
        <v>1000</v>
      </c>
      <c r="AB331" s="578">
        <v>228.15</v>
      </c>
      <c r="AC331" s="496">
        <f>+AB331+AA331</f>
        <v>1228.1500000000001</v>
      </c>
      <c r="AD331" s="579">
        <f>+(Z331*12)+AC331</f>
        <v>62416.15</v>
      </c>
      <c r="AE331" s="580">
        <f>+AD331*Q331</f>
        <v>62416.15</v>
      </c>
      <c r="AF331" s="580">
        <f>+K331-Z331</f>
        <v>0</v>
      </c>
      <c r="AG331" s="577">
        <f>+P331-AE331</f>
        <v>0</v>
      </c>
      <c r="AH331" s="580">
        <f>+Q331</f>
        <v>1</v>
      </c>
      <c r="AI331" s="577">
        <f>+AE331</f>
        <v>62416.15</v>
      </c>
    </row>
    <row r="332" spans="1:35" x14ac:dyDescent="0.2">
      <c r="A332" s="590">
        <v>2</v>
      </c>
      <c r="B332" s="576">
        <v>1</v>
      </c>
      <c r="C332" s="578">
        <v>3660</v>
      </c>
      <c r="D332" s="578"/>
      <c r="E332" s="578"/>
      <c r="F332" s="578"/>
      <c r="G332" s="578">
        <v>714.51094304993239</v>
      </c>
      <c r="H332" s="578"/>
      <c r="I332" s="578"/>
      <c r="J332" s="578">
        <v>450</v>
      </c>
      <c r="K332" s="578">
        <f>SUM(C332:J332)</f>
        <v>4824.5109430499324</v>
      </c>
      <c r="L332" s="578">
        <v>1000</v>
      </c>
      <c r="M332" s="578">
        <v>214.10999999999999</v>
      </c>
      <c r="N332" s="496">
        <f>+M332+L332</f>
        <v>1214.1099999999999</v>
      </c>
      <c r="O332" s="579">
        <f>+(K332*12)+N332</f>
        <v>59108.241316599189</v>
      </c>
      <c r="P332" s="580">
        <f>+O332*B332</f>
        <v>59108.241316599189</v>
      </c>
      <c r="Q332" s="576">
        <v>1</v>
      </c>
      <c r="R332" s="578">
        <v>3660</v>
      </c>
      <c r="S332" s="578"/>
      <c r="T332" s="578"/>
      <c r="U332" s="578"/>
      <c r="V332" s="578">
        <v>714.51094304993239</v>
      </c>
      <c r="W332" s="578"/>
      <c r="X332" s="578"/>
      <c r="Y332" s="578">
        <v>450</v>
      </c>
      <c r="Z332" s="578">
        <f>SUM(R332:Y332)</f>
        <v>4824.5109430499324</v>
      </c>
      <c r="AA332" s="578">
        <v>1000</v>
      </c>
      <c r="AB332" s="578">
        <v>214.10999999999999</v>
      </c>
      <c r="AC332" s="496">
        <f>+AB332+AA332</f>
        <v>1214.1099999999999</v>
      </c>
      <c r="AD332" s="579">
        <f>+(Z332*12)+AC332</f>
        <v>59108.241316599189</v>
      </c>
      <c r="AE332" s="580">
        <f>+AD332*Q332</f>
        <v>59108.241316599189</v>
      </c>
      <c r="AF332" s="580">
        <f>+K332-Z332</f>
        <v>0</v>
      </c>
      <c r="AG332" s="577">
        <f>+P332-AE332</f>
        <v>0</v>
      </c>
      <c r="AH332" s="580">
        <f>+Q332</f>
        <v>1</v>
      </c>
      <c r="AI332" s="577">
        <f>+AE332</f>
        <v>59108.241316599189</v>
      </c>
    </row>
    <row r="333" spans="1:35" x14ac:dyDescent="0.2">
      <c r="A333" s="590">
        <v>1</v>
      </c>
      <c r="B333" s="576">
        <v>3</v>
      </c>
      <c r="C333" s="591">
        <v>3344</v>
      </c>
      <c r="D333" s="578"/>
      <c r="E333" s="578"/>
      <c r="F333" s="578"/>
      <c r="G333" s="496">
        <v>695.77586304993247</v>
      </c>
      <c r="H333" s="578"/>
      <c r="I333" s="578"/>
      <c r="J333" s="578">
        <v>150</v>
      </c>
      <c r="K333" s="578">
        <f>SUM(C333:J333)</f>
        <v>4189.775863049932</v>
      </c>
      <c r="L333" s="578">
        <v>1000</v>
      </c>
      <c r="M333" s="578">
        <v>195.624</v>
      </c>
      <c r="N333" s="496">
        <f>+M333+L333</f>
        <v>1195.624</v>
      </c>
      <c r="O333" s="579">
        <f>+(K333*12)+N333</f>
        <v>51472.934356599188</v>
      </c>
      <c r="P333" s="580">
        <f>+O333*B333</f>
        <v>154418.80306979758</v>
      </c>
      <c r="Q333" s="576">
        <v>3</v>
      </c>
      <c r="R333" s="591">
        <v>3344</v>
      </c>
      <c r="S333" s="578"/>
      <c r="T333" s="578"/>
      <c r="U333" s="578"/>
      <c r="V333" s="496">
        <v>695.77586304993247</v>
      </c>
      <c r="W333" s="578"/>
      <c r="X333" s="578"/>
      <c r="Y333" s="578">
        <v>150</v>
      </c>
      <c r="Z333" s="578">
        <f>SUM(R333:Y333)</f>
        <v>4189.775863049932</v>
      </c>
      <c r="AA333" s="578">
        <v>1000</v>
      </c>
      <c r="AB333" s="578">
        <v>195.624</v>
      </c>
      <c r="AC333" s="496">
        <f>+AB333+AA333</f>
        <v>1195.624</v>
      </c>
      <c r="AD333" s="579">
        <f>+(Z333*12)+AC333</f>
        <v>51472.934356599188</v>
      </c>
      <c r="AE333" s="580">
        <f>+AD333*Q333</f>
        <v>154418.80306979758</v>
      </c>
      <c r="AF333" s="580">
        <f>+K333-Z333</f>
        <v>0</v>
      </c>
      <c r="AG333" s="577">
        <f>+P333-AE333</f>
        <v>0</v>
      </c>
      <c r="AH333" s="580">
        <f>+Q333</f>
        <v>3</v>
      </c>
      <c r="AI333" s="577">
        <f>+AE333</f>
        <v>154418.80306979758</v>
      </c>
    </row>
    <row r="334" spans="1:35" x14ac:dyDescent="0.2">
      <c r="A334" s="589" t="s">
        <v>740</v>
      </c>
      <c r="B334" s="584">
        <f t="shared" ref="B334:AI334" si="134">SUM(B335:B339)</f>
        <v>11</v>
      </c>
      <c r="C334" s="592">
        <f t="shared" si="134"/>
        <v>15873</v>
      </c>
      <c r="D334" s="592">
        <f t="shared" si="134"/>
        <v>0</v>
      </c>
      <c r="E334" s="592">
        <f t="shared" si="134"/>
        <v>0</v>
      </c>
      <c r="F334" s="592">
        <f t="shared" si="134"/>
        <v>0</v>
      </c>
      <c r="G334" s="592">
        <f t="shared" si="134"/>
        <v>2605.1694606747633</v>
      </c>
      <c r="H334" s="592">
        <f t="shared" si="134"/>
        <v>0</v>
      </c>
      <c r="I334" s="592">
        <f t="shared" si="134"/>
        <v>0</v>
      </c>
      <c r="J334" s="592">
        <f t="shared" si="134"/>
        <v>1110</v>
      </c>
      <c r="K334" s="592">
        <f t="shared" si="134"/>
        <v>19588.169460674762</v>
      </c>
      <c r="L334" s="592">
        <f t="shared" si="134"/>
        <v>4000</v>
      </c>
      <c r="M334" s="592">
        <f t="shared" si="134"/>
        <v>928.57050000000004</v>
      </c>
      <c r="N334" s="592">
        <f t="shared" si="134"/>
        <v>4928.5704999999998</v>
      </c>
      <c r="O334" s="592">
        <f t="shared" si="134"/>
        <v>239986.60402809715</v>
      </c>
      <c r="P334" s="592">
        <f t="shared" si="134"/>
        <v>610283.0029042915</v>
      </c>
      <c r="Q334" s="584">
        <f t="shared" si="134"/>
        <v>11</v>
      </c>
      <c r="R334" s="592">
        <f t="shared" si="134"/>
        <v>15873</v>
      </c>
      <c r="S334" s="592">
        <f t="shared" si="134"/>
        <v>0</v>
      </c>
      <c r="T334" s="592">
        <f t="shared" si="134"/>
        <v>0</v>
      </c>
      <c r="U334" s="592">
        <f t="shared" si="134"/>
        <v>0</v>
      </c>
      <c r="V334" s="592">
        <f t="shared" si="134"/>
        <v>2605.1694606747633</v>
      </c>
      <c r="W334" s="592">
        <f t="shared" si="134"/>
        <v>0</v>
      </c>
      <c r="X334" s="592">
        <f t="shared" si="134"/>
        <v>0</v>
      </c>
      <c r="Y334" s="592">
        <f t="shared" si="134"/>
        <v>1110</v>
      </c>
      <c r="Z334" s="592">
        <f t="shared" si="134"/>
        <v>19588.169460674762</v>
      </c>
      <c r="AA334" s="592">
        <f t="shared" si="134"/>
        <v>4000</v>
      </c>
      <c r="AB334" s="592">
        <f t="shared" si="134"/>
        <v>928.57050000000004</v>
      </c>
      <c r="AC334" s="592">
        <f t="shared" si="134"/>
        <v>4928.5704999999998</v>
      </c>
      <c r="AD334" s="592">
        <f t="shared" si="134"/>
        <v>239986.60402809715</v>
      </c>
      <c r="AE334" s="592">
        <f t="shared" si="134"/>
        <v>610283.0029042915</v>
      </c>
      <c r="AF334" s="584">
        <f t="shared" si="134"/>
        <v>0</v>
      </c>
      <c r="AG334" s="584">
        <f t="shared" si="134"/>
        <v>0</v>
      </c>
      <c r="AH334" s="584">
        <f t="shared" si="134"/>
        <v>11</v>
      </c>
      <c r="AI334" s="584">
        <f t="shared" si="134"/>
        <v>610283.0029042915</v>
      </c>
    </row>
    <row r="335" spans="1:35" x14ac:dyDescent="0.2">
      <c r="A335" s="590" t="s">
        <v>701</v>
      </c>
      <c r="B335" s="576">
        <v>2</v>
      </c>
      <c r="C335" s="578">
        <v>4471</v>
      </c>
      <c r="D335" s="578"/>
      <c r="E335" s="578"/>
      <c r="F335" s="578"/>
      <c r="G335" s="578">
        <v>785.43660304993239</v>
      </c>
      <c r="H335" s="578"/>
      <c r="I335" s="578"/>
      <c r="J335" s="578">
        <v>660</v>
      </c>
      <c r="K335" s="578">
        <f>SUM(C335:J335)</f>
        <v>5916.4366030499323</v>
      </c>
      <c r="L335" s="578">
        <v>1000</v>
      </c>
      <c r="M335" s="578">
        <v>261.55349999999999</v>
      </c>
      <c r="N335" s="496">
        <f>+M335+L335</f>
        <v>1261.5535</v>
      </c>
      <c r="O335" s="579">
        <f>+(K335*12)+N335</f>
        <v>72258.792736599178</v>
      </c>
      <c r="P335" s="580">
        <f>+O335*B335</f>
        <v>144517.58547319836</v>
      </c>
      <c r="Q335" s="576">
        <v>2</v>
      </c>
      <c r="R335" s="578">
        <v>4471</v>
      </c>
      <c r="S335" s="578"/>
      <c r="T335" s="578"/>
      <c r="U335" s="578"/>
      <c r="V335" s="578">
        <v>785.43660304993239</v>
      </c>
      <c r="W335" s="578"/>
      <c r="X335" s="578"/>
      <c r="Y335" s="578">
        <v>660</v>
      </c>
      <c r="Z335" s="578">
        <f>SUM(R335:Y335)</f>
        <v>5916.4366030499323</v>
      </c>
      <c r="AA335" s="578">
        <v>1000</v>
      </c>
      <c r="AB335" s="578">
        <v>261.55349999999999</v>
      </c>
      <c r="AC335" s="496">
        <f>+AB335+AA335</f>
        <v>1261.5535</v>
      </c>
      <c r="AD335" s="579">
        <f>+(Z335*12)+AC335</f>
        <v>72258.792736599178</v>
      </c>
      <c r="AE335" s="580">
        <f>+AD335*Q335</f>
        <v>144517.58547319836</v>
      </c>
      <c r="AF335" s="580"/>
      <c r="AG335" s="577"/>
      <c r="AH335" s="580">
        <f>+Q335</f>
        <v>2</v>
      </c>
      <c r="AI335" s="577">
        <f>+AE335</f>
        <v>144517.58547319836</v>
      </c>
    </row>
    <row r="336" spans="1:35" x14ac:dyDescent="0.2">
      <c r="A336" s="590" t="s">
        <v>702</v>
      </c>
      <c r="B336" s="576">
        <v>1</v>
      </c>
      <c r="C336" s="578">
        <v>4158</v>
      </c>
      <c r="D336" s="578"/>
      <c r="E336" s="578"/>
      <c r="F336" s="578"/>
      <c r="G336" s="578">
        <v>375.32144152496619</v>
      </c>
      <c r="H336" s="578"/>
      <c r="I336" s="578"/>
      <c r="J336" s="578">
        <v>0</v>
      </c>
      <c r="K336" s="578">
        <f>SUM(C336:J336)</f>
        <v>4533.3214415249658</v>
      </c>
      <c r="L336" s="578">
        <v>1000</v>
      </c>
      <c r="M336" s="578">
        <v>243.24300000000002</v>
      </c>
      <c r="N336" s="496">
        <f>+M336+L336</f>
        <v>1243.2429999999999</v>
      </c>
      <c r="O336" s="579">
        <f>+(K336*12)+N336</f>
        <v>55643.100298299592</v>
      </c>
      <c r="P336" s="580">
        <f>+O336*B336</f>
        <v>55643.100298299592</v>
      </c>
      <c r="Q336" s="576">
        <v>1</v>
      </c>
      <c r="R336" s="578">
        <v>4158</v>
      </c>
      <c r="S336" s="578"/>
      <c r="T336" s="578"/>
      <c r="U336" s="578"/>
      <c r="V336" s="578">
        <v>375.32144152496619</v>
      </c>
      <c r="W336" s="578"/>
      <c r="X336" s="578"/>
      <c r="Y336" s="578">
        <v>0</v>
      </c>
      <c r="Z336" s="578">
        <f>SUM(R336:Y336)</f>
        <v>4533.3214415249658</v>
      </c>
      <c r="AA336" s="578">
        <v>1000</v>
      </c>
      <c r="AB336" s="578">
        <v>243.24300000000002</v>
      </c>
      <c r="AC336" s="496">
        <f>+AB336+AA336</f>
        <v>1243.2429999999999</v>
      </c>
      <c r="AD336" s="579">
        <f>+(Z336*12)+AC336</f>
        <v>55643.100298299592</v>
      </c>
      <c r="AE336" s="580">
        <f>+AD336*Q336</f>
        <v>55643.100298299592</v>
      </c>
      <c r="AF336" s="580">
        <f>+K336-Z336</f>
        <v>0</v>
      </c>
      <c r="AG336" s="577">
        <f>+P336-AE336</f>
        <v>0</v>
      </c>
      <c r="AH336" s="580">
        <f>+Q336</f>
        <v>1</v>
      </c>
      <c r="AI336" s="577">
        <f>+AE336</f>
        <v>55643.100298299592</v>
      </c>
    </row>
    <row r="337" spans="1:35" x14ac:dyDescent="0.2">
      <c r="A337" s="590" t="s">
        <v>741</v>
      </c>
      <c r="B337" s="576">
        <v>1</v>
      </c>
      <c r="C337" s="578">
        <v>3900</v>
      </c>
      <c r="D337" s="578"/>
      <c r="E337" s="578"/>
      <c r="F337" s="578"/>
      <c r="G337" s="578">
        <v>748.63555304993247</v>
      </c>
      <c r="H337" s="578"/>
      <c r="I337" s="578"/>
      <c r="J337" s="578">
        <v>450</v>
      </c>
      <c r="K337" s="578">
        <f>SUM(C337:J337)</f>
        <v>5098.6355530499322</v>
      </c>
      <c r="L337" s="578">
        <v>1000</v>
      </c>
      <c r="M337" s="578">
        <v>228.15</v>
      </c>
      <c r="N337" s="496">
        <f>+M337+L337</f>
        <v>1228.1500000000001</v>
      </c>
      <c r="O337" s="579">
        <f>+(K337*12)+N337</f>
        <v>62411.776636599192</v>
      </c>
      <c r="P337" s="580">
        <f>+O337*B337</f>
        <v>62411.776636599192</v>
      </c>
      <c r="Q337" s="576">
        <v>1</v>
      </c>
      <c r="R337" s="578">
        <v>3900</v>
      </c>
      <c r="S337" s="578"/>
      <c r="T337" s="578"/>
      <c r="U337" s="578"/>
      <c r="V337" s="578">
        <v>748.63555304993247</v>
      </c>
      <c r="W337" s="578"/>
      <c r="X337" s="578"/>
      <c r="Y337" s="578">
        <v>450</v>
      </c>
      <c r="Z337" s="578">
        <f>SUM(R337:Y337)</f>
        <v>5098.6355530499322</v>
      </c>
      <c r="AA337" s="578">
        <v>1000</v>
      </c>
      <c r="AB337" s="578">
        <v>228.15</v>
      </c>
      <c r="AC337" s="496">
        <f>+AB337+AA337</f>
        <v>1228.1500000000001</v>
      </c>
      <c r="AD337" s="579">
        <f>+(Z337*12)+AC337</f>
        <v>62411.776636599192</v>
      </c>
      <c r="AE337" s="580">
        <f>+AD337*Q337</f>
        <v>62411.776636599192</v>
      </c>
      <c r="AF337" s="580">
        <f>+K337-Z337</f>
        <v>0</v>
      </c>
      <c r="AG337" s="577">
        <f>+P337-AE337</f>
        <v>0</v>
      </c>
      <c r="AH337" s="580">
        <f>+Q337</f>
        <v>1</v>
      </c>
      <c r="AI337" s="577">
        <f>+AE337</f>
        <v>62411.776636599192</v>
      </c>
    </row>
    <row r="338" spans="1:35" x14ac:dyDescent="0.2">
      <c r="A338" s="590" t="s">
        <v>742</v>
      </c>
      <c r="B338" s="576"/>
      <c r="C338" s="578"/>
      <c r="D338" s="578"/>
      <c r="E338" s="578"/>
      <c r="F338" s="578"/>
      <c r="G338" s="578"/>
      <c r="H338" s="578"/>
      <c r="I338" s="578"/>
      <c r="J338" s="578"/>
      <c r="K338" s="578">
        <f>SUM(C338:J338)</f>
        <v>0</v>
      </c>
      <c r="L338" s="578"/>
      <c r="M338" s="578"/>
      <c r="N338" s="496">
        <f>+M338+L338</f>
        <v>0</v>
      </c>
      <c r="O338" s="579">
        <f>+(K338*12)+N338</f>
        <v>0</v>
      </c>
      <c r="P338" s="580">
        <f>+O338*B338</f>
        <v>0</v>
      </c>
      <c r="Q338" s="576"/>
      <c r="R338" s="578"/>
      <c r="S338" s="578"/>
      <c r="T338" s="578"/>
      <c r="U338" s="578"/>
      <c r="V338" s="578"/>
      <c r="W338" s="578"/>
      <c r="X338" s="578"/>
      <c r="Y338" s="578"/>
      <c r="Z338" s="578">
        <f>SUM(R338:Y338)</f>
        <v>0</v>
      </c>
      <c r="AA338" s="578"/>
      <c r="AB338" s="578"/>
      <c r="AC338" s="496">
        <f>+AB338+AA338</f>
        <v>0</v>
      </c>
      <c r="AD338" s="579">
        <f>+(Z338*12)+AC338</f>
        <v>0</v>
      </c>
      <c r="AE338" s="580">
        <f>+AD338*Q338</f>
        <v>0</v>
      </c>
      <c r="AF338" s="580">
        <f>+K338-Z338</f>
        <v>0</v>
      </c>
      <c r="AG338" s="577">
        <f>+P338-AE338</f>
        <v>0</v>
      </c>
      <c r="AH338" s="580">
        <f>+Q338</f>
        <v>0</v>
      </c>
      <c r="AI338" s="577">
        <f>+AE338</f>
        <v>0</v>
      </c>
    </row>
    <row r="339" spans="1:35" x14ac:dyDescent="0.2">
      <c r="A339" s="590" t="s">
        <v>743</v>
      </c>
      <c r="B339" s="576">
        <v>7</v>
      </c>
      <c r="C339" s="578">
        <v>3344</v>
      </c>
      <c r="D339" s="578"/>
      <c r="E339" s="578"/>
      <c r="F339" s="578"/>
      <c r="G339" s="578">
        <v>695.77586304993247</v>
      </c>
      <c r="H339" s="578"/>
      <c r="I339" s="578"/>
      <c r="J339" s="578">
        <v>0</v>
      </c>
      <c r="K339" s="578">
        <f>SUM(C339:J339)</f>
        <v>4039.7758630499325</v>
      </c>
      <c r="L339" s="578">
        <v>1000</v>
      </c>
      <c r="M339" s="578">
        <v>195.624</v>
      </c>
      <c r="N339" s="496">
        <f>+M339+L339</f>
        <v>1195.624</v>
      </c>
      <c r="O339" s="579">
        <f>+(K339*12)+N339</f>
        <v>49672.934356599195</v>
      </c>
      <c r="P339" s="580">
        <f>+O339*B339</f>
        <v>347710.54049619439</v>
      </c>
      <c r="Q339" s="576">
        <v>7</v>
      </c>
      <c r="R339" s="578">
        <v>3344</v>
      </c>
      <c r="S339" s="578"/>
      <c r="T339" s="578"/>
      <c r="U339" s="578"/>
      <c r="V339" s="578">
        <v>695.77586304993247</v>
      </c>
      <c r="W339" s="578"/>
      <c r="X339" s="578"/>
      <c r="Y339" s="578">
        <v>0</v>
      </c>
      <c r="Z339" s="578">
        <f>SUM(R339:Y339)</f>
        <v>4039.7758630499325</v>
      </c>
      <c r="AA339" s="578">
        <v>1000</v>
      </c>
      <c r="AB339" s="578">
        <v>195.624</v>
      </c>
      <c r="AC339" s="496">
        <f>+AB339+AA339</f>
        <v>1195.624</v>
      </c>
      <c r="AD339" s="579">
        <f>+(Z339*12)+AC339</f>
        <v>49672.934356599195</v>
      </c>
      <c r="AE339" s="580">
        <f>+AD339*Q339</f>
        <v>347710.54049619439</v>
      </c>
      <c r="AF339" s="580">
        <f>+K339-Z339</f>
        <v>0</v>
      </c>
      <c r="AG339" s="577">
        <f>+P339-AE339</f>
        <v>0</v>
      </c>
      <c r="AH339" s="580">
        <f>+Q339</f>
        <v>7</v>
      </c>
      <c r="AI339" s="577">
        <f>+AE339</f>
        <v>347710.54049619439</v>
      </c>
    </row>
    <row r="340" spans="1:35" x14ac:dyDescent="0.2">
      <c r="A340" s="589" t="s">
        <v>744</v>
      </c>
      <c r="B340" s="584">
        <f t="shared" ref="B340:AI340" si="135">SUM(B341:B345)</f>
        <v>6</v>
      </c>
      <c r="C340" s="592">
        <f t="shared" si="135"/>
        <v>8629</v>
      </c>
      <c r="D340" s="592">
        <f t="shared" si="135"/>
        <v>0</v>
      </c>
      <c r="E340" s="592">
        <f t="shared" si="135"/>
        <v>0</v>
      </c>
      <c r="F340" s="592">
        <f t="shared" si="135"/>
        <v>0</v>
      </c>
      <c r="G340" s="592">
        <f t="shared" si="135"/>
        <v>1536.0794860998647</v>
      </c>
      <c r="H340" s="592">
        <f t="shared" si="135"/>
        <v>0</v>
      </c>
      <c r="I340" s="592">
        <f t="shared" si="135"/>
        <v>0</v>
      </c>
      <c r="J340" s="592">
        <f t="shared" si="135"/>
        <v>450</v>
      </c>
      <c r="K340" s="592">
        <f t="shared" si="135"/>
        <v>10615.079486099865</v>
      </c>
      <c r="L340" s="592">
        <f t="shared" si="135"/>
        <v>2000</v>
      </c>
      <c r="M340" s="592">
        <f t="shared" si="135"/>
        <v>0</v>
      </c>
      <c r="N340" s="592">
        <f t="shared" si="135"/>
        <v>2000</v>
      </c>
      <c r="O340" s="592">
        <f t="shared" si="135"/>
        <v>129380.95383319838</v>
      </c>
      <c r="P340" s="592">
        <f t="shared" si="135"/>
        <v>388142.86149959511</v>
      </c>
      <c r="Q340" s="584">
        <f t="shared" si="135"/>
        <v>6</v>
      </c>
      <c r="R340" s="592">
        <f t="shared" si="135"/>
        <v>8629</v>
      </c>
      <c r="S340" s="592">
        <f t="shared" si="135"/>
        <v>0</v>
      </c>
      <c r="T340" s="592">
        <f t="shared" si="135"/>
        <v>0</v>
      </c>
      <c r="U340" s="592">
        <f t="shared" si="135"/>
        <v>0</v>
      </c>
      <c r="V340" s="592">
        <f t="shared" si="135"/>
        <v>1536.0794860998647</v>
      </c>
      <c r="W340" s="592">
        <f t="shared" si="135"/>
        <v>0</v>
      </c>
      <c r="X340" s="592">
        <f t="shared" si="135"/>
        <v>0</v>
      </c>
      <c r="Y340" s="592">
        <f t="shared" si="135"/>
        <v>450</v>
      </c>
      <c r="Z340" s="592">
        <f t="shared" si="135"/>
        <v>10615.079486099865</v>
      </c>
      <c r="AA340" s="592">
        <f t="shared" si="135"/>
        <v>2000</v>
      </c>
      <c r="AB340" s="592">
        <f t="shared" si="135"/>
        <v>0</v>
      </c>
      <c r="AC340" s="592">
        <f t="shared" si="135"/>
        <v>2000</v>
      </c>
      <c r="AD340" s="592">
        <f t="shared" si="135"/>
        <v>129380.95383319838</v>
      </c>
      <c r="AE340" s="592">
        <f t="shared" si="135"/>
        <v>388142.86149959511</v>
      </c>
      <c r="AF340" s="584">
        <f t="shared" si="135"/>
        <v>0</v>
      </c>
      <c r="AG340" s="584">
        <f t="shared" si="135"/>
        <v>0</v>
      </c>
      <c r="AH340" s="584">
        <f t="shared" si="135"/>
        <v>6</v>
      </c>
      <c r="AI340" s="584">
        <f t="shared" si="135"/>
        <v>388142.86149959511</v>
      </c>
    </row>
    <row r="341" spans="1:35" x14ac:dyDescent="0.2">
      <c r="A341" s="590" t="s">
        <v>701</v>
      </c>
      <c r="B341" s="576"/>
      <c r="C341" s="578"/>
      <c r="D341" s="578"/>
      <c r="E341" s="578"/>
      <c r="F341" s="578"/>
      <c r="G341" s="578"/>
      <c r="H341" s="578"/>
      <c r="I341" s="578"/>
      <c r="J341" s="578"/>
      <c r="K341" s="578">
        <f>SUM(C341:J341)</f>
        <v>0</v>
      </c>
      <c r="L341" s="578"/>
      <c r="M341" s="578"/>
      <c r="N341" s="496">
        <f>+M341+L341</f>
        <v>0</v>
      </c>
      <c r="O341" s="579">
        <f>+(K341*12)+N341</f>
        <v>0</v>
      </c>
      <c r="P341" s="580">
        <f>+O341*B341</f>
        <v>0</v>
      </c>
      <c r="Q341" s="576"/>
      <c r="R341" s="578"/>
      <c r="S341" s="578"/>
      <c r="T341" s="578"/>
      <c r="U341" s="578"/>
      <c r="V341" s="578"/>
      <c r="W341" s="578"/>
      <c r="X341" s="578"/>
      <c r="Y341" s="578"/>
      <c r="Z341" s="578">
        <f>SUM(R341:Y341)</f>
        <v>0</v>
      </c>
      <c r="AA341" s="578"/>
      <c r="AB341" s="578"/>
      <c r="AC341" s="496">
        <f>+AB341+AA341</f>
        <v>0</v>
      </c>
      <c r="AD341" s="579">
        <f>+(Z341*12)+AC341</f>
        <v>0</v>
      </c>
      <c r="AE341" s="580">
        <f>+AD341*Q341</f>
        <v>0</v>
      </c>
      <c r="AF341" s="580">
        <f>+K341-Z341</f>
        <v>0</v>
      </c>
      <c r="AG341" s="577">
        <f>+P341-AE341</f>
        <v>0</v>
      </c>
      <c r="AH341" s="580">
        <f>+Q341</f>
        <v>0</v>
      </c>
      <c r="AI341" s="577">
        <f>+AE341</f>
        <v>0</v>
      </c>
    </row>
    <row r="342" spans="1:35" x14ac:dyDescent="0.2">
      <c r="A342" s="590" t="s">
        <v>702</v>
      </c>
      <c r="B342" s="576"/>
      <c r="C342" s="578"/>
      <c r="D342" s="578"/>
      <c r="E342" s="578"/>
      <c r="F342" s="578"/>
      <c r="G342" s="578"/>
      <c r="H342" s="578"/>
      <c r="I342" s="578"/>
      <c r="J342" s="578"/>
      <c r="K342" s="578">
        <f>SUM(C342:J342)</f>
        <v>0</v>
      </c>
      <c r="L342" s="578"/>
      <c r="M342" s="578"/>
      <c r="N342" s="496">
        <f>+M342+L342</f>
        <v>0</v>
      </c>
      <c r="O342" s="579">
        <f>+(K342*12)+N342</f>
        <v>0</v>
      </c>
      <c r="P342" s="580">
        <f>+O342*B342</f>
        <v>0</v>
      </c>
      <c r="Q342" s="576"/>
      <c r="R342" s="578"/>
      <c r="S342" s="578"/>
      <c r="T342" s="578"/>
      <c r="U342" s="578"/>
      <c r="V342" s="578"/>
      <c r="W342" s="578"/>
      <c r="X342" s="578"/>
      <c r="Y342" s="578"/>
      <c r="Z342" s="578">
        <f>SUM(R342:Y342)</f>
        <v>0</v>
      </c>
      <c r="AA342" s="578"/>
      <c r="AB342" s="578"/>
      <c r="AC342" s="496">
        <f>+AB342+AA342</f>
        <v>0</v>
      </c>
      <c r="AD342" s="579">
        <f>+(Z342*12)+AC342</f>
        <v>0</v>
      </c>
      <c r="AE342" s="580">
        <f>+AD342*Q342</f>
        <v>0</v>
      </c>
      <c r="AF342" s="580">
        <f>+K342-Z342</f>
        <v>0</v>
      </c>
      <c r="AG342" s="577">
        <f>+P342-AE342</f>
        <v>0</v>
      </c>
      <c r="AH342" s="580">
        <f>+Q342</f>
        <v>0</v>
      </c>
      <c r="AI342" s="577">
        <f>+AE342</f>
        <v>0</v>
      </c>
    </row>
    <row r="343" spans="1:35" x14ac:dyDescent="0.2">
      <c r="A343" s="590" t="s">
        <v>741</v>
      </c>
      <c r="B343" s="576"/>
      <c r="C343" s="496"/>
      <c r="D343" s="578"/>
      <c r="E343" s="578"/>
      <c r="F343" s="578"/>
      <c r="G343" s="578"/>
      <c r="H343" s="578"/>
      <c r="I343" s="578"/>
      <c r="J343" s="578"/>
      <c r="K343" s="578">
        <f>SUM(C343:J343)</f>
        <v>0</v>
      </c>
      <c r="L343" s="578"/>
      <c r="M343" s="578"/>
      <c r="N343" s="496">
        <f>+M343+L343</f>
        <v>0</v>
      </c>
      <c r="O343" s="579">
        <f>+(K343*12)+N343</f>
        <v>0</v>
      </c>
      <c r="P343" s="580">
        <f>+O343*B343</f>
        <v>0</v>
      </c>
      <c r="Q343" s="576"/>
      <c r="R343" s="496"/>
      <c r="S343" s="578"/>
      <c r="T343" s="578"/>
      <c r="U343" s="578"/>
      <c r="V343" s="578"/>
      <c r="W343" s="578"/>
      <c r="X343" s="578"/>
      <c r="Y343" s="578"/>
      <c r="Z343" s="578">
        <f>SUM(R343:Y343)</f>
        <v>0</v>
      </c>
      <c r="AA343" s="578"/>
      <c r="AB343" s="578"/>
      <c r="AC343" s="496">
        <f>+AB343+AA343</f>
        <v>0</v>
      </c>
      <c r="AD343" s="579">
        <f>+(Z343*12)+AC343</f>
        <v>0</v>
      </c>
      <c r="AE343" s="580">
        <f>+AD343*Q343</f>
        <v>0</v>
      </c>
      <c r="AF343" s="580">
        <f>+K343-Z343</f>
        <v>0</v>
      </c>
      <c r="AG343" s="577">
        <f>+P343-AE343</f>
        <v>0</v>
      </c>
      <c r="AH343" s="580">
        <f>+Q343</f>
        <v>0</v>
      </c>
      <c r="AI343" s="577">
        <f>+AE343</f>
        <v>0</v>
      </c>
    </row>
    <row r="344" spans="1:35" x14ac:dyDescent="0.2">
      <c r="A344" s="590" t="s">
        <v>742</v>
      </c>
      <c r="B344" s="576">
        <v>3</v>
      </c>
      <c r="C344" s="578">
        <v>4471</v>
      </c>
      <c r="D344" s="578"/>
      <c r="E344" s="578"/>
      <c r="F344" s="578"/>
      <c r="G344" s="578">
        <v>785.43660304993239</v>
      </c>
      <c r="H344" s="578"/>
      <c r="I344" s="578"/>
      <c r="J344" s="578">
        <v>300</v>
      </c>
      <c r="K344" s="578">
        <f>SUM(C344:J344)</f>
        <v>5556.4366030499323</v>
      </c>
      <c r="L344" s="578">
        <v>1000</v>
      </c>
      <c r="M344" s="578"/>
      <c r="N344" s="496">
        <f>+M344+L344</f>
        <v>1000</v>
      </c>
      <c r="O344" s="579">
        <f>+(K344*12)+N344</f>
        <v>67677.239236599184</v>
      </c>
      <c r="P344" s="580">
        <f>+O344*B344</f>
        <v>203031.71770979755</v>
      </c>
      <c r="Q344" s="576">
        <v>3</v>
      </c>
      <c r="R344" s="578">
        <v>4471</v>
      </c>
      <c r="S344" s="578"/>
      <c r="T344" s="578"/>
      <c r="U344" s="578"/>
      <c r="V344" s="578">
        <v>785.43660304993239</v>
      </c>
      <c r="W344" s="578"/>
      <c r="X344" s="578"/>
      <c r="Y344" s="578">
        <v>300</v>
      </c>
      <c r="Z344" s="578">
        <f>SUM(R344:Y344)</f>
        <v>5556.4366030499323</v>
      </c>
      <c r="AA344" s="578">
        <v>1000</v>
      </c>
      <c r="AB344" s="578"/>
      <c r="AC344" s="496">
        <f>+AB344+AA344</f>
        <v>1000</v>
      </c>
      <c r="AD344" s="579">
        <f>+(Z344*12)+AC344</f>
        <v>67677.239236599184</v>
      </c>
      <c r="AE344" s="580">
        <f>+AD344*Q344</f>
        <v>203031.71770979755</v>
      </c>
      <c r="AF344" s="580">
        <f>+K344-Z344</f>
        <v>0</v>
      </c>
      <c r="AG344" s="577">
        <f>+P344-AE344</f>
        <v>0</v>
      </c>
      <c r="AH344" s="580">
        <f>+Q344</f>
        <v>3</v>
      </c>
      <c r="AI344" s="577">
        <f>+AE344</f>
        <v>203031.71770979755</v>
      </c>
    </row>
    <row r="345" spans="1:35" x14ac:dyDescent="0.2">
      <c r="A345" s="590" t="s">
        <v>743</v>
      </c>
      <c r="B345" s="576">
        <v>3</v>
      </c>
      <c r="C345" s="578">
        <v>4158</v>
      </c>
      <c r="D345" s="578"/>
      <c r="E345" s="578"/>
      <c r="F345" s="578"/>
      <c r="G345" s="578">
        <v>750.64288304993227</v>
      </c>
      <c r="H345" s="578"/>
      <c r="I345" s="578"/>
      <c r="J345" s="578">
        <v>150</v>
      </c>
      <c r="K345" s="578">
        <f>SUM(C345:J345)</f>
        <v>5058.6428830499326</v>
      </c>
      <c r="L345" s="578">
        <v>1000</v>
      </c>
      <c r="M345" s="578"/>
      <c r="N345" s="496">
        <f>+M345+L345</f>
        <v>1000</v>
      </c>
      <c r="O345" s="579">
        <f>+(K345*12)+N345</f>
        <v>61703.714596599195</v>
      </c>
      <c r="P345" s="580">
        <f>+O345*B345</f>
        <v>185111.14378979758</v>
      </c>
      <c r="Q345" s="576">
        <v>3</v>
      </c>
      <c r="R345" s="578">
        <v>4158</v>
      </c>
      <c r="S345" s="578"/>
      <c r="T345" s="578"/>
      <c r="U345" s="578"/>
      <c r="V345" s="578">
        <v>750.64288304993227</v>
      </c>
      <c r="W345" s="578"/>
      <c r="X345" s="578"/>
      <c r="Y345" s="578">
        <v>150</v>
      </c>
      <c r="Z345" s="578">
        <f>SUM(R345:Y345)</f>
        <v>5058.6428830499326</v>
      </c>
      <c r="AA345" s="578">
        <v>1000</v>
      </c>
      <c r="AB345" s="578"/>
      <c r="AC345" s="496">
        <f>+AB345+AA345</f>
        <v>1000</v>
      </c>
      <c r="AD345" s="579">
        <f>+(Z345*12)+AC345</f>
        <v>61703.714596599195</v>
      </c>
      <c r="AE345" s="580">
        <f>+AD345*Q345</f>
        <v>185111.14378979758</v>
      </c>
      <c r="AF345" s="580">
        <f>+K345-Z345</f>
        <v>0</v>
      </c>
      <c r="AG345" s="577">
        <f>+P345-AE345</f>
        <v>0</v>
      </c>
      <c r="AH345" s="580">
        <f>+Q345</f>
        <v>3</v>
      </c>
      <c r="AI345" s="577">
        <f>+AE345</f>
        <v>185111.14378979758</v>
      </c>
    </row>
    <row r="346" spans="1:35" x14ac:dyDescent="0.2">
      <c r="A346" s="589" t="s">
        <v>745</v>
      </c>
      <c r="B346" s="584">
        <f t="shared" ref="B346:AI346" si="136">SUM(B347:B351)</f>
        <v>80</v>
      </c>
      <c r="C346" s="592">
        <f t="shared" si="136"/>
        <v>15375</v>
      </c>
      <c r="D346" s="592">
        <f t="shared" si="136"/>
        <v>0</v>
      </c>
      <c r="E346" s="592">
        <f t="shared" si="136"/>
        <v>0</v>
      </c>
      <c r="F346" s="592">
        <f t="shared" si="136"/>
        <v>0</v>
      </c>
      <c r="G346" s="592">
        <f t="shared" si="136"/>
        <v>2944.0249081456764</v>
      </c>
      <c r="H346" s="592">
        <f t="shared" si="136"/>
        <v>0</v>
      </c>
      <c r="I346" s="592">
        <f t="shared" si="136"/>
        <v>0</v>
      </c>
      <c r="J346" s="592">
        <f t="shared" si="136"/>
        <v>917</v>
      </c>
      <c r="K346" s="592">
        <f t="shared" si="136"/>
        <v>19236.024908145675</v>
      </c>
      <c r="L346" s="592">
        <f t="shared" si="136"/>
        <v>4000</v>
      </c>
      <c r="M346" s="592">
        <f t="shared" si="136"/>
        <v>899.43749999999989</v>
      </c>
      <c r="N346" s="592">
        <f t="shared" si="136"/>
        <v>4899.4375</v>
      </c>
      <c r="O346" s="592">
        <f t="shared" si="136"/>
        <v>235731.73639774811</v>
      </c>
      <c r="P346" s="592">
        <f t="shared" si="136"/>
        <v>4568757.3972079344</v>
      </c>
      <c r="Q346" s="584">
        <f t="shared" si="136"/>
        <v>80</v>
      </c>
      <c r="R346" s="592">
        <f t="shared" si="136"/>
        <v>15375</v>
      </c>
      <c r="S346" s="592">
        <f t="shared" si="136"/>
        <v>0</v>
      </c>
      <c r="T346" s="592">
        <f t="shared" si="136"/>
        <v>0</v>
      </c>
      <c r="U346" s="592">
        <f t="shared" si="136"/>
        <v>0</v>
      </c>
      <c r="V346" s="592">
        <f t="shared" si="136"/>
        <v>2944.0249081456764</v>
      </c>
      <c r="W346" s="592">
        <f t="shared" si="136"/>
        <v>0</v>
      </c>
      <c r="X346" s="592">
        <f t="shared" si="136"/>
        <v>0</v>
      </c>
      <c r="Y346" s="592">
        <f t="shared" si="136"/>
        <v>917</v>
      </c>
      <c r="Z346" s="592">
        <f t="shared" si="136"/>
        <v>19236.024908145675</v>
      </c>
      <c r="AA346" s="592">
        <f t="shared" si="136"/>
        <v>4000</v>
      </c>
      <c r="AB346" s="592">
        <f t="shared" si="136"/>
        <v>899.43749999999989</v>
      </c>
      <c r="AC346" s="592">
        <f t="shared" si="136"/>
        <v>4899.4375</v>
      </c>
      <c r="AD346" s="592">
        <f t="shared" si="136"/>
        <v>235731.73639774811</v>
      </c>
      <c r="AE346" s="592">
        <f t="shared" si="136"/>
        <v>4568757.3972079344</v>
      </c>
      <c r="AF346" s="584">
        <f t="shared" si="136"/>
        <v>0</v>
      </c>
      <c r="AG346" s="584">
        <f t="shared" si="136"/>
        <v>0</v>
      </c>
      <c r="AH346" s="584">
        <f t="shared" si="136"/>
        <v>80</v>
      </c>
      <c r="AI346" s="584">
        <f t="shared" si="136"/>
        <v>4568757.3972079344</v>
      </c>
    </row>
    <row r="347" spans="1:35" x14ac:dyDescent="0.2">
      <c r="A347" s="590" t="s">
        <v>746</v>
      </c>
      <c r="B347" s="576">
        <v>24</v>
      </c>
      <c r="C347" s="578">
        <v>4471</v>
      </c>
      <c r="D347" s="578"/>
      <c r="E347" s="578"/>
      <c r="F347" s="578"/>
      <c r="G347" s="578">
        <v>785.43660304993273</v>
      </c>
      <c r="H347" s="578"/>
      <c r="I347" s="578"/>
      <c r="J347" s="578">
        <v>172</v>
      </c>
      <c r="K347" s="578">
        <f>SUM(C347:J347)</f>
        <v>5428.4366030499332</v>
      </c>
      <c r="L347" s="578">
        <v>1000</v>
      </c>
      <c r="M347" s="578">
        <v>261.55349999999999</v>
      </c>
      <c r="N347" s="496">
        <f>+M347+L347</f>
        <v>1261.5535</v>
      </c>
      <c r="O347" s="579">
        <f>+(K347*12)+N347</f>
        <v>66402.792736599193</v>
      </c>
      <c r="P347" s="580">
        <f>+O347*B347</f>
        <v>1593667.0256783806</v>
      </c>
      <c r="Q347" s="576">
        <v>24</v>
      </c>
      <c r="R347" s="578">
        <v>4471</v>
      </c>
      <c r="S347" s="578"/>
      <c r="T347" s="578"/>
      <c r="U347" s="578"/>
      <c r="V347" s="578">
        <v>785.43660304993273</v>
      </c>
      <c r="W347" s="578"/>
      <c r="X347" s="578"/>
      <c r="Y347" s="578">
        <v>172</v>
      </c>
      <c r="Z347" s="578">
        <f>SUM(R347:Y347)</f>
        <v>5428.4366030499332</v>
      </c>
      <c r="AA347" s="578">
        <v>1000</v>
      </c>
      <c r="AB347" s="578">
        <v>261.55349999999999</v>
      </c>
      <c r="AC347" s="496">
        <f>+AB347+AA347</f>
        <v>1261.5535</v>
      </c>
      <c r="AD347" s="579">
        <f>+(Z347*12)+AC347</f>
        <v>66402.792736599193</v>
      </c>
      <c r="AE347" s="580">
        <f>+AD347*Q347</f>
        <v>1593667.0256783806</v>
      </c>
      <c r="AF347" s="580">
        <f>+K347-Z347</f>
        <v>0</v>
      </c>
      <c r="AG347" s="577">
        <f>+P347-AE347</f>
        <v>0</v>
      </c>
      <c r="AH347" s="580">
        <f>+Q347</f>
        <v>24</v>
      </c>
      <c r="AI347" s="577">
        <f>+AE347</f>
        <v>1593667.0256783806</v>
      </c>
    </row>
    <row r="348" spans="1:35" x14ac:dyDescent="0.2">
      <c r="A348" s="590" t="s">
        <v>747</v>
      </c>
      <c r="B348" s="576"/>
      <c r="C348" s="578"/>
      <c r="D348" s="578"/>
      <c r="E348" s="578"/>
      <c r="F348" s="578"/>
      <c r="G348" s="578"/>
      <c r="H348" s="578"/>
      <c r="I348" s="578"/>
      <c r="J348" s="578"/>
      <c r="K348" s="578">
        <f>SUM(C348:J348)</f>
        <v>0</v>
      </c>
      <c r="L348" s="578"/>
      <c r="M348" s="578"/>
      <c r="N348" s="496">
        <f>+M348+L348</f>
        <v>0</v>
      </c>
      <c r="O348" s="579">
        <f>+(K348*12)+N348</f>
        <v>0</v>
      </c>
      <c r="P348" s="580">
        <f>+O348*B348</f>
        <v>0</v>
      </c>
      <c r="Q348" s="576"/>
      <c r="R348" s="578"/>
      <c r="S348" s="578"/>
      <c r="T348" s="578"/>
      <c r="U348" s="578"/>
      <c r="V348" s="578"/>
      <c r="W348" s="578"/>
      <c r="X348" s="578"/>
      <c r="Y348" s="578"/>
      <c r="Z348" s="578">
        <f>SUM(R348:Y348)</f>
        <v>0</v>
      </c>
      <c r="AA348" s="578"/>
      <c r="AB348" s="578"/>
      <c r="AC348" s="496">
        <f>+AB348+AA348</f>
        <v>0</v>
      </c>
      <c r="AD348" s="579">
        <f>+(Z348*12)+AC348</f>
        <v>0</v>
      </c>
      <c r="AE348" s="580">
        <f>+AD348*Q348</f>
        <v>0</v>
      </c>
      <c r="AF348" s="580">
        <f>+K348-Z348</f>
        <v>0</v>
      </c>
      <c r="AG348" s="577">
        <f>+P348-AE348</f>
        <v>0</v>
      </c>
      <c r="AH348" s="580">
        <f>+Q348</f>
        <v>0</v>
      </c>
      <c r="AI348" s="577">
        <f>+AE348</f>
        <v>0</v>
      </c>
    </row>
    <row r="349" spans="1:35" x14ac:dyDescent="0.2">
      <c r="A349" s="590" t="s">
        <v>748</v>
      </c>
      <c r="B349" s="576">
        <v>1</v>
      </c>
      <c r="C349" s="578">
        <v>3900</v>
      </c>
      <c r="D349" s="578"/>
      <c r="E349" s="578"/>
      <c r="F349" s="578"/>
      <c r="G349" s="578">
        <v>748.63555304993247</v>
      </c>
      <c r="H349" s="578"/>
      <c r="I349" s="578"/>
      <c r="J349" s="578">
        <v>450</v>
      </c>
      <c r="K349" s="578">
        <f>SUM(C349:J349)</f>
        <v>5098.6355530499322</v>
      </c>
      <c r="L349" s="578">
        <v>1000</v>
      </c>
      <c r="M349" s="578">
        <v>228.15</v>
      </c>
      <c r="N349" s="496">
        <f>+M349+L349</f>
        <v>1228.1500000000001</v>
      </c>
      <c r="O349" s="579">
        <f>+(K349*12)+N349</f>
        <v>62411.776636599192</v>
      </c>
      <c r="P349" s="580">
        <f>+O349*B349</f>
        <v>62411.776636599192</v>
      </c>
      <c r="Q349" s="576">
        <v>1</v>
      </c>
      <c r="R349" s="578">
        <v>3900</v>
      </c>
      <c r="S349" s="578"/>
      <c r="T349" s="578"/>
      <c r="U349" s="578"/>
      <c r="V349" s="578">
        <v>748.63555304993247</v>
      </c>
      <c r="W349" s="578"/>
      <c r="X349" s="578"/>
      <c r="Y349" s="578">
        <v>450</v>
      </c>
      <c r="Z349" s="578">
        <f>SUM(R349:Y349)</f>
        <v>5098.6355530499322</v>
      </c>
      <c r="AA349" s="578">
        <v>1000</v>
      </c>
      <c r="AB349" s="578">
        <v>228.15</v>
      </c>
      <c r="AC349" s="496">
        <f>+AB349+AA349</f>
        <v>1228.1500000000001</v>
      </c>
      <c r="AD349" s="579">
        <f>+(Z349*12)+AC349</f>
        <v>62411.776636599192</v>
      </c>
      <c r="AE349" s="580">
        <f>+AD349*Q349</f>
        <v>62411.776636599192</v>
      </c>
      <c r="AF349" s="580">
        <f>+K349-Z349</f>
        <v>0</v>
      </c>
      <c r="AG349" s="577">
        <f>+P349-AE349</f>
        <v>0</v>
      </c>
      <c r="AH349" s="580">
        <f>+Q349</f>
        <v>1</v>
      </c>
      <c r="AI349" s="577">
        <f>+AE349</f>
        <v>62411.776636599192</v>
      </c>
    </row>
    <row r="350" spans="1:35" x14ac:dyDescent="0.2">
      <c r="A350" s="590" t="s">
        <v>701</v>
      </c>
      <c r="B350" s="576">
        <v>18</v>
      </c>
      <c r="C350" s="578">
        <v>3660</v>
      </c>
      <c r="D350" s="578"/>
      <c r="E350" s="578"/>
      <c r="F350" s="578"/>
      <c r="G350" s="578">
        <v>714.51094304993239</v>
      </c>
      <c r="H350" s="578"/>
      <c r="I350" s="578"/>
      <c r="J350" s="578">
        <v>100</v>
      </c>
      <c r="K350" s="578">
        <f>SUM(C350:J350)</f>
        <v>4474.5109430499324</v>
      </c>
      <c r="L350" s="578">
        <v>1000</v>
      </c>
      <c r="M350" s="578">
        <v>214.11</v>
      </c>
      <c r="N350" s="496">
        <f>+M350+L350</f>
        <v>1214.1100000000001</v>
      </c>
      <c r="O350" s="579">
        <f>+(K350*12)+N350</f>
        <v>54908.241316599189</v>
      </c>
      <c r="P350" s="580">
        <f>+O350*B350</f>
        <v>988348.34369878541</v>
      </c>
      <c r="Q350" s="576">
        <v>18</v>
      </c>
      <c r="R350" s="578">
        <v>3660</v>
      </c>
      <c r="S350" s="578"/>
      <c r="T350" s="578"/>
      <c r="U350" s="578"/>
      <c r="V350" s="578">
        <v>714.51094304993239</v>
      </c>
      <c r="W350" s="578"/>
      <c r="X350" s="578"/>
      <c r="Y350" s="578">
        <v>100</v>
      </c>
      <c r="Z350" s="578">
        <f>SUM(R350:Y350)</f>
        <v>4474.5109430499324</v>
      </c>
      <c r="AA350" s="578">
        <v>1000</v>
      </c>
      <c r="AB350" s="578">
        <v>214.11</v>
      </c>
      <c r="AC350" s="496">
        <f>+AB350+AA350</f>
        <v>1214.1100000000001</v>
      </c>
      <c r="AD350" s="579">
        <f>+(Z350*12)+AC350</f>
        <v>54908.241316599189</v>
      </c>
      <c r="AE350" s="580">
        <f>+AD350*Q350</f>
        <v>988348.34369878541</v>
      </c>
      <c r="AF350" s="580">
        <f>+K350-Z350</f>
        <v>0</v>
      </c>
      <c r="AG350" s="577">
        <f>+P350-AE350</f>
        <v>0</v>
      </c>
      <c r="AH350" s="580">
        <f>+Q350</f>
        <v>18</v>
      </c>
      <c r="AI350" s="577">
        <f>+AE350</f>
        <v>988348.34369878541</v>
      </c>
    </row>
    <row r="351" spans="1:35" x14ac:dyDescent="0.2">
      <c r="A351" s="590" t="s">
        <v>702</v>
      </c>
      <c r="B351" s="576">
        <v>37</v>
      </c>
      <c r="C351" s="578">
        <v>3344</v>
      </c>
      <c r="D351" s="578"/>
      <c r="E351" s="578"/>
      <c r="F351" s="578"/>
      <c r="G351" s="578">
        <v>695.44180899587866</v>
      </c>
      <c r="H351" s="578"/>
      <c r="I351" s="578"/>
      <c r="J351" s="578">
        <v>195</v>
      </c>
      <c r="K351" s="578">
        <f>SUM(C351:J351)</f>
        <v>4234.4418089958781</v>
      </c>
      <c r="L351" s="578">
        <v>1000</v>
      </c>
      <c r="M351" s="578">
        <v>195.62399999999988</v>
      </c>
      <c r="N351" s="496">
        <f>+M351+L351</f>
        <v>1195.6239999999998</v>
      </c>
      <c r="O351" s="579">
        <f>+(K351*12)+N351</f>
        <v>52008.925707950533</v>
      </c>
      <c r="P351" s="580">
        <f>+O351*B351</f>
        <v>1924330.2511941697</v>
      </c>
      <c r="Q351" s="576">
        <v>37</v>
      </c>
      <c r="R351" s="578">
        <v>3344</v>
      </c>
      <c r="S351" s="578"/>
      <c r="T351" s="578"/>
      <c r="U351" s="578"/>
      <c r="V351" s="578">
        <v>695.44180899587866</v>
      </c>
      <c r="W351" s="578"/>
      <c r="X351" s="578"/>
      <c r="Y351" s="578">
        <v>195</v>
      </c>
      <c r="Z351" s="578">
        <f>SUM(R351:Y351)</f>
        <v>4234.4418089958781</v>
      </c>
      <c r="AA351" s="578">
        <v>1000</v>
      </c>
      <c r="AB351" s="578">
        <v>195.62399999999988</v>
      </c>
      <c r="AC351" s="496">
        <f>+AB351+AA351</f>
        <v>1195.6239999999998</v>
      </c>
      <c r="AD351" s="579">
        <f>+(Z351*12)+AC351</f>
        <v>52008.925707950533</v>
      </c>
      <c r="AE351" s="580">
        <f>+AD351*Q351</f>
        <v>1924330.2511941697</v>
      </c>
      <c r="AF351" s="580">
        <f>+K351-Z351</f>
        <v>0</v>
      </c>
      <c r="AG351" s="577">
        <f>+P351-AE351</f>
        <v>0</v>
      </c>
      <c r="AH351" s="580">
        <f>+Q351</f>
        <v>37</v>
      </c>
      <c r="AI351" s="577">
        <f>+AE351</f>
        <v>1924330.2511941697</v>
      </c>
    </row>
    <row r="352" spans="1:35" x14ac:dyDescent="0.2">
      <c r="A352" s="593" t="s">
        <v>749</v>
      </c>
      <c r="B352" s="584">
        <f t="shared" ref="B352:AI352" si="137">SUM(B353:B357)</f>
        <v>7</v>
      </c>
      <c r="C352" s="592">
        <f t="shared" si="137"/>
        <v>5614</v>
      </c>
      <c r="D352" s="592">
        <f t="shared" si="137"/>
        <v>0</v>
      </c>
      <c r="E352" s="592">
        <f t="shared" si="137"/>
        <v>0</v>
      </c>
      <c r="F352" s="592">
        <f t="shared" si="137"/>
        <v>0</v>
      </c>
      <c r="G352" s="592">
        <f t="shared" si="137"/>
        <v>1468.9501527665316</v>
      </c>
      <c r="H352" s="592">
        <f t="shared" si="137"/>
        <v>0</v>
      </c>
      <c r="I352" s="592">
        <f t="shared" si="137"/>
        <v>0</v>
      </c>
      <c r="J352" s="592">
        <f t="shared" si="137"/>
        <v>0</v>
      </c>
      <c r="K352" s="592">
        <f t="shared" si="137"/>
        <v>7082.9501527665316</v>
      </c>
      <c r="L352" s="592">
        <f t="shared" si="137"/>
        <v>2000</v>
      </c>
      <c r="M352" s="592">
        <f t="shared" si="137"/>
        <v>276.41250000000002</v>
      </c>
      <c r="N352" s="592">
        <f t="shared" si="137"/>
        <v>2276.4125000000004</v>
      </c>
      <c r="O352" s="592">
        <f t="shared" si="137"/>
        <v>87271.814333198388</v>
      </c>
      <c r="P352" s="592">
        <f t="shared" si="137"/>
        <v>324988.68641619437</v>
      </c>
      <c r="Q352" s="584">
        <f t="shared" si="137"/>
        <v>7</v>
      </c>
      <c r="R352" s="592">
        <f t="shared" si="137"/>
        <v>5614</v>
      </c>
      <c r="S352" s="592">
        <f t="shared" si="137"/>
        <v>0</v>
      </c>
      <c r="T352" s="592">
        <f t="shared" si="137"/>
        <v>0</v>
      </c>
      <c r="U352" s="592">
        <f t="shared" si="137"/>
        <v>0</v>
      </c>
      <c r="V352" s="592">
        <f t="shared" si="137"/>
        <v>1468.9501527665316</v>
      </c>
      <c r="W352" s="592">
        <f t="shared" si="137"/>
        <v>0</v>
      </c>
      <c r="X352" s="592">
        <f t="shared" si="137"/>
        <v>0</v>
      </c>
      <c r="Y352" s="592">
        <f t="shared" si="137"/>
        <v>0</v>
      </c>
      <c r="Z352" s="592">
        <f t="shared" si="137"/>
        <v>7082.9501527665316</v>
      </c>
      <c r="AA352" s="592">
        <f t="shared" si="137"/>
        <v>2000</v>
      </c>
      <c r="AB352" s="592">
        <f t="shared" si="137"/>
        <v>276.41250000000002</v>
      </c>
      <c r="AC352" s="592">
        <f t="shared" si="137"/>
        <v>2276.4125000000004</v>
      </c>
      <c r="AD352" s="592">
        <f t="shared" si="137"/>
        <v>87271.814333198388</v>
      </c>
      <c r="AE352" s="592">
        <f t="shared" si="137"/>
        <v>324988.68641619437</v>
      </c>
      <c r="AF352" s="584">
        <f t="shared" si="137"/>
        <v>0</v>
      </c>
      <c r="AG352" s="584">
        <f t="shared" si="137"/>
        <v>0</v>
      </c>
      <c r="AH352" s="584">
        <f t="shared" si="137"/>
        <v>7</v>
      </c>
      <c r="AI352" s="584">
        <f t="shared" si="137"/>
        <v>324988.68641619437</v>
      </c>
    </row>
    <row r="353" spans="1:35" x14ac:dyDescent="0.2">
      <c r="A353" s="590" t="s">
        <v>701</v>
      </c>
      <c r="B353" s="576">
        <v>6</v>
      </c>
      <c r="C353" s="578">
        <f>2371+127*6</f>
        <v>3133</v>
      </c>
      <c r="D353" s="578"/>
      <c r="E353" s="578"/>
      <c r="F353" s="578"/>
      <c r="G353" s="578">
        <v>734.0559097165991</v>
      </c>
      <c r="H353" s="578"/>
      <c r="I353" s="578"/>
      <c r="J353" s="578"/>
      <c r="K353" s="578">
        <f>SUM(C353:J353)</f>
        <v>3867.0559097165992</v>
      </c>
      <c r="L353" s="578">
        <v>1000</v>
      </c>
      <c r="M353" s="578">
        <v>138.70349999999999</v>
      </c>
      <c r="N353" s="496">
        <f>+M353+L353</f>
        <v>1138.7035000000001</v>
      </c>
      <c r="O353" s="579">
        <f>+(K353*12)+N353</f>
        <v>47543.374416599196</v>
      </c>
      <c r="P353" s="580">
        <f>+O353*B353</f>
        <v>285260.24649959517</v>
      </c>
      <c r="Q353" s="576">
        <v>6</v>
      </c>
      <c r="R353" s="578">
        <f>2371+127*6</f>
        <v>3133</v>
      </c>
      <c r="S353" s="578"/>
      <c r="T353" s="578"/>
      <c r="U353" s="578"/>
      <c r="V353" s="578">
        <v>734.0559097165991</v>
      </c>
      <c r="W353" s="578"/>
      <c r="X353" s="578"/>
      <c r="Y353" s="578"/>
      <c r="Z353" s="578">
        <f>SUM(R353:Y353)</f>
        <v>3867.0559097165992</v>
      </c>
      <c r="AA353" s="578">
        <v>1000</v>
      </c>
      <c r="AB353" s="578">
        <v>138.70349999999999</v>
      </c>
      <c r="AC353" s="496">
        <f>+AB353+AA353</f>
        <v>1138.7035000000001</v>
      </c>
      <c r="AD353" s="579">
        <f>+(Z353*12)+AC353</f>
        <v>47543.374416599196</v>
      </c>
      <c r="AE353" s="580">
        <f>+AD353*Q353</f>
        <v>285260.24649959517</v>
      </c>
      <c r="AF353" s="580">
        <f>+K353-Z353</f>
        <v>0</v>
      </c>
      <c r="AG353" s="577">
        <f>+P353-AE353</f>
        <v>0</v>
      </c>
      <c r="AH353" s="580">
        <f>+Q353</f>
        <v>6</v>
      </c>
      <c r="AI353" s="577">
        <f>+AE353</f>
        <v>285260.24649959517</v>
      </c>
    </row>
    <row r="354" spans="1:35" x14ac:dyDescent="0.2">
      <c r="A354" s="590" t="s">
        <v>702</v>
      </c>
      <c r="B354" s="576"/>
      <c r="C354" s="578"/>
      <c r="D354" s="578"/>
      <c r="E354" s="578"/>
      <c r="F354" s="578"/>
      <c r="G354" s="578"/>
      <c r="H354" s="578"/>
      <c r="I354" s="578"/>
      <c r="J354" s="578"/>
      <c r="K354" s="578">
        <f>SUM(C354:J354)</f>
        <v>0</v>
      </c>
      <c r="L354" s="578"/>
      <c r="M354" s="578"/>
      <c r="N354" s="496">
        <f>+M354+L354</f>
        <v>0</v>
      </c>
      <c r="O354" s="579">
        <f>+(K354*12)+N354</f>
        <v>0</v>
      </c>
      <c r="P354" s="580">
        <f>+O354*B354</f>
        <v>0</v>
      </c>
      <c r="Q354" s="576"/>
      <c r="R354" s="578"/>
      <c r="S354" s="578"/>
      <c r="T354" s="578"/>
      <c r="U354" s="578"/>
      <c r="V354" s="578"/>
      <c r="W354" s="578"/>
      <c r="X354" s="578"/>
      <c r="Y354" s="578"/>
      <c r="Z354" s="578">
        <f>SUM(R354:Y354)</f>
        <v>0</v>
      </c>
      <c r="AA354" s="578"/>
      <c r="AB354" s="578"/>
      <c r="AC354" s="496">
        <f>+AB354+AA354</f>
        <v>0</v>
      </c>
      <c r="AD354" s="579">
        <f>+(Z354*12)+AC354</f>
        <v>0</v>
      </c>
      <c r="AE354" s="580">
        <f>+AD354*Q354</f>
        <v>0</v>
      </c>
      <c r="AF354" s="580">
        <f>+K354-Z354</f>
        <v>0</v>
      </c>
      <c r="AG354" s="577">
        <f>+P354-AE354</f>
        <v>0</v>
      </c>
      <c r="AH354" s="580">
        <f>+Q354</f>
        <v>0</v>
      </c>
      <c r="AI354" s="577">
        <f>+AE354</f>
        <v>0</v>
      </c>
    </row>
    <row r="355" spans="1:35" x14ac:dyDescent="0.2">
      <c r="A355" s="590" t="s">
        <v>741</v>
      </c>
      <c r="B355" s="576">
        <v>1</v>
      </c>
      <c r="C355" s="578">
        <f>2354+127</f>
        <v>2481</v>
      </c>
      <c r="D355" s="578"/>
      <c r="E355" s="578"/>
      <c r="F355" s="578"/>
      <c r="G355" s="578">
        <v>734.89424304993236</v>
      </c>
      <c r="H355" s="578"/>
      <c r="I355" s="578"/>
      <c r="J355" s="578">
        <v>0</v>
      </c>
      <c r="K355" s="578">
        <f>SUM(C355:J355)</f>
        <v>3215.8942430499324</v>
      </c>
      <c r="L355" s="578">
        <v>1000</v>
      </c>
      <c r="M355" s="578">
        <v>137.709</v>
      </c>
      <c r="N355" s="496">
        <f>+M355+L355</f>
        <v>1137.7090000000001</v>
      </c>
      <c r="O355" s="579">
        <f>+(K355*12)+N355</f>
        <v>39728.439916599193</v>
      </c>
      <c r="P355" s="580">
        <f>+O355*B355</f>
        <v>39728.439916599193</v>
      </c>
      <c r="Q355" s="576">
        <v>1</v>
      </c>
      <c r="R355" s="578">
        <f>2354+127</f>
        <v>2481</v>
      </c>
      <c r="S355" s="578"/>
      <c r="T355" s="578"/>
      <c r="U355" s="578"/>
      <c r="V355" s="578">
        <v>734.89424304993236</v>
      </c>
      <c r="W355" s="578"/>
      <c r="X355" s="578"/>
      <c r="Y355" s="578">
        <v>0</v>
      </c>
      <c r="Z355" s="578">
        <f>SUM(R355:Y355)</f>
        <v>3215.8942430499324</v>
      </c>
      <c r="AA355" s="578">
        <v>1000</v>
      </c>
      <c r="AB355" s="578">
        <v>137.709</v>
      </c>
      <c r="AC355" s="496">
        <f>+AB355+AA355</f>
        <v>1137.7090000000001</v>
      </c>
      <c r="AD355" s="579">
        <f>+(Z355*12)+AC355</f>
        <v>39728.439916599193</v>
      </c>
      <c r="AE355" s="580">
        <f>+AD355*Q355</f>
        <v>39728.439916599193</v>
      </c>
      <c r="AF355" s="580">
        <f>+K355-Z355</f>
        <v>0</v>
      </c>
      <c r="AG355" s="577">
        <f>+P355-AE355</f>
        <v>0</v>
      </c>
      <c r="AH355" s="580">
        <f>+Q355</f>
        <v>1</v>
      </c>
      <c r="AI355" s="577">
        <f>+AE355</f>
        <v>39728.439916599193</v>
      </c>
    </row>
    <row r="356" spans="1:35" x14ac:dyDescent="0.2">
      <c r="A356" s="590" t="s">
        <v>742</v>
      </c>
      <c r="B356" s="576"/>
      <c r="C356" s="578"/>
      <c r="D356" s="578"/>
      <c r="E356" s="578"/>
      <c r="F356" s="578"/>
      <c r="G356" s="578"/>
      <c r="H356" s="578"/>
      <c r="I356" s="578"/>
      <c r="J356" s="578"/>
      <c r="K356" s="578">
        <f>SUM(C356:J356)</f>
        <v>0</v>
      </c>
      <c r="L356" s="578"/>
      <c r="M356" s="578"/>
      <c r="N356" s="496">
        <f>+M356+L356</f>
        <v>0</v>
      </c>
      <c r="O356" s="579">
        <f>+(K356*12)+N356</f>
        <v>0</v>
      </c>
      <c r="P356" s="580">
        <f>+O356*B356</f>
        <v>0</v>
      </c>
      <c r="Q356" s="576"/>
      <c r="R356" s="578"/>
      <c r="S356" s="578"/>
      <c r="T356" s="578"/>
      <c r="U356" s="578"/>
      <c r="V356" s="578"/>
      <c r="W356" s="578"/>
      <c r="X356" s="578"/>
      <c r="Y356" s="578"/>
      <c r="Z356" s="578">
        <f>SUM(R356:Y356)</f>
        <v>0</v>
      </c>
      <c r="AA356" s="578"/>
      <c r="AB356" s="578"/>
      <c r="AC356" s="496">
        <f>+AB356+AA356</f>
        <v>0</v>
      </c>
      <c r="AD356" s="579">
        <f>+(Z356*12)+AC356</f>
        <v>0</v>
      </c>
      <c r="AE356" s="580">
        <f>+AD356*Q356</f>
        <v>0</v>
      </c>
      <c r="AF356" s="580">
        <f>+K356-Z356</f>
        <v>0</v>
      </c>
      <c r="AG356" s="577">
        <f>+P356-AE356</f>
        <v>0</v>
      </c>
      <c r="AH356" s="580">
        <f>+Q356</f>
        <v>0</v>
      </c>
      <c r="AI356" s="577">
        <f>+AE356</f>
        <v>0</v>
      </c>
    </row>
    <row r="357" spans="1:35" x14ac:dyDescent="0.2">
      <c r="A357" s="590" t="s">
        <v>743</v>
      </c>
      <c r="B357" s="576"/>
      <c r="C357" s="578"/>
      <c r="D357" s="578"/>
      <c r="E357" s="578"/>
      <c r="F357" s="578"/>
      <c r="G357" s="578"/>
      <c r="H357" s="578"/>
      <c r="I357" s="578"/>
      <c r="J357" s="578"/>
      <c r="K357" s="578">
        <f>SUM(C357:J357)</f>
        <v>0</v>
      </c>
      <c r="L357" s="578"/>
      <c r="M357" s="578"/>
      <c r="N357" s="496">
        <f>+M357+L357</f>
        <v>0</v>
      </c>
      <c r="O357" s="579">
        <f>+(K357*12)+N357</f>
        <v>0</v>
      </c>
      <c r="P357" s="580">
        <f>+O357*B357</f>
        <v>0</v>
      </c>
      <c r="Q357" s="576"/>
      <c r="R357" s="578"/>
      <c r="S357" s="578"/>
      <c r="T357" s="578"/>
      <c r="U357" s="578"/>
      <c r="V357" s="578"/>
      <c r="W357" s="578"/>
      <c r="X357" s="578"/>
      <c r="Y357" s="578"/>
      <c r="Z357" s="578">
        <f>SUM(R357:Y357)</f>
        <v>0</v>
      </c>
      <c r="AA357" s="578"/>
      <c r="AB357" s="578"/>
      <c r="AC357" s="496">
        <f>+AB357+AA357</f>
        <v>0</v>
      </c>
      <c r="AD357" s="579">
        <f>+(Z357*12)+AC357</f>
        <v>0</v>
      </c>
      <c r="AE357" s="580">
        <f>+AD357*Q357</f>
        <v>0</v>
      </c>
      <c r="AF357" s="580">
        <f>+K357-Z357</f>
        <v>0</v>
      </c>
      <c r="AG357" s="577">
        <f>+P357-AE357</f>
        <v>0</v>
      </c>
      <c r="AH357" s="580">
        <f>+Q357</f>
        <v>0</v>
      </c>
      <c r="AI357" s="577">
        <f>+AE357</f>
        <v>0</v>
      </c>
    </row>
    <row r="358" spans="1:35" x14ac:dyDescent="0.2">
      <c r="A358" s="594" t="s">
        <v>750</v>
      </c>
      <c r="B358" s="595">
        <f t="shared" ref="B358:AI358" si="138">+B352+B346+B340+B334+B328+B322+B316</f>
        <v>770</v>
      </c>
      <c r="C358" s="595">
        <f t="shared" si="138"/>
        <v>115466</v>
      </c>
      <c r="D358" s="595">
        <f t="shared" si="138"/>
        <v>0</v>
      </c>
      <c r="E358" s="595">
        <f t="shared" si="138"/>
        <v>0</v>
      </c>
      <c r="F358" s="595">
        <f t="shared" si="138"/>
        <v>0</v>
      </c>
      <c r="G358" s="595">
        <f t="shared" si="138"/>
        <v>18963.462627674944</v>
      </c>
      <c r="H358" s="595">
        <f t="shared" si="138"/>
        <v>0</v>
      </c>
      <c r="I358" s="595">
        <f t="shared" si="138"/>
        <v>0</v>
      </c>
      <c r="J358" s="595">
        <f t="shared" si="138"/>
        <v>10207.42357259828</v>
      </c>
      <c r="K358" s="595">
        <f t="shared" si="138"/>
        <v>144636.88620027321</v>
      </c>
      <c r="L358" s="595">
        <f t="shared" si="138"/>
        <v>26000</v>
      </c>
      <c r="M358" s="595">
        <f t="shared" si="138"/>
        <v>6019.8384174311941</v>
      </c>
      <c r="N358" s="595">
        <f t="shared" si="138"/>
        <v>32019.838417431194</v>
      </c>
      <c r="O358" s="596">
        <f t="shared" si="138"/>
        <v>1767662.4728207099</v>
      </c>
      <c r="P358" s="596">
        <f t="shared" si="138"/>
        <v>58505436.739749864</v>
      </c>
      <c r="Q358" s="595">
        <f t="shared" si="138"/>
        <v>770</v>
      </c>
      <c r="R358" s="595">
        <f t="shared" si="138"/>
        <v>115466</v>
      </c>
      <c r="S358" s="595">
        <f t="shared" si="138"/>
        <v>0</v>
      </c>
      <c r="T358" s="595">
        <f t="shared" si="138"/>
        <v>0</v>
      </c>
      <c r="U358" s="595">
        <f t="shared" si="138"/>
        <v>0</v>
      </c>
      <c r="V358" s="595">
        <f t="shared" si="138"/>
        <v>18963.462627674944</v>
      </c>
      <c r="W358" s="595">
        <f t="shared" si="138"/>
        <v>0</v>
      </c>
      <c r="X358" s="595">
        <f t="shared" si="138"/>
        <v>0</v>
      </c>
      <c r="Y358" s="595">
        <f t="shared" si="138"/>
        <v>10207.42357259828</v>
      </c>
      <c r="Z358" s="595">
        <f t="shared" si="138"/>
        <v>144636.88620027321</v>
      </c>
      <c r="AA358" s="595">
        <f t="shared" si="138"/>
        <v>26000</v>
      </c>
      <c r="AB358" s="595">
        <f t="shared" si="138"/>
        <v>6019.8384174311941</v>
      </c>
      <c r="AC358" s="595">
        <f t="shared" si="138"/>
        <v>32019.838417431194</v>
      </c>
      <c r="AD358" s="596">
        <f t="shared" si="138"/>
        <v>1767662.4728207099</v>
      </c>
      <c r="AE358" s="596">
        <f t="shared" si="138"/>
        <v>58505436.739749864</v>
      </c>
      <c r="AF358" s="595">
        <f t="shared" si="138"/>
        <v>0</v>
      </c>
      <c r="AG358" s="595">
        <f t="shared" si="138"/>
        <v>0</v>
      </c>
      <c r="AH358" s="595">
        <f t="shared" si="138"/>
        <v>772</v>
      </c>
      <c r="AI358" s="595">
        <f t="shared" si="138"/>
        <v>58035235.699749872</v>
      </c>
    </row>
    <row r="359" spans="1:35" x14ac:dyDescent="0.2">
      <c r="A359" s="589" t="s">
        <v>751</v>
      </c>
      <c r="B359" s="584">
        <f t="shared" ref="B359:AI359" si="139">SUM(B360:B363)</f>
        <v>23</v>
      </c>
      <c r="C359" s="592">
        <f t="shared" si="139"/>
        <v>4534.1809523809525</v>
      </c>
      <c r="D359" s="592">
        <f t="shared" si="139"/>
        <v>0</v>
      </c>
      <c r="E359" s="592">
        <f t="shared" si="139"/>
        <v>0</v>
      </c>
      <c r="F359" s="592">
        <f t="shared" si="139"/>
        <v>0</v>
      </c>
      <c r="G359" s="592">
        <f t="shared" si="139"/>
        <v>690.32444609986499</v>
      </c>
      <c r="H359" s="592">
        <f t="shared" si="139"/>
        <v>0</v>
      </c>
      <c r="I359" s="592">
        <f t="shared" si="139"/>
        <v>0</v>
      </c>
      <c r="J359" s="592">
        <f t="shared" si="139"/>
        <v>316</v>
      </c>
      <c r="K359" s="592">
        <f t="shared" si="139"/>
        <v>5540.5053984808173</v>
      </c>
      <c r="L359" s="592">
        <f t="shared" si="139"/>
        <v>2000</v>
      </c>
      <c r="M359" s="592">
        <f t="shared" si="139"/>
        <v>265.24958571428573</v>
      </c>
      <c r="N359" s="592">
        <f t="shared" si="139"/>
        <v>2265.2495857142858</v>
      </c>
      <c r="O359" s="592">
        <f t="shared" si="139"/>
        <v>68751.314367484098</v>
      </c>
      <c r="P359" s="592">
        <f t="shared" si="139"/>
        <v>800283.52736178145</v>
      </c>
      <c r="Q359" s="584">
        <f t="shared" si="139"/>
        <v>23</v>
      </c>
      <c r="R359" s="592">
        <f t="shared" si="139"/>
        <v>4534.1809523809525</v>
      </c>
      <c r="S359" s="592">
        <f t="shared" si="139"/>
        <v>0</v>
      </c>
      <c r="T359" s="592">
        <f t="shared" si="139"/>
        <v>0</v>
      </c>
      <c r="U359" s="592">
        <f t="shared" si="139"/>
        <v>0</v>
      </c>
      <c r="V359" s="592">
        <f t="shared" si="139"/>
        <v>690.32444609986499</v>
      </c>
      <c r="W359" s="592">
        <f t="shared" si="139"/>
        <v>0</v>
      </c>
      <c r="X359" s="592">
        <f t="shared" si="139"/>
        <v>0</v>
      </c>
      <c r="Y359" s="592">
        <f t="shared" si="139"/>
        <v>316</v>
      </c>
      <c r="Z359" s="592">
        <f t="shared" si="139"/>
        <v>5540.5053984808173</v>
      </c>
      <c r="AA359" s="592">
        <f t="shared" si="139"/>
        <v>2000</v>
      </c>
      <c r="AB359" s="592">
        <f t="shared" si="139"/>
        <v>265.24958571428573</v>
      </c>
      <c r="AC359" s="592">
        <f t="shared" si="139"/>
        <v>2265.2495857142858</v>
      </c>
      <c r="AD359" s="592">
        <f t="shared" si="139"/>
        <v>68751.314367484098</v>
      </c>
      <c r="AE359" s="592">
        <f t="shared" si="139"/>
        <v>800283.52736178145</v>
      </c>
      <c r="AF359" s="584">
        <f t="shared" si="139"/>
        <v>0</v>
      </c>
      <c r="AG359" s="584">
        <f t="shared" si="139"/>
        <v>0</v>
      </c>
      <c r="AH359" s="584">
        <f t="shared" si="139"/>
        <v>23</v>
      </c>
      <c r="AI359" s="584">
        <f t="shared" si="139"/>
        <v>800283.52736178145</v>
      </c>
    </row>
    <row r="360" spans="1:35" x14ac:dyDescent="0.2">
      <c r="A360" s="590" t="s">
        <v>584</v>
      </c>
      <c r="B360" s="576">
        <v>2</v>
      </c>
      <c r="C360" s="578">
        <v>2225</v>
      </c>
      <c r="D360" s="578"/>
      <c r="E360" s="578"/>
      <c r="F360" s="578"/>
      <c r="G360" s="578">
        <v>345.16222304993249</v>
      </c>
      <c r="H360" s="578"/>
      <c r="I360" s="578"/>
      <c r="J360" s="578">
        <v>158</v>
      </c>
      <c r="K360" s="578">
        <f>SUM(C360:J360)</f>
        <v>2728.1622230499324</v>
      </c>
      <c r="L360" s="578">
        <v>1000</v>
      </c>
      <c r="M360" s="578">
        <v>130.16249999999999</v>
      </c>
      <c r="N360" s="496">
        <f>+M360+L360</f>
        <v>1130.1624999999999</v>
      </c>
      <c r="O360" s="579">
        <f>+(K360*12)+N360</f>
        <v>33868.109176599188</v>
      </c>
      <c r="P360" s="580">
        <f>+O360*B360</f>
        <v>67736.218353198376</v>
      </c>
      <c r="Q360" s="576">
        <v>2</v>
      </c>
      <c r="R360" s="578">
        <v>2225</v>
      </c>
      <c r="S360" s="578"/>
      <c r="T360" s="578"/>
      <c r="U360" s="578"/>
      <c r="V360" s="578">
        <v>345.16222304993249</v>
      </c>
      <c r="W360" s="578"/>
      <c r="X360" s="578"/>
      <c r="Y360" s="578">
        <v>158</v>
      </c>
      <c r="Z360" s="578">
        <f>SUM(R360:Y360)</f>
        <v>2728.1622230499324</v>
      </c>
      <c r="AA360" s="578">
        <v>1000</v>
      </c>
      <c r="AB360" s="578">
        <v>130.16249999999999</v>
      </c>
      <c r="AC360" s="496">
        <f>+AB360+AA360</f>
        <v>1130.1624999999999</v>
      </c>
      <c r="AD360" s="579">
        <f>+(Z360*12)+AC360</f>
        <v>33868.109176599188</v>
      </c>
      <c r="AE360" s="580">
        <f>+AD360*Q360</f>
        <v>67736.218353198376</v>
      </c>
      <c r="AF360" s="580">
        <f>+K360-Z360</f>
        <v>0</v>
      </c>
      <c r="AG360" s="577">
        <f>+P360-AE360</f>
        <v>0</v>
      </c>
      <c r="AH360" s="580">
        <f>+Q360</f>
        <v>2</v>
      </c>
      <c r="AI360" s="577">
        <f>+AE360</f>
        <v>67736.218353198376</v>
      </c>
    </row>
    <row r="361" spans="1:35" x14ac:dyDescent="0.2">
      <c r="A361" s="590" t="s">
        <v>582</v>
      </c>
      <c r="B361" s="576"/>
      <c r="C361" s="578"/>
      <c r="D361" s="578"/>
      <c r="E361" s="578"/>
      <c r="F361" s="578"/>
      <c r="G361" s="578"/>
      <c r="H361" s="578"/>
      <c r="I361" s="578"/>
      <c r="J361" s="578"/>
      <c r="K361" s="578">
        <f>SUM(C361:J361)</f>
        <v>0</v>
      </c>
      <c r="L361" s="578"/>
      <c r="M361" s="578"/>
      <c r="N361" s="496">
        <f>+M361+L361</f>
        <v>0</v>
      </c>
      <c r="O361" s="579">
        <f>+(K361*12)+N361</f>
        <v>0</v>
      </c>
      <c r="P361" s="580">
        <f>+O361*B361</f>
        <v>0</v>
      </c>
      <c r="Q361" s="576"/>
      <c r="R361" s="578"/>
      <c r="S361" s="578"/>
      <c r="T361" s="578"/>
      <c r="U361" s="578"/>
      <c r="V361" s="578"/>
      <c r="W361" s="578"/>
      <c r="X361" s="578"/>
      <c r="Y361" s="578"/>
      <c r="Z361" s="578">
        <f>SUM(R361:Y361)</f>
        <v>0</v>
      </c>
      <c r="AA361" s="578"/>
      <c r="AB361" s="578"/>
      <c r="AC361" s="496">
        <f>+AB361+AA361</f>
        <v>0</v>
      </c>
      <c r="AD361" s="579">
        <f>+(Z361*12)+AC361</f>
        <v>0</v>
      </c>
      <c r="AE361" s="580">
        <f>+AD361*Q361</f>
        <v>0</v>
      </c>
      <c r="AF361" s="580">
        <f>+K361-Z361</f>
        <v>0</v>
      </c>
      <c r="AG361" s="577">
        <f>+P361-AE361</f>
        <v>0</v>
      </c>
      <c r="AH361" s="580">
        <f>+Q361</f>
        <v>0</v>
      </c>
      <c r="AI361" s="577">
        <f>+AE361</f>
        <v>0</v>
      </c>
    </row>
    <row r="362" spans="1:35" x14ac:dyDescent="0.2">
      <c r="A362" s="590" t="s">
        <v>584</v>
      </c>
      <c r="B362" s="576"/>
      <c r="C362" s="578"/>
      <c r="D362" s="578"/>
      <c r="E362" s="578"/>
      <c r="F362" s="578"/>
      <c r="G362" s="578"/>
      <c r="H362" s="578"/>
      <c r="I362" s="578"/>
      <c r="J362" s="578"/>
      <c r="K362" s="578">
        <f>SUM(C362:J362)</f>
        <v>0</v>
      </c>
      <c r="L362" s="578"/>
      <c r="M362" s="578"/>
      <c r="N362" s="496">
        <f>+M362+L362</f>
        <v>0</v>
      </c>
      <c r="O362" s="579">
        <f>+(K362*12)+N362</f>
        <v>0</v>
      </c>
      <c r="P362" s="580">
        <f>+O362*B362</f>
        <v>0</v>
      </c>
      <c r="Q362" s="576"/>
      <c r="R362" s="578"/>
      <c r="S362" s="578"/>
      <c r="T362" s="578"/>
      <c r="U362" s="578"/>
      <c r="V362" s="578"/>
      <c r="W362" s="578"/>
      <c r="X362" s="578"/>
      <c r="Y362" s="578"/>
      <c r="Z362" s="578">
        <f>SUM(R362:Y362)</f>
        <v>0</v>
      </c>
      <c r="AA362" s="578"/>
      <c r="AB362" s="578"/>
      <c r="AC362" s="496">
        <f>+AB362+AA362</f>
        <v>0</v>
      </c>
      <c r="AD362" s="579">
        <f>+(Z362*12)+AC362</f>
        <v>0</v>
      </c>
      <c r="AE362" s="580">
        <f>+AD362*Q362</f>
        <v>0</v>
      </c>
      <c r="AF362" s="580">
        <f>+K362-Z362</f>
        <v>0</v>
      </c>
      <c r="AG362" s="577">
        <f>+P362-AE362</f>
        <v>0</v>
      </c>
      <c r="AH362" s="580">
        <f>+Q362</f>
        <v>0</v>
      </c>
      <c r="AI362" s="577">
        <f>+AE362</f>
        <v>0</v>
      </c>
    </row>
    <row r="363" spans="1:35" x14ac:dyDescent="0.2">
      <c r="A363" s="590" t="s">
        <v>585</v>
      </c>
      <c r="B363" s="576">
        <v>21</v>
      </c>
      <c r="C363" s="578">
        <v>2309.1809523809525</v>
      </c>
      <c r="D363" s="578"/>
      <c r="E363" s="578"/>
      <c r="F363" s="578"/>
      <c r="G363" s="578">
        <v>345.16222304993249</v>
      </c>
      <c r="H363" s="578"/>
      <c r="I363" s="578"/>
      <c r="J363" s="578">
        <v>158</v>
      </c>
      <c r="K363" s="578">
        <f>SUM(C363:J363)</f>
        <v>2812.3431754308849</v>
      </c>
      <c r="L363" s="578">
        <v>1000</v>
      </c>
      <c r="M363" s="578">
        <v>135.08708571428573</v>
      </c>
      <c r="N363" s="496">
        <f>+M363+L363</f>
        <v>1135.0870857142856</v>
      </c>
      <c r="O363" s="579">
        <f>+(K363*12)+N363</f>
        <v>34883.20519088491</v>
      </c>
      <c r="P363" s="580">
        <f>+O363*B363</f>
        <v>732547.30900858308</v>
      </c>
      <c r="Q363" s="576">
        <v>21</v>
      </c>
      <c r="R363" s="578">
        <v>2309.1809523809525</v>
      </c>
      <c r="S363" s="578"/>
      <c r="T363" s="578"/>
      <c r="U363" s="578"/>
      <c r="V363" s="578">
        <v>345.16222304993249</v>
      </c>
      <c r="W363" s="578"/>
      <c r="X363" s="578"/>
      <c r="Y363" s="578">
        <v>158</v>
      </c>
      <c r="Z363" s="578">
        <f>SUM(R363:Y363)</f>
        <v>2812.3431754308849</v>
      </c>
      <c r="AA363" s="578">
        <v>1000</v>
      </c>
      <c r="AB363" s="578">
        <v>135.08708571428573</v>
      </c>
      <c r="AC363" s="496">
        <f>+AB363+AA363</f>
        <v>1135.0870857142856</v>
      </c>
      <c r="AD363" s="579">
        <f>+(Z363*12)+AC363</f>
        <v>34883.20519088491</v>
      </c>
      <c r="AE363" s="580">
        <f>+AD363*Q363</f>
        <v>732547.30900858308</v>
      </c>
      <c r="AF363" s="580">
        <f>+K363-Z363</f>
        <v>0</v>
      </c>
      <c r="AG363" s="577">
        <f>+P363-AE363</f>
        <v>0</v>
      </c>
      <c r="AH363" s="580">
        <f>+Q363</f>
        <v>21</v>
      </c>
      <c r="AI363" s="577">
        <f>+AE363</f>
        <v>732547.30900858308</v>
      </c>
    </row>
    <row r="364" spans="1:35" x14ac:dyDescent="0.2">
      <c r="A364" s="597" t="s">
        <v>752</v>
      </c>
      <c r="B364" s="584">
        <f t="shared" ref="B364:AI364" si="140">SUM(B365:B370)</f>
        <v>372</v>
      </c>
      <c r="C364" s="592">
        <f t="shared" si="140"/>
        <v>12544.477538917716</v>
      </c>
      <c r="D364" s="592">
        <f t="shared" si="140"/>
        <v>0</v>
      </c>
      <c r="E364" s="592">
        <f t="shared" si="140"/>
        <v>0</v>
      </c>
      <c r="F364" s="592">
        <f t="shared" si="140"/>
        <v>0</v>
      </c>
      <c r="G364" s="592">
        <f t="shared" si="140"/>
        <v>1662.8214244548599</v>
      </c>
      <c r="H364" s="592">
        <f t="shared" si="140"/>
        <v>0</v>
      </c>
      <c r="I364" s="592">
        <f t="shared" si="140"/>
        <v>0</v>
      </c>
      <c r="J364" s="592">
        <f t="shared" si="140"/>
        <v>1023.5633802816901</v>
      </c>
      <c r="K364" s="592">
        <f t="shared" si="140"/>
        <v>15230.862343654266</v>
      </c>
      <c r="L364" s="592">
        <f t="shared" si="140"/>
        <v>6000</v>
      </c>
      <c r="M364" s="592">
        <f t="shared" si="140"/>
        <v>733.85193602668642</v>
      </c>
      <c r="N364" s="592">
        <f t="shared" si="140"/>
        <v>6733.8519360266864</v>
      </c>
      <c r="O364" s="592">
        <f t="shared" si="140"/>
        <v>189504.20005987788</v>
      </c>
      <c r="P364" s="592">
        <f t="shared" si="140"/>
        <v>11847196.276758295</v>
      </c>
      <c r="Q364" s="584">
        <f t="shared" si="140"/>
        <v>372</v>
      </c>
      <c r="R364" s="592">
        <f t="shared" si="140"/>
        <v>12544.477538917716</v>
      </c>
      <c r="S364" s="592">
        <f t="shared" si="140"/>
        <v>0</v>
      </c>
      <c r="T364" s="592">
        <f t="shared" si="140"/>
        <v>0</v>
      </c>
      <c r="U364" s="592">
        <f t="shared" si="140"/>
        <v>0</v>
      </c>
      <c r="V364" s="592">
        <f t="shared" si="140"/>
        <v>1662.8214244548599</v>
      </c>
      <c r="W364" s="592">
        <f t="shared" si="140"/>
        <v>0</v>
      </c>
      <c r="X364" s="592">
        <f t="shared" si="140"/>
        <v>0</v>
      </c>
      <c r="Y364" s="592">
        <f t="shared" si="140"/>
        <v>1023.5633802816901</v>
      </c>
      <c r="Z364" s="592">
        <f t="shared" si="140"/>
        <v>15230.862343654266</v>
      </c>
      <c r="AA364" s="592">
        <f t="shared" si="140"/>
        <v>6000</v>
      </c>
      <c r="AB364" s="592">
        <f t="shared" si="140"/>
        <v>733.85193602668642</v>
      </c>
      <c r="AC364" s="592">
        <f t="shared" si="140"/>
        <v>6733.8519360266864</v>
      </c>
      <c r="AD364" s="592">
        <f t="shared" si="140"/>
        <v>189504.20005987788</v>
      </c>
      <c r="AE364" s="592">
        <f t="shared" si="140"/>
        <v>11847196.276758295</v>
      </c>
      <c r="AF364" s="584">
        <f t="shared" si="140"/>
        <v>0</v>
      </c>
      <c r="AG364" s="584">
        <f t="shared" si="140"/>
        <v>0</v>
      </c>
      <c r="AH364" s="584">
        <f t="shared" si="140"/>
        <v>372</v>
      </c>
      <c r="AI364" s="584">
        <f t="shared" si="140"/>
        <v>11847196.276758295</v>
      </c>
    </row>
    <row r="365" spans="1:35" x14ac:dyDescent="0.2">
      <c r="A365" s="598" t="s">
        <v>15</v>
      </c>
      <c r="B365" s="576">
        <v>118</v>
      </c>
      <c r="C365" s="578">
        <v>2145</v>
      </c>
      <c r="D365" s="578"/>
      <c r="E365" s="578"/>
      <c r="F365" s="578"/>
      <c r="G365" s="578">
        <v>279.58944304993207</v>
      </c>
      <c r="H365" s="578"/>
      <c r="I365" s="578"/>
      <c r="J365" s="578">
        <v>204</v>
      </c>
      <c r="K365" s="578">
        <f t="shared" ref="K365:K370" si="141">SUM(C365:J365)</f>
        <v>2628.589443049932</v>
      </c>
      <c r="L365" s="578">
        <v>1000</v>
      </c>
      <c r="M365" s="578">
        <v>125.48250000000006</v>
      </c>
      <c r="N365" s="496">
        <f t="shared" ref="N365:N370" si="142">+M365+L365</f>
        <v>1125.4825000000001</v>
      </c>
      <c r="O365" s="579">
        <f t="shared" ref="O365:O370" si="143">+(K365*12)+N365</f>
        <v>32668.555816599182</v>
      </c>
      <c r="P365" s="580">
        <f t="shared" ref="P365:P370" si="144">+O365*B365</f>
        <v>3854889.5863587037</v>
      </c>
      <c r="Q365" s="576">
        <v>118</v>
      </c>
      <c r="R365" s="578">
        <v>2145</v>
      </c>
      <c r="S365" s="578"/>
      <c r="T365" s="578"/>
      <c r="U365" s="578"/>
      <c r="V365" s="578">
        <v>279.58944304993207</v>
      </c>
      <c r="W365" s="578"/>
      <c r="X365" s="578"/>
      <c r="Y365" s="578">
        <v>204</v>
      </c>
      <c r="Z365" s="578">
        <f t="shared" ref="Z365:Z370" si="145">SUM(R365:Y365)</f>
        <v>2628.589443049932</v>
      </c>
      <c r="AA365" s="578">
        <v>1000</v>
      </c>
      <c r="AB365" s="578">
        <v>125.48250000000006</v>
      </c>
      <c r="AC365" s="496">
        <f t="shared" ref="AC365:AC370" si="146">+AB365+AA365</f>
        <v>1125.4825000000001</v>
      </c>
      <c r="AD365" s="579">
        <f t="shared" ref="AD365:AD370" si="147">+(Z365*12)+AC365</f>
        <v>32668.555816599182</v>
      </c>
      <c r="AE365" s="580">
        <f t="shared" ref="AE365:AE370" si="148">+AD365*Q365</f>
        <v>3854889.5863587037</v>
      </c>
      <c r="AF365" s="580">
        <f t="shared" ref="AF365:AF370" si="149">+K365-Z365</f>
        <v>0</v>
      </c>
      <c r="AG365" s="577">
        <f t="shared" ref="AG365:AG370" si="150">+P365-AE365</f>
        <v>0</v>
      </c>
      <c r="AH365" s="580">
        <f t="shared" ref="AH365:AH370" si="151">+Q365</f>
        <v>118</v>
      </c>
      <c r="AI365" s="577">
        <f t="shared" ref="AI365:AI370" si="152">+AE365</f>
        <v>3854889.5863587037</v>
      </c>
    </row>
    <row r="366" spans="1:35" x14ac:dyDescent="0.2">
      <c r="A366" s="598" t="s">
        <v>586</v>
      </c>
      <c r="B366" s="576">
        <v>60</v>
      </c>
      <c r="C366" s="578">
        <v>2127</v>
      </c>
      <c r="D366" s="578"/>
      <c r="E366" s="578"/>
      <c r="F366" s="578"/>
      <c r="G366" s="578">
        <v>279.58944304993213</v>
      </c>
      <c r="H366" s="578"/>
      <c r="I366" s="578"/>
      <c r="J366" s="578">
        <v>163</v>
      </c>
      <c r="K366" s="578">
        <f t="shared" si="141"/>
        <v>2569.589443049932</v>
      </c>
      <c r="L366" s="578">
        <v>1000</v>
      </c>
      <c r="M366" s="578">
        <v>124.42949999999999</v>
      </c>
      <c r="N366" s="496">
        <f t="shared" si="142"/>
        <v>1124.4295</v>
      </c>
      <c r="O366" s="579">
        <f t="shared" si="143"/>
        <v>31959.502816599183</v>
      </c>
      <c r="P366" s="580">
        <f t="shared" si="144"/>
        <v>1917570.1689959508</v>
      </c>
      <c r="Q366" s="576">
        <v>60</v>
      </c>
      <c r="R366" s="578">
        <v>2127</v>
      </c>
      <c r="S366" s="578"/>
      <c r="T366" s="578"/>
      <c r="U366" s="578"/>
      <c r="V366" s="578">
        <v>279.58944304993213</v>
      </c>
      <c r="W366" s="578"/>
      <c r="X366" s="578"/>
      <c r="Y366" s="578">
        <v>163</v>
      </c>
      <c r="Z366" s="578">
        <f t="shared" si="145"/>
        <v>2569.589443049932</v>
      </c>
      <c r="AA366" s="578">
        <v>1000</v>
      </c>
      <c r="AB366" s="578">
        <v>124.42949999999999</v>
      </c>
      <c r="AC366" s="496">
        <f t="shared" si="146"/>
        <v>1124.4295</v>
      </c>
      <c r="AD366" s="579">
        <f t="shared" si="147"/>
        <v>31959.502816599183</v>
      </c>
      <c r="AE366" s="580">
        <f t="shared" si="148"/>
        <v>1917570.1689959508</v>
      </c>
      <c r="AF366" s="580">
        <f t="shared" si="149"/>
        <v>0</v>
      </c>
      <c r="AG366" s="577">
        <f t="shared" si="150"/>
        <v>0</v>
      </c>
      <c r="AH366" s="580">
        <f t="shared" si="151"/>
        <v>60</v>
      </c>
      <c r="AI366" s="577">
        <f t="shared" si="152"/>
        <v>1917570.1689959508</v>
      </c>
    </row>
    <row r="367" spans="1:35" x14ac:dyDescent="0.2">
      <c r="A367" s="598" t="s">
        <v>587</v>
      </c>
      <c r="B367" s="576">
        <v>71</v>
      </c>
      <c r="C367" s="578">
        <v>2073.8985915492949</v>
      </c>
      <c r="D367" s="578"/>
      <c r="E367" s="578"/>
      <c r="F367" s="578"/>
      <c r="G367" s="578">
        <v>279.58944304993213</v>
      </c>
      <c r="H367" s="578"/>
      <c r="I367" s="578"/>
      <c r="J367" s="578">
        <v>168.56338028169014</v>
      </c>
      <c r="K367" s="578">
        <f t="shared" si="141"/>
        <v>2522.051414880917</v>
      </c>
      <c r="L367" s="578">
        <v>1000</v>
      </c>
      <c r="M367" s="578">
        <v>121.3230676056339</v>
      </c>
      <c r="N367" s="496">
        <f t="shared" si="142"/>
        <v>1121.3230676056339</v>
      </c>
      <c r="O367" s="579">
        <f t="shared" si="143"/>
        <v>31385.940046176638</v>
      </c>
      <c r="P367" s="580">
        <f t="shared" si="144"/>
        <v>2228401.7432785411</v>
      </c>
      <c r="Q367" s="576">
        <v>71</v>
      </c>
      <c r="R367" s="578">
        <v>2073.8985915492949</v>
      </c>
      <c r="S367" s="578"/>
      <c r="T367" s="578"/>
      <c r="U367" s="578"/>
      <c r="V367" s="578">
        <v>279.58944304993213</v>
      </c>
      <c r="W367" s="578"/>
      <c r="X367" s="578"/>
      <c r="Y367" s="578">
        <v>168.56338028169014</v>
      </c>
      <c r="Z367" s="578">
        <f t="shared" si="145"/>
        <v>2522.051414880917</v>
      </c>
      <c r="AA367" s="578">
        <v>1000</v>
      </c>
      <c r="AB367" s="578">
        <v>121.3230676056339</v>
      </c>
      <c r="AC367" s="496">
        <f t="shared" si="146"/>
        <v>1121.3230676056339</v>
      </c>
      <c r="AD367" s="579">
        <f t="shared" si="147"/>
        <v>31385.940046176638</v>
      </c>
      <c r="AE367" s="580">
        <f t="shared" si="148"/>
        <v>2228401.7432785411</v>
      </c>
      <c r="AF367" s="580">
        <f t="shared" si="149"/>
        <v>0</v>
      </c>
      <c r="AG367" s="577">
        <f t="shared" si="150"/>
        <v>0</v>
      </c>
      <c r="AH367" s="580">
        <f t="shared" si="151"/>
        <v>71</v>
      </c>
      <c r="AI367" s="577">
        <f t="shared" si="152"/>
        <v>2228401.7432785411</v>
      </c>
    </row>
    <row r="368" spans="1:35" x14ac:dyDescent="0.2">
      <c r="A368" s="598" t="s">
        <v>588</v>
      </c>
      <c r="B368" s="576">
        <v>19</v>
      </c>
      <c r="C368" s="578">
        <v>2052.5789473684213</v>
      </c>
      <c r="D368" s="578"/>
      <c r="E368" s="578"/>
      <c r="F368" s="578"/>
      <c r="G368" s="578">
        <v>264.87420920519912</v>
      </c>
      <c r="H368" s="578"/>
      <c r="I368" s="578"/>
      <c r="J368" s="578">
        <v>158</v>
      </c>
      <c r="K368" s="578">
        <f t="shared" si="141"/>
        <v>2475.4531565736206</v>
      </c>
      <c r="L368" s="578">
        <v>1000</v>
      </c>
      <c r="M368" s="578">
        <v>120.0758684210526</v>
      </c>
      <c r="N368" s="496">
        <f t="shared" si="142"/>
        <v>1120.0758684210525</v>
      </c>
      <c r="O368" s="579">
        <f t="shared" si="143"/>
        <v>30825.5137473045</v>
      </c>
      <c r="P368" s="580">
        <f t="shared" si="144"/>
        <v>585684.76119878551</v>
      </c>
      <c r="Q368" s="576">
        <v>19</v>
      </c>
      <c r="R368" s="578">
        <v>2052.5789473684213</v>
      </c>
      <c r="S368" s="578"/>
      <c r="T368" s="578"/>
      <c r="U368" s="578"/>
      <c r="V368" s="578">
        <v>264.87420920519912</v>
      </c>
      <c r="W368" s="578"/>
      <c r="X368" s="578"/>
      <c r="Y368" s="578">
        <v>158</v>
      </c>
      <c r="Z368" s="578">
        <f t="shared" si="145"/>
        <v>2475.4531565736206</v>
      </c>
      <c r="AA368" s="578">
        <v>1000</v>
      </c>
      <c r="AB368" s="578">
        <v>120.0758684210526</v>
      </c>
      <c r="AC368" s="496">
        <f t="shared" si="146"/>
        <v>1120.0758684210525</v>
      </c>
      <c r="AD368" s="579">
        <f t="shared" si="147"/>
        <v>30825.5137473045</v>
      </c>
      <c r="AE368" s="580">
        <f t="shared" si="148"/>
        <v>585684.76119878551</v>
      </c>
      <c r="AF368" s="580">
        <f t="shared" si="149"/>
        <v>0</v>
      </c>
      <c r="AG368" s="577">
        <f t="shared" si="150"/>
        <v>0</v>
      </c>
      <c r="AH368" s="580">
        <f t="shared" si="151"/>
        <v>19</v>
      </c>
      <c r="AI368" s="577">
        <f t="shared" si="152"/>
        <v>585684.76119878551</v>
      </c>
    </row>
    <row r="369" spans="1:35" x14ac:dyDescent="0.2">
      <c r="A369" s="598" t="s">
        <v>643</v>
      </c>
      <c r="B369" s="576">
        <v>8</v>
      </c>
      <c r="C369" s="578">
        <v>2078</v>
      </c>
      <c r="D369" s="578"/>
      <c r="E369" s="578"/>
      <c r="F369" s="578"/>
      <c r="G369" s="578">
        <v>279.58944304993247</v>
      </c>
      <c r="H369" s="578"/>
      <c r="I369" s="578"/>
      <c r="J369" s="578">
        <v>158</v>
      </c>
      <c r="K369" s="578">
        <f t="shared" si="141"/>
        <v>2515.5894430499325</v>
      </c>
      <c r="L369" s="578">
        <v>1000</v>
      </c>
      <c r="M369" s="578">
        <v>121.563</v>
      </c>
      <c r="N369" s="496">
        <f t="shared" si="142"/>
        <v>1121.5630000000001</v>
      </c>
      <c r="O369" s="579">
        <f t="shared" si="143"/>
        <v>31308.636316599193</v>
      </c>
      <c r="P369" s="580">
        <f t="shared" si="144"/>
        <v>250469.09053279355</v>
      </c>
      <c r="Q369" s="576">
        <v>8</v>
      </c>
      <c r="R369" s="578">
        <v>2078</v>
      </c>
      <c r="S369" s="578"/>
      <c r="T369" s="578"/>
      <c r="U369" s="578"/>
      <c r="V369" s="578">
        <v>279.58944304993247</v>
      </c>
      <c r="W369" s="578"/>
      <c r="X369" s="578"/>
      <c r="Y369" s="578">
        <v>158</v>
      </c>
      <c r="Z369" s="578">
        <f t="shared" si="145"/>
        <v>2515.5894430499325</v>
      </c>
      <c r="AA369" s="578">
        <v>1000</v>
      </c>
      <c r="AB369" s="578">
        <v>121.563</v>
      </c>
      <c r="AC369" s="496">
        <f t="shared" si="146"/>
        <v>1121.5630000000001</v>
      </c>
      <c r="AD369" s="579">
        <f t="shared" si="147"/>
        <v>31308.636316599193</v>
      </c>
      <c r="AE369" s="580">
        <f t="shared" si="148"/>
        <v>250469.09053279355</v>
      </c>
      <c r="AF369" s="580">
        <f t="shared" si="149"/>
        <v>0</v>
      </c>
      <c r="AG369" s="577">
        <f t="shared" si="150"/>
        <v>0</v>
      </c>
      <c r="AH369" s="580">
        <f t="shared" si="151"/>
        <v>8</v>
      </c>
      <c r="AI369" s="577">
        <f t="shared" si="152"/>
        <v>250469.09053279355</v>
      </c>
    </row>
    <row r="370" spans="1:35" x14ac:dyDescent="0.2">
      <c r="A370" s="598" t="s">
        <v>589</v>
      </c>
      <c r="B370" s="576">
        <v>96</v>
      </c>
      <c r="C370" s="578">
        <v>2068</v>
      </c>
      <c r="D370" s="578"/>
      <c r="E370" s="578"/>
      <c r="F370" s="578"/>
      <c r="G370" s="578">
        <v>279.58944304993207</v>
      </c>
      <c r="H370" s="578"/>
      <c r="I370" s="578"/>
      <c r="J370" s="578">
        <v>172</v>
      </c>
      <c r="K370" s="578">
        <f t="shared" si="141"/>
        <v>2519.589443049932</v>
      </c>
      <c r="L370" s="578">
        <v>1000</v>
      </c>
      <c r="M370" s="578">
        <v>120.97799999999978</v>
      </c>
      <c r="N370" s="496">
        <f t="shared" si="142"/>
        <v>1120.9779999999998</v>
      </c>
      <c r="O370" s="579">
        <f t="shared" si="143"/>
        <v>31356.051316599183</v>
      </c>
      <c r="P370" s="580">
        <f t="shared" si="144"/>
        <v>3010180.9263935215</v>
      </c>
      <c r="Q370" s="576">
        <v>96</v>
      </c>
      <c r="R370" s="578">
        <v>2068</v>
      </c>
      <c r="S370" s="578"/>
      <c r="T370" s="578"/>
      <c r="U370" s="578"/>
      <c r="V370" s="578">
        <v>279.58944304993207</v>
      </c>
      <c r="W370" s="578"/>
      <c r="X370" s="578"/>
      <c r="Y370" s="578">
        <v>172</v>
      </c>
      <c r="Z370" s="578">
        <f t="shared" si="145"/>
        <v>2519.589443049932</v>
      </c>
      <c r="AA370" s="578">
        <v>1000</v>
      </c>
      <c r="AB370" s="578">
        <v>120.97799999999978</v>
      </c>
      <c r="AC370" s="496">
        <f t="shared" si="146"/>
        <v>1120.9779999999998</v>
      </c>
      <c r="AD370" s="579">
        <f t="shared" si="147"/>
        <v>31356.051316599183</v>
      </c>
      <c r="AE370" s="580">
        <f t="shared" si="148"/>
        <v>3010180.9263935215</v>
      </c>
      <c r="AF370" s="580">
        <f t="shared" si="149"/>
        <v>0</v>
      </c>
      <c r="AG370" s="577">
        <f t="shared" si="150"/>
        <v>0</v>
      </c>
      <c r="AH370" s="580">
        <f t="shared" si="151"/>
        <v>96</v>
      </c>
      <c r="AI370" s="577">
        <f t="shared" si="152"/>
        <v>3010180.9263935215</v>
      </c>
    </row>
    <row r="371" spans="1:35" x14ac:dyDescent="0.2">
      <c r="A371" s="597" t="s">
        <v>753</v>
      </c>
      <c r="B371" s="584">
        <f t="shared" ref="B371:AI371" si="153">SUM(B372:B377)</f>
        <v>97</v>
      </c>
      <c r="C371" s="592">
        <f t="shared" si="153"/>
        <v>10209.481818181819</v>
      </c>
      <c r="D371" s="592">
        <f t="shared" si="153"/>
        <v>0</v>
      </c>
      <c r="E371" s="592">
        <f t="shared" si="153"/>
        <v>0</v>
      </c>
      <c r="F371" s="592">
        <f t="shared" si="153"/>
        <v>0</v>
      </c>
      <c r="G371" s="592">
        <f t="shared" si="153"/>
        <v>1354.4550652496623</v>
      </c>
      <c r="H371" s="592">
        <f t="shared" si="153"/>
        <v>0</v>
      </c>
      <c r="I371" s="592">
        <f t="shared" si="153"/>
        <v>0</v>
      </c>
      <c r="J371" s="592">
        <f t="shared" si="153"/>
        <v>790</v>
      </c>
      <c r="K371" s="592">
        <f t="shared" si="153"/>
        <v>12353.936883431481</v>
      </c>
      <c r="L371" s="592">
        <f t="shared" si="153"/>
        <v>5000</v>
      </c>
      <c r="M371" s="592">
        <f t="shared" si="153"/>
        <v>596.96500000000003</v>
      </c>
      <c r="N371" s="592">
        <f t="shared" si="153"/>
        <v>5596.9650000000001</v>
      </c>
      <c r="O371" s="592">
        <f t="shared" si="153"/>
        <v>153844.20760117777</v>
      </c>
      <c r="P371" s="592">
        <f t="shared" si="153"/>
        <v>2974515.8976901211</v>
      </c>
      <c r="Q371" s="584">
        <f t="shared" si="153"/>
        <v>97</v>
      </c>
      <c r="R371" s="592">
        <f t="shared" si="153"/>
        <v>10209.481818181819</v>
      </c>
      <c r="S371" s="592">
        <f t="shared" si="153"/>
        <v>0</v>
      </c>
      <c r="T371" s="592">
        <f t="shared" si="153"/>
        <v>0</v>
      </c>
      <c r="U371" s="592">
        <f t="shared" si="153"/>
        <v>0</v>
      </c>
      <c r="V371" s="592">
        <f t="shared" si="153"/>
        <v>1354.4550652496623</v>
      </c>
      <c r="W371" s="592">
        <f t="shared" si="153"/>
        <v>0</v>
      </c>
      <c r="X371" s="592">
        <f t="shared" si="153"/>
        <v>0</v>
      </c>
      <c r="Y371" s="592">
        <f t="shared" si="153"/>
        <v>790</v>
      </c>
      <c r="Z371" s="592">
        <f t="shared" si="153"/>
        <v>12353.936883431481</v>
      </c>
      <c r="AA371" s="592">
        <f t="shared" si="153"/>
        <v>5000</v>
      </c>
      <c r="AB371" s="592">
        <f t="shared" si="153"/>
        <v>596.96500000000003</v>
      </c>
      <c r="AC371" s="592">
        <f t="shared" si="153"/>
        <v>5596.9650000000001</v>
      </c>
      <c r="AD371" s="592">
        <f t="shared" si="153"/>
        <v>153844.20760117777</v>
      </c>
      <c r="AE371" s="592">
        <f t="shared" si="153"/>
        <v>2974515.8976901211</v>
      </c>
      <c r="AF371" s="584">
        <f t="shared" si="153"/>
        <v>0</v>
      </c>
      <c r="AG371" s="584">
        <f t="shared" si="153"/>
        <v>0</v>
      </c>
      <c r="AH371" s="584">
        <f t="shared" si="153"/>
        <v>98</v>
      </c>
      <c r="AI371" s="584">
        <f t="shared" si="153"/>
        <v>2974515.8976901211</v>
      </c>
    </row>
    <row r="372" spans="1:35" x14ac:dyDescent="0.2">
      <c r="A372" s="598" t="s">
        <v>16</v>
      </c>
      <c r="B372" s="576">
        <v>9</v>
      </c>
      <c r="C372" s="578">
        <v>2086</v>
      </c>
      <c r="D372" s="578"/>
      <c r="E372" s="578"/>
      <c r="F372" s="578"/>
      <c r="G372" s="578">
        <v>270.8910130499325</v>
      </c>
      <c r="H372" s="578"/>
      <c r="I372" s="578"/>
      <c r="J372" s="578">
        <v>158</v>
      </c>
      <c r="K372" s="578">
        <f t="shared" ref="K372:K377" si="154">SUM(C372:J372)</f>
        <v>2514.8910130499326</v>
      </c>
      <c r="L372" s="578">
        <v>1000</v>
      </c>
      <c r="M372" s="578">
        <v>122.03100000000001</v>
      </c>
      <c r="N372" s="496">
        <f t="shared" ref="N372:N377" si="155">+M372+L372</f>
        <v>1122.0309999999999</v>
      </c>
      <c r="O372" s="579">
        <f t="shared" ref="O372:O377" si="156">+(K372*12)+N372</f>
        <v>31300.72315659919</v>
      </c>
      <c r="P372" s="580">
        <f t="shared" ref="P372:P377" si="157">+O372*B372</f>
        <v>281706.50840939273</v>
      </c>
      <c r="Q372" s="576">
        <v>9</v>
      </c>
      <c r="R372" s="578">
        <v>2086</v>
      </c>
      <c r="S372" s="578"/>
      <c r="T372" s="578"/>
      <c r="U372" s="578"/>
      <c r="V372" s="578">
        <v>270.8910130499325</v>
      </c>
      <c r="W372" s="578"/>
      <c r="X372" s="578"/>
      <c r="Y372" s="578">
        <v>158</v>
      </c>
      <c r="Z372" s="578">
        <f t="shared" ref="Z372:Z377" si="158">SUM(R372:Y372)</f>
        <v>2514.8910130499326</v>
      </c>
      <c r="AA372" s="578">
        <v>1000</v>
      </c>
      <c r="AB372" s="578">
        <v>122.03100000000001</v>
      </c>
      <c r="AC372" s="496">
        <f t="shared" ref="AC372:AC377" si="159">+AB372+AA372</f>
        <v>1122.0309999999999</v>
      </c>
      <c r="AD372" s="579">
        <f t="shared" ref="AD372:AD377" si="160">+(Z372*12)+AC372</f>
        <v>31300.72315659919</v>
      </c>
      <c r="AE372" s="580">
        <f t="shared" ref="AE372:AE377" si="161">+AD372*Q372</f>
        <v>281706.50840939273</v>
      </c>
      <c r="AF372" s="580">
        <f t="shared" ref="AF372:AF377" si="162">+K372-Z372</f>
        <v>0</v>
      </c>
      <c r="AG372" s="577">
        <f t="shared" ref="AG372:AG377" si="163">+P372-AE372</f>
        <v>0</v>
      </c>
      <c r="AH372" s="580">
        <f>+Q372</f>
        <v>9</v>
      </c>
      <c r="AI372" s="577">
        <f t="shared" ref="AI372:AI377" si="164">+AE372</f>
        <v>281706.50840939273</v>
      </c>
    </row>
    <row r="373" spans="1:35" x14ac:dyDescent="0.2">
      <c r="A373" s="598" t="s">
        <v>590</v>
      </c>
      <c r="B373" s="576">
        <v>14</v>
      </c>
      <c r="C373" s="578">
        <v>2077</v>
      </c>
      <c r="D373" s="578"/>
      <c r="E373" s="578"/>
      <c r="F373" s="578"/>
      <c r="G373" s="578">
        <v>270.8910130499325</v>
      </c>
      <c r="H373" s="578"/>
      <c r="I373" s="578"/>
      <c r="J373" s="578">
        <v>158</v>
      </c>
      <c r="K373" s="578">
        <f t="shared" si="154"/>
        <v>2505.8910130499326</v>
      </c>
      <c r="L373" s="578">
        <v>1000</v>
      </c>
      <c r="M373" s="578">
        <v>121.50449999999999</v>
      </c>
      <c r="N373" s="496">
        <f t="shared" si="155"/>
        <v>1121.5045</v>
      </c>
      <c r="O373" s="579">
        <f t="shared" si="156"/>
        <v>31192.19665659919</v>
      </c>
      <c r="P373" s="580">
        <f t="shared" si="157"/>
        <v>436690.75319238869</v>
      </c>
      <c r="Q373" s="576">
        <v>14</v>
      </c>
      <c r="R373" s="578">
        <v>2077</v>
      </c>
      <c r="S373" s="578"/>
      <c r="T373" s="578"/>
      <c r="U373" s="578"/>
      <c r="V373" s="578">
        <v>270.8910130499325</v>
      </c>
      <c r="W373" s="578"/>
      <c r="X373" s="578"/>
      <c r="Y373" s="578">
        <v>158</v>
      </c>
      <c r="Z373" s="578">
        <f t="shared" si="158"/>
        <v>2505.8910130499326</v>
      </c>
      <c r="AA373" s="578">
        <v>1000</v>
      </c>
      <c r="AB373" s="578">
        <v>121.50449999999999</v>
      </c>
      <c r="AC373" s="496">
        <f t="shared" si="159"/>
        <v>1121.5045</v>
      </c>
      <c r="AD373" s="579">
        <f t="shared" si="160"/>
        <v>31192.19665659919</v>
      </c>
      <c r="AE373" s="580">
        <f t="shared" si="161"/>
        <v>436690.75319238869</v>
      </c>
      <c r="AF373" s="580">
        <f t="shared" si="162"/>
        <v>0</v>
      </c>
      <c r="AG373" s="577">
        <f t="shared" si="163"/>
        <v>0</v>
      </c>
      <c r="AH373" s="580">
        <f>+Q373</f>
        <v>14</v>
      </c>
      <c r="AI373" s="577">
        <f t="shared" si="164"/>
        <v>436690.75319238869</v>
      </c>
    </row>
    <row r="374" spans="1:35" x14ac:dyDescent="0.2">
      <c r="A374" s="598" t="s">
        <v>591</v>
      </c>
      <c r="B374" s="576">
        <v>9</v>
      </c>
      <c r="C374" s="578">
        <v>2068</v>
      </c>
      <c r="D374" s="578"/>
      <c r="E374" s="578"/>
      <c r="F374" s="578"/>
      <c r="G374" s="578">
        <v>270.8910130499325</v>
      </c>
      <c r="H374" s="578"/>
      <c r="I374" s="578"/>
      <c r="J374" s="578">
        <v>158</v>
      </c>
      <c r="K374" s="578">
        <f t="shared" si="154"/>
        <v>2496.8910130499326</v>
      </c>
      <c r="L374" s="578">
        <v>1000</v>
      </c>
      <c r="M374" s="578">
        <v>120.97799999999999</v>
      </c>
      <c r="N374" s="496">
        <f t="shared" si="155"/>
        <v>1120.9780000000001</v>
      </c>
      <c r="O374" s="579">
        <f t="shared" si="156"/>
        <v>31083.67015659919</v>
      </c>
      <c r="P374" s="580">
        <f t="shared" si="157"/>
        <v>279753.03140939272</v>
      </c>
      <c r="Q374" s="576">
        <v>9</v>
      </c>
      <c r="R374" s="578">
        <v>2068</v>
      </c>
      <c r="S374" s="578"/>
      <c r="T374" s="578"/>
      <c r="U374" s="578"/>
      <c r="V374" s="578">
        <v>270.8910130499325</v>
      </c>
      <c r="W374" s="578"/>
      <c r="X374" s="578"/>
      <c r="Y374" s="578">
        <v>158</v>
      </c>
      <c r="Z374" s="578">
        <f t="shared" si="158"/>
        <v>2496.8910130499326</v>
      </c>
      <c r="AA374" s="578">
        <v>1000</v>
      </c>
      <c r="AB374" s="578">
        <v>120.97799999999999</v>
      </c>
      <c r="AC374" s="496">
        <f t="shared" si="159"/>
        <v>1120.9780000000001</v>
      </c>
      <c r="AD374" s="579">
        <f t="shared" si="160"/>
        <v>31083.67015659919</v>
      </c>
      <c r="AE374" s="580">
        <f t="shared" si="161"/>
        <v>279753.03140939272</v>
      </c>
      <c r="AF374" s="580">
        <f t="shared" si="162"/>
        <v>0</v>
      </c>
      <c r="AG374" s="577">
        <f t="shared" si="163"/>
        <v>0</v>
      </c>
      <c r="AH374" s="580">
        <f>+Q374</f>
        <v>9</v>
      </c>
      <c r="AI374" s="577">
        <f t="shared" si="164"/>
        <v>279753.03140939272</v>
      </c>
    </row>
    <row r="375" spans="1:35" x14ac:dyDescent="0.2">
      <c r="A375" s="598" t="s">
        <v>644</v>
      </c>
      <c r="B375" s="576">
        <v>43</v>
      </c>
      <c r="C375" s="578">
        <v>2059</v>
      </c>
      <c r="D375" s="578"/>
      <c r="E375" s="578"/>
      <c r="F375" s="578"/>
      <c r="G375" s="578">
        <v>270.89101304993227</v>
      </c>
      <c r="H375" s="578"/>
      <c r="I375" s="578"/>
      <c r="J375" s="578">
        <v>158</v>
      </c>
      <c r="K375" s="578">
        <f t="shared" si="154"/>
        <v>2487.8910130499321</v>
      </c>
      <c r="L375" s="578">
        <v>1000</v>
      </c>
      <c r="M375" s="578">
        <v>120.45150000000001</v>
      </c>
      <c r="N375" s="496">
        <f t="shared" si="155"/>
        <v>1120.4515000000001</v>
      </c>
      <c r="O375" s="579">
        <f t="shared" si="156"/>
        <v>30975.143656599186</v>
      </c>
      <c r="P375" s="580">
        <f t="shared" si="157"/>
        <v>1331931.1772337649</v>
      </c>
      <c r="Q375" s="576">
        <v>43</v>
      </c>
      <c r="R375" s="578">
        <v>2059</v>
      </c>
      <c r="S375" s="578"/>
      <c r="T375" s="578"/>
      <c r="U375" s="578"/>
      <c r="V375" s="578">
        <v>270.89101304993227</v>
      </c>
      <c r="W375" s="578"/>
      <c r="X375" s="578"/>
      <c r="Y375" s="578">
        <v>158</v>
      </c>
      <c r="Z375" s="578">
        <f t="shared" si="158"/>
        <v>2487.8910130499321</v>
      </c>
      <c r="AA375" s="578">
        <v>1000</v>
      </c>
      <c r="AB375" s="578">
        <v>120.45150000000001</v>
      </c>
      <c r="AC375" s="496">
        <f t="shared" si="159"/>
        <v>1120.4515000000001</v>
      </c>
      <c r="AD375" s="579">
        <f t="shared" si="160"/>
        <v>30975.143656599186</v>
      </c>
      <c r="AE375" s="580">
        <f t="shared" si="161"/>
        <v>1331931.1772337649</v>
      </c>
      <c r="AF375" s="580">
        <f t="shared" si="162"/>
        <v>0</v>
      </c>
      <c r="AG375" s="577">
        <f t="shared" si="163"/>
        <v>0</v>
      </c>
      <c r="AH375" s="580">
        <f>+Q375</f>
        <v>43</v>
      </c>
      <c r="AI375" s="577">
        <f t="shared" si="164"/>
        <v>1331931.1772337649</v>
      </c>
    </row>
    <row r="376" spans="1:35" x14ac:dyDescent="0.2">
      <c r="A376" s="598" t="s">
        <v>645</v>
      </c>
      <c r="B376" s="576"/>
      <c r="C376" s="578"/>
      <c r="D376" s="578"/>
      <c r="E376" s="578"/>
      <c r="F376" s="578"/>
      <c r="G376" s="578"/>
      <c r="H376" s="578"/>
      <c r="I376" s="578"/>
      <c r="J376" s="578"/>
      <c r="K376" s="578">
        <f t="shared" si="154"/>
        <v>0</v>
      </c>
      <c r="L376" s="578"/>
      <c r="M376" s="578"/>
      <c r="N376" s="496">
        <f t="shared" si="155"/>
        <v>0</v>
      </c>
      <c r="O376" s="579">
        <f t="shared" si="156"/>
        <v>0</v>
      </c>
      <c r="P376" s="580">
        <f t="shared" si="157"/>
        <v>0</v>
      </c>
      <c r="Q376" s="576"/>
      <c r="R376" s="578"/>
      <c r="S376" s="578"/>
      <c r="T376" s="578"/>
      <c r="U376" s="578"/>
      <c r="V376" s="578"/>
      <c r="W376" s="578"/>
      <c r="X376" s="578"/>
      <c r="Y376" s="578"/>
      <c r="Z376" s="578">
        <f t="shared" si="158"/>
        <v>0</v>
      </c>
      <c r="AA376" s="578"/>
      <c r="AB376" s="578"/>
      <c r="AC376" s="496">
        <f t="shared" si="159"/>
        <v>0</v>
      </c>
      <c r="AD376" s="579">
        <f t="shared" si="160"/>
        <v>0</v>
      </c>
      <c r="AE376" s="580">
        <f t="shared" si="161"/>
        <v>0</v>
      </c>
      <c r="AF376" s="580">
        <f t="shared" si="162"/>
        <v>0</v>
      </c>
      <c r="AG376" s="577">
        <f t="shared" si="163"/>
        <v>0</v>
      </c>
      <c r="AH376" s="580">
        <f>+Q376</f>
        <v>0</v>
      </c>
      <c r="AI376" s="577">
        <f t="shared" si="164"/>
        <v>0</v>
      </c>
    </row>
    <row r="377" spans="1:35" x14ac:dyDescent="0.2">
      <c r="A377" s="598" t="s">
        <v>646</v>
      </c>
      <c r="B377" s="576">
        <v>22</v>
      </c>
      <c r="C377" s="578">
        <v>1919.4818181818182</v>
      </c>
      <c r="D377" s="578"/>
      <c r="E377" s="578"/>
      <c r="F377" s="578"/>
      <c r="G377" s="578">
        <v>270.8910130499325</v>
      </c>
      <c r="H377" s="578"/>
      <c r="I377" s="578"/>
      <c r="J377" s="578">
        <v>158</v>
      </c>
      <c r="K377" s="578">
        <f t="shared" si="154"/>
        <v>2348.3728312317508</v>
      </c>
      <c r="L377" s="578">
        <v>1000</v>
      </c>
      <c r="M377" s="578">
        <v>112</v>
      </c>
      <c r="N377" s="496">
        <f t="shared" si="155"/>
        <v>1112</v>
      </c>
      <c r="O377" s="579">
        <f t="shared" si="156"/>
        <v>29292.473974781009</v>
      </c>
      <c r="P377" s="580">
        <f t="shared" si="157"/>
        <v>644434.42744518223</v>
      </c>
      <c r="Q377" s="576">
        <v>22</v>
      </c>
      <c r="R377" s="578">
        <v>1919.4818181818182</v>
      </c>
      <c r="S377" s="578"/>
      <c r="T377" s="578"/>
      <c r="U377" s="578"/>
      <c r="V377" s="578">
        <v>270.8910130499325</v>
      </c>
      <c r="W377" s="578"/>
      <c r="X377" s="578"/>
      <c r="Y377" s="578">
        <v>158</v>
      </c>
      <c r="Z377" s="578">
        <f t="shared" si="158"/>
        <v>2348.3728312317508</v>
      </c>
      <c r="AA377" s="578">
        <v>1000</v>
      </c>
      <c r="AB377" s="578">
        <v>112</v>
      </c>
      <c r="AC377" s="496">
        <f t="shared" si="159"/>
        <v>1112</v>
      </c>
      <c r="AD377" s="579">
        <f t="shared" si="160"/>
        <v>29292.473974781009</v>
      </c>
      <c r="AE377" s="580">
        <f t="shared" si="161"/>
        <v>644434.42744518223</v>
      </c>
      <c r="AF377" s="580">
        <f t="shared" si="162"/>
        <v>0</v>
      </c>
      <c r="AG377" s="577">
        <f t="shared" si="163"/>
        <v>0</v>
      </c>
      <c r="AH377" s="580">
        <v>23</v>
      </c>
      <c r="AI377" s="577">
        <f t="shared" si="164"/>
        <v>644434.42744518223</v>
      </c>
    </row>
    <row r="378" spans="1:35" x14ac:dyDescent="0.2">
      <c r="A378" s="599" t="s">
        <v>754</v>
      </c>
      <c r="B378" s="587">
        <f t="shared" ref="B378:AI378" si="165">+B371+B364+B359</f>
        <v>492</v>
      </c>
      <c r="C378" s="588">
        <f t="shared" si="165"/>
        <v>27288.140309480488</v>
      </c>
      <c r="D378" s="588">
        <f t="shared" si="165"/>
        <v>0</v>
      </c>
      <c r="E378" s="588">
        <f t="shared" si="165"/>
        <v>0</v>
      </c>
      <c r="F378" s="588">
        <f t="shared" si="165"/>
        <v>0</v>
      </c>
      <c r="G378" s="588">
        <f t="shared" si="165"/>
        <v>3707.6009358043871</v>
      </c>
      <c r="H378" s="588">
        <f t="shared" si="165"/>
        <v>0</v>
      </c>
      <c r="I378" s="588">
        <f t="shared" si="165"/>
        <v>0</v>
      </c>
      <c r="J378" s="588">
        <f t="shared" si="165"/>
        <v>2129.5633802816901</v>
      </c>
      <c r="K378" s="588">
        <f t="shared" si="165"/>
        <v>33125.304625566561</v>
      </c>
      <c r="L378" s="588">
        <f t="shared" si="165"/>
        <v>13000</v>
      </c>
      <c r="M378" s="588">
        <f t="shared" si="165"/>
        <v>1596.0665217409723</v>
      </c>
      <c r="N378" s="588">
        <f t="shared" si="165"/>
        <v>14596.066521740973</v>
      </c>
      <c r="O378" s="588">
        <f t="shared" si="165"/>
        <v>412099.72202853975</v>
      </c>
      <c r="P378" s="588">
        <f t="shared" si="165"/>
        <v>15621995.701810198</v>
      </c>
      <c r="Q378" s="587">
        <f t="shared" si="165"/>
        <v>492</v>
      </c>
      <c r="R378" s="588">
        <f t="shared" si="165"/>
        <v>27288.140309480488</v>
      </c>
      <c r="S378" s="588">
        <f t="shared" si="165"/>
        <v>0</v>
      </c>
      <c r="T378" s="588">
        <f t="shared" si="165"/>
        <v>0</v>
      </c>
      <c r="U378" s="588">
        <f t="shared" si="165"/>
        <v>0</v>
      </c>
      <c r="V378" s="588">
        <f t="shared" si="165"/>
        <v>3707.6009358043871</v>
      </c>
      <c r="W378" s="588">
        <f t="shared" si="165"/>
        <v>0</v>
      </c>
      <c r="X378" s="588">
        <f t="shared" si="165"/>
        <v>0</v>
      </c>
      <c r="Y378" s="588">
        <f t="shared" si="165"/>
        <v>2129.5633802816901</v>
      </c>
      <c r="Z378" s="588">
        <f t="shared" si="165"/>
        <v>33125.304625566561</v>
      </c>
      <c r="AA378" s="588">
        <f t="shared" si="165"/>
        <v>13000</v>
      </c>
      <c r="AB378" s="588">
        <f t="shared" si="165"/>
        <v>1596.0665217409723</v>
      </c>
      <c r="AC378" s="588">
        <f t="shared" si="165"/>
        <v>14596.066521740973</v>
      </c>
      <c r="AD378" s="588">
        <f t="shared" si="165"/>
        <v>412099.72202853975</v>
      </c>
      <c r="AE378" s="588">
        <f t="shared" si="165"/>
        <v>15621995.701810198</v>
      </c>
      <c r="AF378" s="588">
        <f t="shared" si="165"/>
        <v>0</v>
      </c>
      <c r="AG378" s="588">
        <f t="shared" si="165"/>
        <v>0</v>
      </c>
      <c r="AH378" s="588">
        <f t="shared" si="165"/>
        <v>493</v>
      </c>
      <c r="AI378" s="588">
        <f t="shared" si="165"/>
        <v>15621995.701810198</v>
      </c>
    </row>
    <row r="379" spans="1:35" x14ac:dyDescent="0.2">
      <c r="A379" s="572" t="s">
        <v>647</v>
      </c>
      <c r="B379" s="572"/>
      <c r="C379" s="573"/>
      <c r="D379" s="573"/>
      <c r="E379" s="573"/>
      <c r="F379" s="573"/>
      <c r="G379" s="573"/>
      <c r="H379" s="573"/>
      <c r="I379" s="573"/>
      <c r="J379" s="573"/>
      <c r="K379" s="573"/>
      <c r="L379" s="573"/>
      <c r="M379" s="573"/>
      <c r="N379" s="234"/>
      <c r="O379" s="574"/>
      <c r="P379" s="575"/>
      <c r="Q379" s="572"/>
      <c r="R379" s="573"/>
      <c r="S379" s="573"/>
      <c r="T379" s="573"/>
      <c r="U379" s="573"/>
      <c r="V379" s="573"/>
      <c r="W379" s="573"/>
      <c r="X379" s="573"/>
      <c r="Y379" s="573"/>
      <c r="Z379" s="573"/>
      <c r="AA379" s="573"/>
      <c r="AB379" s="573"/>
      <c r="AC379" s="234"/>
      <c r="AD379" s="574"/>
      <c r="AE379" s="575"/>
      <c r="AF379" s="575"/>
      <c r="AG379" s="572"/>
      <c r="AH379" s="575"/>
      <c r="AI379" s="572"/>
    </row>
    <row r="380" spans="1:35" x14ac:dyDescent="0.2">
      <c r="A380" s="572" t="s">
        <v>755</v>
      </c>
      <c r="B380" s="572"/>
      <c r="C380" s="573"/>
      <c r="D380" s="573"/>
      <c r="E380" s="573"/>
      <c r="F380" s="573"/>
      <c r="G380" s="573"/>
      <c r="H380" s="573"/>
      <c r="I380" s="573"/>
      <c r="J380" s="573"/>
      <c r="K380" s="573"/>
      <c r="L380" s="573"/>
      <c r="M380" s="573"/>
      <c r="N380" s="234"/>
      <c r="O380" s="574"/>
      <c r="P380" s="575"/>
      <c r="Q380" s="572"/>
      <c r="R380" s="573"/>
      <c r="S380" s="573"/>
      <c r="T380" s="573"/>
      <c r="U380" s="573"/>
      <c r="V380" s="573"/>
      <c r="W380" s="573"/>
      <c r="X380" s="573"/>
      <c r="Y380" s="573"/>
      <c r="Z380" s="573"/>
      <c r="AA380" s="573"/>
      <c r="AB380" s="573"/>
      <c r="AC380" s="234"/>
      <c r="AD380" s="574"/>
      <c r="AE380" s="575"/>
      <c r="AF380" s="575"/>
      <c r="AG380" s="572"/>
      <c r="AH380" s="575"/>
      <c r="AI380" s="572"/>
    </row>
    <row r="381" spans="1:35" x14ac:dyDescent="0.2">
      <c r="A381" s="572" t="s">
        <v>647</v>
      </c>
      <c r="B381" s="572"/>
      <c r="C381" s="573"/>
      <c r="D381" s="573"/>
      <c r="E381" s="573"/>
      <c r="F381" s="573"/>
      <c r="G381" s="573"/>
      <c r="H381" s="573"/>
      <c r="I381" s="573"/>
      <c r="J381" s="573"/>
      <c r="K381" s="573"/>
      <c r="L381" s="573"/>
      <c r="M381" s="573"/>
      <c r="N381" s="234"/>
      <c r="O381" s="574"/>
      <c r="P381" s="575"/>
      <c r="Q381" s="572"/>
      <c r="R381" s="573"/>
      <c r="S381" s="573"/>
      <c r="T381" s="573"/>
      <c r="U381" s="573"/>
      <c r="V381" s="573"/>
      <c r="W381" s="573"/>
      <c r="X381" s="573"/>
      <c r="Y381" s="573"/>
      <c r="Z381" s="573"/>
      <c r="AA381" s="573"/>
      <c r="AB381" s="573"/>
      <c r="AC381" s="234"/>
      <c r="AD381" s="574"/>
      <c r="AE381" s="575"/>
      <c r="AF381" s="575"/>
      <c r="AG381" s="572"/>
      <c r="AH381" s="575"/>
      <c r="AI381" s="572"/>
    </row>
    <row r="382" spans="1:35" x14ac:dyDescent="0.2">
      <c r="A382" s="572" t="s">
        <v>647</v>
      </c>
      <c r="B382" s="572"/>
      <c r="C382" s="573"/>
      <c r="D382" s="573"/>
      <c r="E382" s="573"/>
      <c r="F382" s="573"/>
      <c r="G382" s="573"/>
      <c r="H382" s="573"/>
      <c r="I382" s="573"/>
      <c r="J382" s="573"/>
      <c r="K382" s="573"/>
      <c r="L382" s="573"/>
      <c r="M382" s="573"/>
      <c r="N382" s="234"/>
      <c r="O382" s="574"/>
      <c r="P382" s="575"/>
      <c r="Q382" s="572"/>
      <c r="R382" s="573"/>
      <c r="S382" s="573"/>
      <c r="T382" s="573"/>
      <c r="U382" s="573"/>
      <c r="V382" s="573"/>
      <c r="W382" s="573"/>
      <c r="X382" s="573"/>
      <c r="Y382" s="573"/>
      <c r="Z382" s="573"/>
      <c r="AA382" s="573"/>
      <c r="AB382" s="573"/>
      <c r="AC382" s="234"/>
      <c r="AD382" s="574"/>
      <c r="AE382" s="575"/>
      <c r="AF382" s="575"/>
      <c r="AG382" s="572"/>
      <c r="AH382" s="575"/>
      <c r="AI382" s="572"/>
    </row>
    <row r="383" spans="1:35" x14ac:dyDescent="0.2">
      <c r="A383" s="572" t="s">
        <v>648</v>
      </c>
      <c r="B383" s="572"/>
      <c r="C383" s="573"/>
      <c r="D383" s="573"/>
      <c r="E383" s="573"/>
      <c r="F383" s="573"/>
      <c r="G383" s="573"/>
      <c r="H383" s="573"/>
      <c r="I383" s="573"/>
      <c r="J383" s="573"/>
      <c r="K383" s="573"/>
      <c r="L383" s="573"/>
      <c r="M383" s="573"/>
      <c r="N383" s="234"/>
      <c r="O383" s="574"/>
      <c r="P383" s="575"/>
      <c r="Q383" s="572"/>
      <c r="R383" s="573"/>
      <c r="S383" s="573"/>
      <c r="T383" s="573"/>
      <c r="U383" s="573"/>
      <c r="V383" s="573"/>
      <c r="W383" s="573"/>
      <c r="X383" s="573"/>
      <c r="Y383" s="573"/>
      <c r="Z383" s="573"/>
      <c r="AA383" s="573"/>
      <c r="AB383" s="573"/>
      <c r="AC383" s="234"/>
      <c r="AD383" s="574"/>
      <c r="AE383" s="575"/>
      <c r="AF383" s="575"/>
      <c r="AG383" s="572"/>
      <c r="AH383" s="575"/>
      <c r="AI383" s="572"/>
    </row>
    <row r="384" spans="1:35" x14ac:dyDescent="0.2">
      <c r="A384" s="572" t="s">
        <v>647</v>
      </c>
      <c r="B384" s="572"/>
      <c r="C384" s="573"/>
      <c r="D384" s="573"/>
      <c r="E384" s="573"/>
      <c r="F384" s="573"/>
      <c r="G384" s="573"/>
      <c r="H384" s="573"/>
      <c r="I384" s="573"/>
      <c r="J384" s="573"/>
      <c r="K384" s="573"/>
      <c r="L384" s="573"/>
      <c r="M384" s="573"/>
      <c r="N384" s="234"/>
      <c r="O384" s="574"/>
      <c r="P384" s="575"/>
      <c r="Q384" s="572"/>
      <c r="R384" s="573"/>
      <c r="S384" s="573"/>
      <c r="T384" s="573"/>
      <c r="U384" s="573"/>
      <c r="V384" s="573"/>
      <c r="W384" s="573"/>
      <c r="X384" s="573"/>
      <c r="Y384" s="573"/>
      <c r="Z384" s="573"/>
      <c r="AA384" s="573"/>
      <c r="AB384" s="573"/>
      <c r="AC384" s="234"/>
      <c r="AD384" s="574"/>
      <c r="AE384" s="575"/>
      <c r="AF384" s="575"/>
      <c r="AG384" s="572"/>
      <c r="AH384" s="575"/>
      <c r="AI384" s="572"/>
    </row>
    <row r="385" spans="1:35" x14ac:dyDescent="0.2">
      <c r="A385" s="572" t="s">
        <v>647</v>
      </c>
      <c r="B385" s="572"/>
      <c r="C385" s="573"/>
      <c r="D385" s="573"/>
      <c r="E385" s="573"/>
      <c r="F385" s="573"/>
      <c r="G385" s="573"/>
      <c r="H385" s="573"/>
      <c r="I385" s="573"/>
      <c r="J385" s="573"/>
      <c r="K385" s="573"/>
      <c r="L385" s="573"/>
      <c r="M385" s="573"/>
      <c r="N385" s="234"/>
      <c r="O385" s="574"/>
      <c r="P385" s="575"/>
      <c r="Q385" s="572"/>
      <c r="R385" s="573"/>
      <c r="S385" s="573"/>
      <c r="T385" s="573"/>
      <c r="U385" s="573"/>
      <c r="V385" s="573"/>
      <c r="W385" s="573"/>
      <c r="X385" s="573"/>
      <c r="Y385" s="573"/>
      <c r="Z385" s="573"/>
      <c r="AA385" s="573"/>
      <c r="AB385" s="573"/>
      <c r="AC385" s="234"/>
      <c r="AD385" s="574"/>
      <c r="AE385" s="575"/>
      <c r="AF385" s="575"/>
      <c r="AG385" s="572"/>
      <c r="AH385" s="575"/>
      <c r="AI385" s="572"/>
    </row>
    <row r="386" spans="1:35" x14ac:dyDescent="0.2">
      <c r="A386" s="572" t="s">
        <v>665</v>
      </c>
      <c r="B386" s="572"/>
      <c r="C386" s="573"/>
      <c r="D386" s="573"/>
      <c r="E386" s="573"/>
      <c r="F386" s="573"/>
      <c r="G386" s="573"/>
      <c r="H386" s="573"/>
      <c r="I386" s="573"/>
      <c r="J386" s="573"/>
      <c r="K386" s="573"/>
      <c r="L386" s="573"/>
      <c r="M386" s="573"/>
      <c r="N386" s="234"/>
      <c r="O386" s="574"/>
      <c r="P386" s="575"/>
      <c r="Q386" s="572"/>
      <c r="R386" s="573"/>
      <c r="S386" s="573"/>
      <c r="T386" s="573"/>
      <c r="U386" s="573"/>
      <c r="V386" s="573"/>
      <c r="W386" s="573"/>
      <c r="X386" s="573"/>
      <c r="Y386" s="573"/>
      <c r="Z386" s="573"/>
      <c r="AA386" s="573"/>
      <c r="AB386" s="573"/>
      <c r="AC386" s="234"/>
      <c r="AD386" s="574"/>
      <c r="AE386" s="575"/>
      <c r="AF386" s="575"/>
      <c r="AG386" s="572"/>
      <c r="AH386" s="575"/>
      <c r="AI386" s="572"/>
    </row>
    <row r="387" spans="1:35" x14ac:dyDescent="0.2">
      <c r="A387" s="572" t="s">
        <v>647</v>
      </c>
      <c r="B387" s="572"/>
      <c r="C387" s="573"/>
      <c r="D387" s="573"/>
      <c r="E387" s="573"/>
      <c r="F387" s="573"/>
      <c r="G387" s="573"/>
      <c r="H387" s="573"/>
      <c r="I387" s="573"/>
      <c r="J387" s="573"/>
      <c r="K387" s="573"/>
      <c r="L387" s="573"/>
      <c r="M387" s="573"/>
      <c r="N387" s="234"/>
      <c r="O387" s="574"/>
      <c r="P387" s="575"/>
      <c r="Q387" s="572"/>
      <c r="R387" s="573"/>
      <c r="S387" s="573"/>
      <c r="T387" s="573"/>
      <c r="U387" s="573"/>
      <c r="V387" s="573"/>
      <c r="W387" s="573"/>
      <c r="X387" s="573"/>
      <c r="Y387" s="573"/>
      <c r="Z387" s="573"/>
      <c r="AA387" s="573"/>
      <c r="AB387" s="573"/>
      <c r="AC387" s="234"/>
      <c r="AD387" s="574"/>
      <c r="AE387" s="575"/>
      <c r="AF387" s="575"/>
      <c r="AG387" s="572"/>
      <c r="AH387" s="575"/>
      <c r="AI387" s="572"/>
    </row>
    <row r="388" spans="1:35" x14ac:dyDescent="0.2">
      <c r="A388" s="572" t="s">
        <v>647</v>
      </c>
      <c r="B388" s="572"/>
      <c r="C388" s="573"/>
      <c r="D388" s="573"/>
      <c r="E388" s="573"/>
      <c r="F388" s="573"/>
      <c r="G388" s="573"/>
      <c r="H388" s="573"/>
      <c r="I388" s="573"/>
      <c r="J388" s="573"/>
      <c r="K388" s="573"/>
      <c r="L388" s="573"/>
      <c r="M388" s="573"/>
      <c r="N388" s="234"/>
      <c r="O388" s="574"/>
      <c r="P388" s="575"/>
      <c r="Q388" s="572"/>
      <c r="R388" s="573"/>
      <c r="S388" s="573"/>
      <c r="T388" s="573"/>
      <c r="U388" s="573"/>
      <c r="V388" s="573"/>
      <c r="W388" s="573"/>
      <c r="X388" s="573"/>
      <c r="Y388" s="573"/>
      <c r="Z388" s="573"/>
      <c r="AA388" s="573"/>
      <c r="AB388" s="573"/>
      <c r="AC388" s="234"/>
      <c r="AD388" s="574"/>
      <c r="AE388" s="575"/>
      <c r="AF388" s="575"/>
      <c r="AG388" s="572"/>
      <c r="AH388" s="575"/>
      <c r="AI388" s="572"/>
    </row>
    <row r="389" spans="1:35" x14ac:dyDescent="0.2">
      <c r="A389" s="572" t="s">
        <v>756</v>
      </c>
      <c r="B389" s="572"/>
      <c r="C389" s="573"/>
      <c r="D389" s="573"/>
      <c r="E389" s="573"/>
      <c r="F389" s="573"/>
      <c r="G389" s="573"/>
      <c r="H389" s="573"/>
      <c r="I389" s="573"/>
      <c r="J389" s="573"/>
      <c r="K389" s="573"/>
      <c r="L389" s="573"/>
      <c r="M389" s="573"/>
      <c r="N389" s="234"/>
      <c r="O389" s="574"/>
      <c r="P389" s="575"/>
      <c r="Q389" s="572"/>
      <c r="R389" s="573"/>
      <c r="S389" s="573"/>
      <c r="T389" s="573"/>
      <c r="U389" s="573"/>
      <c r="V389" s="573"/>
      <c r="W389" s="573"/>
      <c r="X389" s="573"/>
      <c r="Y389" s="573"/>
      <c r="Z389" s="573"/>
      <c r="AA389" s="573"/>
      <c r="AB389" s="573"/>
      <c r="AC389" s="234"/>
      <c r="AD389" s="574"/>
      <c r="AE389" s="575"/>
      <c r="AF389" s="575"/>
      <c r="AG389" s="572"/>
      <c r="AH389" s="575"/>
      <c r="AI389" s="572"/>
    </row>
    <row r="390" spans="1:35" x14ac:dyDescent="0.2">
      <c r="A390" s="572" t="s">
        <v>647</v>
      </c>
      <c r="B390" s="572"/>
      <c r="C390" s="573"/>
      <c r="D390" s="573"/>
      <c r="E390" s="573"/>
      <c r="F390" s="573"/>
      <c r="G390" s="573"/>
      <c r="H390" s="573"/>
      <c r="I390" s="573"/>
      <c r="J390" s="573"/>
      <c r="K390" s="573"/>
      <c r="L390" s="573"/>
      <c r="M390" s="573"/>
      <c r="N390" s="234"/>
      <c r="O390" s="574"/>
      <c r="P390" s="575"/>
      <c r="Q390" s="572"/>
      <c r="R390" s="573"/>
      <c r="S390" s="573"/>
      <c r="T390" s="573"/>
      <c r="U390" s="573"/>
      <c r="V390" s="573"/>
      <c r="W390" s="573"/>
      <c r="X390" s="573"/>
      <c r="Y390" s="573"/>
      <c r="Z390" s="573"/>
      <c r="AA390" s="573"/>
      <c r="AB390" s="573"/>
      <c r="AC390" s="234"/>
      <c r="AD390" s="574"/>
      <c r="AE390" s="575"/>
      <c r="AF390" s="575"/>
      <c r="AG390" s="572"/>
      <c r="AH390" s="575"/>
      <c r="AI390" s="572"/>
    </row>
    <row r="391" spans="1:35" x14ac:dyDescent="0.2">
      <c r="A391" s="572" t="s">
        <v>647</v>
      </c>
      <c r="B391" s="572"/>
      <c r="C391" s="573"/>
      <c r="D391" s="573"/>
      <c r="E391" s="573"/>
      <c r="F391" s="573"/>
      <c r="G391" s="573"/>
      <c r="H391" s="573"/>
      <c r="I391" s="573"/>
      <c r="J391" s="573"/>
      <c r="K391" s="573"/>
      <c r="L391" s="573"/>
      <c r="M391" s="573"/>
      <c r="N391" s="234"/>
      <c r="O391" s="574"/>
      <c r="P391" s="575"/>
      <c r="Q391" s="572"/>
      <c r="R391" s="573"/>
      <c r="S391" s="573"/>
      <c r="T391" s="573"/>
      <c r="U391" s="573"/>
      <c r="V391" s="573"/>
      <c r="W391" s="573"/>
      <c r="X391" s="573"/>
      <c r="Y391" s="573"/>
      <c r="Z391" s="573"/>
      <c r="AA391" s="573"/>
      <c r="AB391" s="573"/>
      <c r="AC391" s="234"/>
      <c r="AD391" s="574"/>
      <c r="AE391" s="575"/>
      <c r="AF391" s="575"/>
      <c r="AG391" s="572"/>
      <c r="AH391" s="575"/>
      <c r="AI391" s="572"/>
    </row>
    <row r="392" spans="1:35" x14ac:dyDescent="0.2">
      <c r="A392" s="572" t="s">
        <v>757</v>
      </c>
      <c r="B392" s="572"/>
      <c r="C392" s="573"/>
      <c r="D392" s="573"/>
      <c r="E392" s="573"/>
      <c r="F392" s="573"/>
      <c r="G392" s="573"/>
      <c r="H392" s="573"/>
      <c r="I392" s="573"/>
      <c r="J392" s="573"/>
      <c r="K392" s="573"/>
      <c r="L392" s="573"/>
      <c r="M392" s="573"/>
      <c r="N392" s="234"/>
      <c r="O392" s="574"/>
      <c r="P392" s="575"/>
      <c r="Q392" s="572"/>
      <c r="R392" s="573"/>
      <c r="S392" s="573"/>
      <c r="T392" s="573"/>
      <c r="U392" s="573"/>
      <c r="V392" s="573"/>
      <c r="W392" s="573"/>
      <c r="X392" s="573"/>
      <c r="Y392" s="573"/>
      <c r="Z392" s="573"/>
      <c r="AA392" s="573"/>
      <c r="AB392" s="573"/>
      <c r="AC392" s="234"/>
      <c r="AD392" s="574"/>
      <c r="AE392" s="575"/>
      <c r="AF392" s="575"/>
      <c r="AG392" s="572"/>
      <c r="AH392" s="575"/>
      <c r="AI392" s="572"/>
    </row>
    <row r="393" spans="1:35" x14ac:dyDescent="0.2">
      <c r="A393" s="572" t="s">
        <v>647</v>
      </c>
      <c r="B393" s="572"/>
      <c r="C393" s="573"/>
      <c r="D393" s="573"/>
      <c r="E393" s="573"/>
      <c r="F393" s="573"/>
      <c r="G393" s="573"/>
      <c r="H393" s="573"/>
      <c r="I393" s="573"/>
      <c r="J393" s="573"/>
      <c r="K393" s="573"/>
      <c r="L393" s="573"/>
      <c r="M393" s="573"/>
      <c r="N393" s="234"/>
      <c r="O393" s="574"/>
      <c r="P393" s="575"/>
      <c r="Q393" s="572"/>
      <c r="R393" s="573"/>
      <c r="S393" s="573"/>
      <c r="T393" s="573"/>
      <c r="U393" s="573"/>
      <c r="V393" s="573"/>
      <c r="W393" s="573"/>
      <c r="X393" s="573"/>
      <c r="Y393" s="573"/>
      <c r="Z393" s="573"/>
      <c r="AA393" s="573"/>
      <c r="AB393" s="573"/>
      <c r="AC393" s="234"/>
      <c r="AD393" s="574"/>
      <c r="AE393" s="575"/>
      <c r="AF393" s="575"/>
      <c r="AG393" s="572"/>
      <c r="AH393" s="575"/>
      <c r="AI393" s="572"/>
    </row>
    <row r="394" spans="1:35" x14ac:dyDescent="0.2">
      <c r="A394" s="572" t="s">
        <v>647</v>
      </c>
      <c r="B394" s="572"/>
      <c r="C394" s="573"/>
      <c r="D394" s="573"/>
      <c r="E394" s="573"/>
      <c r="F394" s="573"/>
      <c r="G394" s="573"/>
      <c r="H394" s="573"/>
      <c r="I394" s="573"/>
      <c r="J394" s="573"/>
      <c r="K394" s="573"/>
      <c r="L394" s="573"/>
      <c r="M394" s="573"/>
      <c r="N394" s="234"/>
      <c r="O394" s="574"/>
      <c r="P394" s="575"/>
      <c r="Q394" s="572"/>
      <c r="R394" s="573"/>
      <c r="S394" s="573"/>
      <c r="T394" s="573"/>
      <c r="U394" s="573"/>
      <c r="V394" s="573"/>
      <c r="W394" s="573"/>
      <c r="X394" s="573"/>
      <c r="Y394" s="573"/>
      <c r="Z394" s="573"/>
      <c r="AA394" s="573"/>
      <c r="AB394" s="573"/>
      <c r="AC394" s="234"/>
      <c r="AD394" s="574"/>
      <c r="AE394" s="575"/>
      <c r="AF394" s="575"/>
      <c r="AG394" s="572"/>
      <c r="AH394" s="575"/>
      <c r="AI394" s="572"/>
    </row>
    <row r="395" spans="1:35" x14ac:dyDescent="0.2">
      <c r="A395" s="572" t="s">
        <v>758</v>
      </c>
      <c r="B395" s="572"/>
      <c r="C395" s="573"/>
      <c r="D395" s="573"/>
      <c r="E395" s="573"/>
      <c r="F395" s="573"/>
      <c r="G395" s="573"/>
      <c r="H395" s="573"/>
      <c r="I395" s="573"/>
      <c r="J395" s="573"/>
      <c r="K395" s="573"/>
      <c r="L395" s="573"/>
      <c r="M395" s="573"/>
      <c r="N395" s="234"/>
      <c r="O395" s="574"/>
      <c r="P395" s="575"/>
      <c r="Q395" s="572"/>
      <c r="R395" s="573"/>
      <c r="S395" s="573"/>
      <c r="T395" s="573"/>
      <c r="U395" s="573"/>
      <c r="V395" s="573"/>
      <c r="W395" s="573"/>
      <c r="X395" s="573"/>
      <c r="Y395" s="573"/>
      <c r="Z395" s="573"/>
      <c r="AA395" s="573"/>
      <c r="AB395" s="573"/>
      <c r="AC395" s="234"/>
      <c r="AD395" s="574"/>
      <c r="AE395" s="575"/>
      <c r="AF395" s="575"/>
      <c r="AG395" s="572"/>
      <c r="AH395" s="575"/>
      <c r="AI395" s="572"/>
    </row>
    <row r="396" spans="1:35" x14ac:dyDescent="0.2">
      <c r="A396" s="572" t="s">
        <v>647</v>
      </c>
      <c r="B396" s="572"/>
      <c r="C396" s="573"/>
      <c r="D396" s="573"/>
      <c r="E396" s="573"/>
      <c r="F396" s="573"/>
      <c r="G396" s="573"/>
      <c r="H396" s="573"/>
      <c r="I396" s="573"/>
      <c r="J396" s="573"/>
      <c r="K396" s="573"/>
      <c r="L396" s="573"/>
      <c r="M396" s="573"/>
      <c r="N396" s="234"/>
      <c r="O396" s="574"/>
      <c r="P396" s="575"/>
      <c r="Q396" s="572"/>
      <c r="R396" s="573"/>
      <c r="S396" s="573"/>
      <c r="T396" s="573"/>
      <c r="U396" s="573"/>
      <c r="V396" s="573"/>
      <c r="W396" s="573"/>
      <c r="X396" s="573"/>
      <c r="Y396" s="573"/>
      <c r="Z396" s="573"/>
      <c r="AA396" s="573"/>
      <c r="AB396" s="573"/>
      <c r="AC396" s="234"/>
      <c r="AD396" s="574"/>
      <c r="AE396" s="575"/>
      <c r="AF396" s="575"/>
      <c r="AG396" s="572"/>
      <c r="AH396" s="575"/>
      <c r="AI396" s="572"/>
    </row>
    <row r="397" spans="1:35" x14ac:dyDescent="0.2">
      <c r="A397" s="572" t="s">
        <v>647</v>
      </c>
      <c r="B397" s="572"/>
      <c r="C397" s="573"/>
      <c r="D397" s="573"/>
      <c r="E397" s="573"/>
      <c r="F397" s="573"/>
      <c r="G397" s="573"/>
      <c r="H397" s="573"/>
      <c r="I397" s="573"/>
      <c r="J397" s="573"/>
      <c r="K397" s="573"/>
      <c r="L397" s="573"/>
      <c r="M397" s="573"/>
      <c r="N397" s="234"/>
      <c r="O397" s="574"/>
      <c r="P397" s="575"/>
      <c r="Q397" s="572"/>
      <c r="R397" s="573"/>
      <c r="S397" s="573"/>
      <c r="T397" s="573"/>
      <c r="U397" s="573"/>
      <c r="V397" s="573"/>
      <c r="W397" s="573"/>
      <c r="X397" s="573"/>
      <c r="Y397" s="573"/>
      <c r="Z397" s="573"/>
      <c r="AA397" s="573"/>
      <c r="AB397" s="573"/>
      <c r="AC397" s="234"/>
      <c r="AD397" s="574"/>
      <c r="AE397" s="575"/>
      <c r="AF397" s="575"/>
      <c r="AG397" s="572"/>
      <c r="AH397" s="575"/>
      <c r="AI397" s="572"/>
    </row>
    <row r="398" spans="1:35" x14ac:dyDescent="0.2">
      <c r="A398" s="572" t="s">
        <v>759</v>
      </c>
      <c r="B398" s="572"/>
      <c r="C398" s="573"/>
      <c r="D398" s="573"/>
      <c r="E398" s="573"/>
      <c r="F398" s="573"/>
      <c r="G398" s="573"/>
      <c r="H398" s="573"/>
      <c r="I398" s="573"/>
      <c r="J398" s="573"/>
      <c r="K398" s="573"/>
      <c r="L398" s="573"/>
      <c r="M398" s="573"/>
      <c r="N398" s="234"/>
      <c r="O398" s="574"/>
      <c r="P398" s="575"/>
      <c r="Q398" s="572"/>
      <c r="R398" s="573"/>
      <c r="S398" s="573"/>
      <c r="T398" s="573"/>
      <c r="U398" s="573"/>
      <c r="V398" s="573"/>
      <c r="W398" s="573"/>
      <c r="X398" s="573"/>
      <c r="Y398" s="573"/>
      <c r="Z398" s="573"/>
      <c r="AA398" s="573"/>
      <c r="AB398" s="573"/>
      <c r="AC398" s="234"/>
      <c r="AD398" s="574"/>
      <c r="AE398" s="575"/>
      <c r="AF398" s="575"/>
      <c r="AG398" s="572"/>
      <c r="AH398" s="575"/>
      <c r="AI398" s="572"/>
    </row>
    <row r="399" spans="1:35" x14ac:dyDescent="0.2">
      <c r="A399" s="572" t="s">
        <v>647</v>
      </c>
      <c r="B399" s="572"/>
      <c r="C399" s="573"/>
      <c r="D399" s="573"/>
      <c r="E399" s="573"/>
      <c r="F399" s="573"/>
      <c r="G399" s="573"/>
      <c r="H399" s="573"/>
      <c r="I399" s="573"/>
      <c r="J399" s="573"/>
      <c r="K399" s="573"/>
      <c r="L399" s="573"/>
      <c r="M399" s="573"/>
      <c r="N399" s="234"/>
      <c r="O399" s="574"/>
      <c r="P399" s="575"/>
      <c r="Q399" s="572"/>
      <c r="R399" s="573"/>
      <c r="S399" s="573"/>
      <c r="T399" s="573"/>
      <c r="U399" s="573"/>
      <c r="V399" s="573"/>
      <c r="W399" s="573"/>
      <c r="X399" s="573"/>
      <c r="Y399" s="573"/>
      <c r="Z399" s="573"/>
      <c r="AA399" s="573"/>
      <c r="AB399" s="573"/>
      <c r="AC399" s="234"/>
      <c r="AD399" s="574"/>
      <c r="AE399" s="575"/>
      <c r="AF399" s="575"/>
      <c r="AG399" s="572"/>
      <c r="AH399" s="575"/>
      <c r="AI399" s="572"/>
    </row>
    <row r="400" spans="1:35" x14ac:dyDescent="0.2">
      <c r="A400" s="572" t="s">
        <v>647</v>
      </c>
      <c r="B400" s="572"/>
      <c r="C400" s="573"/>
      <c r="D400" s="573"/>
      <c r="E400" s="573"/>
      <c r="F400" s="573"/>
      <c r="G400" s="573"/>
      <c r="H400" s="573"/>
      <c r="I400" s="573"/>
      <c r="J400" s="573"/>
      <c r="K400" s="573"/>
      <c r="L400" s="573"/>
      <c r="M400" s="573"/>
      <c r="N400" s="234"/>
      <c r="O400" s="574"/>
      <c r="P400" s="575"/>
      <c r="Q400" s="572"/>
      <c r="R400" s="573"/>
      <c r="S400" s="573"/>
      <c r="T400" s="573"/>
      <c r="U400" s="573"/>
      <c r="V400" s="573"/>
      <c r="W400" s="573"/>
      <c r="X400" s="573"/>
      <c r="Y400" s="573"/>
      <c r="Z400" s="573"/>
      <c r="AA400" s="573"/>
      <c r="AB400" s="573"/>
      <c r="AC400" s="234"/>
      <c r="AD400" s="574"/>
      <c r="AE400" s="575"/>
      <c r="AF400" s="575"/>
      <c r="AG400" s="572"/>
      <c r="AH400" s="575"/>
      <c r="AI400" s="572"/>
    </row>
    <row r="401" spans="1:35" x14ac:dyDescent="0.2">
      <c r="A401" s="572" t="s">
        <v>760</v>
      </c>
      <c r="B401" s="572"/>
      <c r="C401" s="573"/>
      <c r="D401" s="573"/>
      <c r="E401" s="573"/>
      <c r="F401" s="573"/>
      <c r="G401" s="573"/>
      <c r="H401" s="573"/>
      <c r="I401" s="573"/>
      <c r="J401" s="573"/>
      <c r="K401" s="573"/>
      <c r="L401" s="573"/>
      <c r="M401" s="573"/>
      <c r="N401" s="234"/>
      <c r="O401" s="574"/>
      <c r="P401" s="575"/>
      <c r="Q401" s="572"/>
      <c r="R401" s="573"/>
      <c r="S401" s="573"/>
      <c r="T401" s="573"/>
      <c r="U401" s="573"/>
      <c r="V401" s="573"/>
      <c r="W401" s="573"/>
      <c r="X401" s="573"/>
      <c r="Y401" s="573"/>
      <c r="Z401" s="573"/>
      <c r="AA401" s="573"/>
      <c r="AB401" s="573"/>
      <c r="AC401" s="234"/>
      <c r="AD401" s="574"/>
      <c r="AE401" s="575"/>
      <c r="AF401" s="575"/>
      <c r="AG401" s="572"/>
      <c r="AH401" s="575"/>
      <c r="AI401" s="572"/>
    </row>
    <row r="402" spans="1:35" x14ac:dyDescent="0.2">
      <c r="A402" s="572" t="s">
        <v>647</v>
      </c>
      <c r="B402" s="572"/>
      <c r="C402" s="573"/>
      <c r="D402" s="573"/>
      <c r="E402" s="573"/>
      <c r="F402" s="573"/>
      <c r="G402" s="573"/>
      <c r="H402" s="573"/>
      <c r="I402" s="573"/>
      <c r="J402" s="573"/>
      <c r="K402" s="573"/>
      <c r="L402" s="573"/>
      <c r="M402" s="573"/>
      <c r="N402" s="234"/>
      <c r="O402" s="574"/>
      <c r="P402" s="575"/>
      <c r="Q402" s="572"/>
      <c r="R402" s="573"/>
      <c r="S402" s="573"/>
      <c r="T402" s="573"/>
      <c r="U402" s="573"/>
      <c r="V402" s="573"/>
      <c r="W402" s="573"/>
      <c r="X402" s="573"/>
      <c r="Y402" s="573"/>
      <c r="Z402" s="573"/>
      <c r="AA402" s="573"/>
      <c r="AB402" s="573"/>
      <c r="AC402" s="234"/>
      <c r="AD402" s="574"/>
      <c r="AE402" s="575"/>
      <c r="AF402" s="575"/>
      <c r="AG402" s="572"/>
      <c r="AH402" s="575"/>
      <c r="AI402" s="572"/>
    </row>
    <row r="403" spans="1:35" x14ac:dyDescent="0.2">
      <c r="A403" s="572" t="s">
        <v>647</v>
      </c>
      <c r="B403" s="572"/>
      <c r="C403" s="573"/>
      <c r="D403" s="573"/>
      <c r="E403" s="573"/>
      <c r="F403" s="573"/>
      <c r="G403" s="573"/>
      <c r="H403" s="573"/>
      <c r="I403" s="573"/>
      <c r="J403" s="573"/>
      <c r="K403" s="573"/>
      <c r="L403" s="573"/>
      <c r="M403" s="573"/>
      <c r="N403" s="234"/>
      <c r="O403" s="574"/>
      <c r="P403" s="575"/>
      <c r="Q403" s="572"/>
      <c r="R403" s="573"/>
      <c r="S403" s="573"/>
      <c r="T403" s="573"/>
      <c r="U403" s="573"/>
      <c r="V403" s="573"/>
      <c r="W403" s="573"/>
      <c r="X403" s="573"/>
      <c r="Y403" s="573"/>
      <c r="Z403" s="573"/>
      <c r="AA403" s="573"/>
      <c r="AB403" s="573"/>
      <c r="AC403" s="234"/>
      <c r="AD403" s="574"/>
      <c r="AE403" s="575"/>
      <c r="AF403" s="575"/>
      <c r="AG403" s="572"/>
      <c r="AH403" s="575"/>
      <c r="AI403" s="572"/>
    </row>
    <row r="404" spans="1:35" x14ac:dyDescent="0.2">
      <c r="A404" s="572" t="s">
        <v>761</v>
      </c>
      <c r="B404" s="572"/>
      <c r="C404" s="573"/>
      <c r="D404" s="573"/>
      <c r="E404" s="573"/>
      <c r="F404" s="573"/>
      <c r="G404" s="573"/>
      <c r="H404" s="573"/>
      <c r="I404" s="573"/>
      <c r="J404" s="573"/>
      <c r="K404" s="573"/>
      <c r="L404" s="573"/>
      <c r="M404" s="573"/>
      <c r="N404" s="234"/>
      <c r="O404" s="574"/>
      <c r="P404" s="575"/>
      <c r="Q404" s="572"/>
      <c r="R404" s="573"/>
      <c r="S404" s="573"/>
      <c r="T404" s="573"/>
      <c r="U404" s="573"/>
      <c r="V404" s="573"/>
      <c r="W404" s="573"/>
      <c r="X404" s="573"/>
      <c r="Y404" s="573"/>
      <c r="Z404" s="573"/>
      <c r="AA404" s="573"/>
      <c r="AB404" s="573"/>
      <c r="AC404" s="234"/>
      <c r="AD404" s="574"/>
      <c r="AE404" s="575"/>
      <c r="AF404" s="575"/>
      <c r="AG404" s="572"/>
      <c r="AH404" s="575"/>
      <c r="AI404" s="572"/>
    </row>
    <row r="405" spans="1:35" x14ac:dyDescent="0.2">
      <c r="A405" s="572" t="s">
        <v>647</v>
      </c>
      <c r="B405" s="572"/>
      <c r="C405" s="573"/>
      <c r="D405" s="573"/>
      <c r="E405" s="573"/>
      <c r="F405" s="573"/>
      <c r="G405" s="573"/>
      <c r="H405" s="573"/>
      <c r="I405" s="573"/>
      <c r="J405" s="573"/>
      <c r="K405" s="573"/>
      <c r="L405" s="573"/>
      <c r="M405" s="573"/>
      <c r="N405" s="234"/>
      <c r="O405" s="574"/>
      <c r="P405" s="575"/>
      <c r="Q405" s="572"/>
      <c r="R405" s="573"/>
      <c r="S405" s="573"/>
      <c r="T405" s="573"/>
      <c r="U405" s="573"/>
      <c r="V405" s="573"/>
      <c r="W405" s="573"/>
      <c r="X405" s="573"/>
      <c r="Y405" s="573"/>
      <c r="Z405" s="573"/>
      <c r="AA405" s="573"/>
      <c r="AB405" s="573"/>
      <c r="AC405" s="234"/>
      <c r="AD405" s="574"/>
      <c r="AE405" s="575"/>
      <c r="AF405" s="575"/>
      <c r="AG405" s="572"/>
      <c r="AH405" s="575"/>
      <c r="AI405" s="572"/>
    </row>
    <row r="406" spans="1:35" x14ac:dyDescent="0.2">
      <c r="A406" s="572" t="s">
        <v>647</v>
      </c>
      <c r="B406" s="572"/>
      <c r="C406" s="573"/>
      <c r="D406" s="573"/>
      <c r="E406" s="573"/>
      <c r="F406" s="573"/>
      <c r="G406" s="573"/>
      <c r="H406" s="573"/>
      <c r="I406" s="573"/>
      <c r="J406" s="573"/>
      <c r="K406" s="573"/>
      <c r="L406" s="573"/>
      <c r="M406" s="573"/>
      <c r="N406" s="234"/>
      <c r="O406" s="574"/>
      <c r="P406" s="575"/>
      <c r="Q406" s="572"/>
      <c r="R406" s="573"/>
      <c r="S406" s="573"/>
      <c r="T406" s="573"/>
      <c r="U406" s="573"/>
      <c r="V406" s="573"/>
      <c r="W406" s="573"/>
      <c r="X406" s="573"/>
      <c r="Y406" s="573"/>
      <c r="Z406" s="573"/>
      <c r="AA406" s="573"/>
      <c r="AB406" s="573"/>
      <c r="AC406" s="234"/>
      <c r="AD406" s="574"/>
      <c r="AE406" s="575"/>
      <c r="AF406" s="575"/>
      <c r="AG406" s="572"/>
      <c r="AH406" s="575"/>
      <c r="AI406" s="572"/>
    </row>
    <row r="407" spans="1:35" x14ac:dyDescent="0.2">
      <c r="A407" s="572" t="s">
        <v>22</v>
      </c>
      <c r="B407" s="572"/>
      <c r="C407" s="573"/>
      <c r="D407" s="573"/>
      <c r="E407" s="573"/>
      <c r="F407" s="573"/>
      <c r="G407" s="573"/>
      <c r="H407" s="573"/>
      <c r="I407" s="573"/>
      <c r="J407" s="573"/>
      <c r="K407" s="573"/>
      <c r="L407" s="573"/>
      <c r="M407" s="573"/>
      <c r="N407" s="234"/>
      <c r="O407" s="574"/>
      <c r="P407" s="575"/>
      <c r="Q407" s="572"/>
      <c r="R407" s="573"/>
      <c r="S407" s="573"/>
      <c r="T407" s="573"/>
      <c r="U407" s="573"/>
      <c r="V407" s="573"/>
      <c r="W407" s="573"/>
      <c r="X407" s="573"/>
      <c r="Y407" s="573"/>
      <c r="Z407" s="573"/>
      <c r="AA407" s="573"/>
      <c r="AB407" s="573"/>
      <c r="AC407" s="234"/>
      <c r="AD407" s="574"/>
      <c r="AE407" s="575"/>
      <c r="AF407" s="575"/>
      <c r="AG407" s="572"/>
      <c r="AH407" s="575"/>
      <c r="AI407" s="572"/>
    </row>
    <row r="408" spans="1:35" x14ac:dyDescent="0.2">
      <c r="A408" s="572" t="s">
        <v>703</v>
      </c>
      <c r="B408" s="572"/>
      <c r="C408" s="573"/>
      <c r="D408" s="573"/>
      <c r="E408" s="573"/>
      <c r="F408" s="573"/>
      <c r="G408" s="573"/>
      <c r="H408" s="573"/>
      <c r="I408" s="573"/>
      <c r="J408" s="573"/>
      <c r="K408" s="573"/>
      <c r="L408" s="573"/>
      <c r="M408" s="573"/>
      <c r="N408" s="234"/>
      <c r="O408" s="574"/>
      <c r="P408" s="575"/>
      <c r="Q408" s="572"/>
      <c r="R408" s="573"/>
      <c r="S408" s="573"/>
      <c r="T408" s="573"/>
      <c r="U408" s="573"/>
      <c r="V408" s="573"/>
      <c r="W408" s="573"/>
      <c r="X408" s="573"/>
      <c r="Y408" s="573"/>
      <c r="Z408" s="573"/>
      <c r="AA408" s="573"/>
      <c r="AB408" s="573"/>
      <c r="AC408" s="234"/>
      <c r="AD408" s="574"/>
      <c r="AE408" s="575"/>
      <c r="AF408" s="575"/>
      <c r="AG408" s="572"/>
      <c r="AH408" s="575"/>
      <c r="AI408" s="572"/>
    </row>
    <row r="409" spans="1:35" x14ac:dyDescent="0.2">
      <c r="A409" s="572" t="s">
        <v>724</v>
      </c>
      <c r="B409" s="572"/>
      <c r="C409" s="573"/>
      <c r="D409" s="573"/>
      <c r="E409" s="573"/>
      <c r="F409" s="573"/>
      <c r="G409" s="573"/>
      <c r="H409" s="573"/>
      <c r="I409" s="573"/>
      <c r="J409" s="573"/>
      <c r="K409" s="573"/>
      <c r="L409" s="573"/>
      <c r="M409" s="573"/>
      <c r="N409" s="234"/>
      <c r="O409" s="574"/>
      <c r="P409" s="575"/>
      <c r="Q409" s="572"/>
      <c r="R409" s="573"/>
      <c r="S409" s="573"/>
      <c r="T409" s="573"/>
      <c r="U409" s="573"/>
      <c r="V409" s="573"/>
      <c r="W409" s="573"/>
      <c r="X409" s="573"/>
      <c r="Y409" s="573"/>
      <c r="Z409" s="573"/>
      <c r="AA409" s="573"/>
      <c r="AB409" s="573"/>
      <c r="AC409" s="234"/>
      <c r="AD409" s="574"/>
      <c r="AE409" s="575"/>
      <c r="AF409" s="575"/>
      <c r="AG409" s="572"/>
      <c r="AH409" s="575"/>
      <c r="AI409" s="572"/>
    </row>
    <row r="410" spans="1:35" x14ac:dyDescent="0.2">
      <c r="A410" s="572" t="s">
        <v>724</v>
      </c>
      <c r="B410" s="572"/>
      <c r="C410" s="573"/>
      <c r="D410" s="573"/>
      <c r="E410" s="573"/>
      <c r="F410" s="573"/>
      <c r="G410" s="573"/>
      <c r="H410" s="573"/>
      <c r="I410" s="573"/>
      <c r="J410" s="573"/>
      <c r="K410" s="573"/>
      <c r="L410" s="573"/>
      <c r="M410" s="573"/>
      <c r="N410" s="234"/>
      <c r="O410" s="574"/>
      <c r="P410" s="575"/>
      <c r="Q410" s="572"/>
      <c r="R410" s="573"/>
      <c r="S410" s="573"/>
      <c r="T410" s="573"/>
      <c r="U410" s="573"/>
      <c r="V410" s="573"/>
      <c r="W410" s="573"/>
      <c r="X410" s="573"/>
      <c r="Y410" s="573"/>
      <c r="Z410" s="573"/>
      <c r="AA410" s="573"/>
      <c r="AB410" s="573"/>
      <c r="AC410" s="234"/>
      <c r="AD410" s="574"/>
      <c r="AE410" s="575"/>
      <c r="AF410" s="575"/>
      <c r="AG410" s="572"/>
      <c r="AH410" s="575"/>
      <c r="AI410" s="572"/>
    </row>
    <row r="411" spans="1:35" x14ac:dyDescent="0.2">
      <c r="A411" s="572" t="s">
        <v>762</v>
      </c>
      <c r="B411" s="572"/>
      <c r="C411" s="573"/>
      <c r="D411" s="573"/>
      <c r="E411" s="573"/>
      <c r="F411" s="573"/>
      <c r="G411" s="573"/>
      <c r="H411" s="573"/>
      <c r="I411" s="573"/>
      <c r="J411" s="573"/>
      <c r="K411" s="573"/>
      <c r="L411" s="573"/>
      <c r="M411" s="573"/>
      <c r="N411" s="234"/>
      <c r="O411" s="574"/>
      <c r="P411" s="575"/>
      <c r="Q411" s="572"/>
      <c r="R411" s="573"/>
      <c r="S411" s="573"/>
      <c r="T411" s="573"/>
      <c r="U411" s="573"/>
      <c r="V411" s="573"/>
      <c r="W411" s="573"/>
      <c r="X411" s="573"/>
      <c r="Y411" s="573"/>
      <c r="Z411" s="573"/>
      <c r="AA411" s="573"/>
      <c r="AB411" s="573"/>
      <c r="AC411" s="234"/>
      <c r="AD411" s="574"/>
      <c r="AE411" s="575"/>
      <c r="AF411" s="575"/>
      <c r="AG411" s="572"/>
      <c r="AH411" s="575"/>
      <c r="AI411" s="572"/>
    </row>
    <row r="412" spans="1:35" x14ac:dyDescent="0.2">
      <c r="A412" s="572" t="s">
        <v>724</v>
      </c>
      <c r="B412" s="572"/>
      <c r="C412" s="573"/>
      <c r="D412" s="573"/>
      <c r="E412" s="573"/>
      <c r="F412" s="573"/>
      <c r="G412" s="573"/>
      <c r="H412" s="573"/>
      <c r="I412" s="573"/>
      <c r="J412" s="573"/>
      <c r="K412" s="573"/>
      <c r="L412" s="573"/>
      <c r="M412" s="573"/>
      <c r="N412" s="234"/>
      <c r="O412" s="574"/>
      <c r="P412" s="575"/>
      <c r="Q412" s="572"/>
      <c r="R412" s="573"/>
      <c r="S412" s="573"/>
      <c r="T412" s="573"/>
      <c r="U412" s="573"/>
      <c r="V412" s="573"/>
      <c r="W412" s="573"/>
      <c r="X412" s="573"/>
      <c r="Y412" s="573"/>
      <c r="Z412" s="573"/>
      <c r="AA412" s="573"/>
      <c r="AB412" s="573"/>
      <c r="AC412" s="234"/>
      <c r="AD412" s="574"/>
      <c r="AE412" s="575"/>
      <c r="AF412" s="575"/>
      <c r="AG412" s="572"/>
      <c r="AH412" s="575"/>
      <c r="AI412" s="572"/>
    </row>
    <row r="413" spans="1:35" x14ac:dyDescent="0.2">
      <c r="A413" s="572" t="s">
        <v>707</v>
      </c>
      <c r="B413" s="572"/>
      <c r="C413" s="573"/>
      <c r="D413" s="573"/>
      <c r="E413" s="573"/>
      <c r="F413" s="573"/>
      <c r="G413" s="573"/>
      <c r="H413" s="573"/>
      <c r="I413" s="573"/>
      <c r="J413" s="573"/>
      <c r="K413" s="573"/>
      <c r="L413" s="573"/>
      <c r="M413" s="573"/>
      <c r="N413" s="234"/>
      <c r="O413" s="574"/>
      <c r="P413" s="575"/>
      <c r="Q413" s="572"/>
      <c r="R413" s="573"/>
      <c r="S413" s="573"/>
      <c r="T413" s="573"/>
      <c r="U413" s="573"/>
      <c r="V413" s="573"/>
      <c r="W413" s="573"/>
      <c r="X413" s="573"/>
      <c r="Y413" s="573"/>
      <c r="Z413" s="573"/>
      <c r="AA413" s="573"/>
      <c r="AB413" s="573"/>
      <c r="AC413" s="234"/>
      <c r="AD413" s="574"/>
      <c r="AE413" s="575"/>
      <c r="AF413" s="575"/>
      <c r="AG413" s="572"/>
      <c r="AH413" s="575"/>
      <c r="AI413" s="572"/>
    </row>
    <row r="414" spans="1:35" x14ac:dyDescent="0.2">
      <c r="A414" s="572" t="s">
        <v>724</v>
      </c>
      <c r="B414" s="572"/>
      <c r="C414" s="573"/>
      <c r="D414" s="573"/>
      <c r="E414" s="573"/>
      <c r="F414" s="573"/>
      <c r="G414" s="573"/>
      <c r="H414" s="573"/>
      <c r="I414" s="573"/>
      <c r="J414" s="573"/>
      <c r="K414" s="573"/>
      <c r="L414" s="573"/>
      <c r="M414" s="573"/>
      <c r="N414" s="234"/>
      <c r="O414" s="574"/>
      <c r="P414" s="575"/>
      <c r="Q414" s="572"/>
      <c r="R414" s="573"/>
      <c r="S414" s="573"/>
      <c r="T414" s="573"/>
      <c r="U414" s="573"/>
      <c r="V414" s="573"/>
      <c r="W414" s="573"/>
      <c r="X414" s="573"/>
      <c r="Y414" s="573"/>
      <c r="Z414" s="573"/>
      <c r="AA414" s="573"/>
      <c r="AB414" s="573"/>
      <c r="AC414" s="234"/>
      <c r="AD414" s="574"/>
      <c r="AE414" s="575"/>
      <c r="AF414" s="575"/>
      <c r="AG414" s="572"/>
      <c r="AH414" s="575"/>
      <c r="AI414" s="572"/>
    </row>
    <row r="415" spans="1:35" x14ac:dyDescent="0.2">
      <c r="A415" s="572"/>
      <c r="B415" s="572"/>
      <c r="C415" s="573"/>
      <c r="D415" s="573"/>
      <c r="E415" s="573"/>
      <c r="F415" s="573"/>
      <c r="G415" s="573"/>
      <c r="H415" s="573"/>
      <c r="I415" s="573"/>
      <c r="J415" s="573"/>
      <c r="K415" s="573"/>
      <c r="L415" s="573"/>
      <c r="M415" s="573"/>
      <c r="N415" s="234"/>
      <c r="O415" s="574"/>
      <c r="P415" s="575"/>
      <c r="Q415" s="572"/>
      <c r="R415" s="573"/>
      <c r="S415" s="573"/>
      <c r="T415" s="573"/>
      <c r="U415" s="573"/>
      <c r="V415" s="573"/>
      <c r="W415" s="573"/>
      <c r="X415" s="573"/>
      <c r="Y415" s="573"/>
      <c r="Z415" s="573"/>
      <c r="AA415" s="573"/>
      <c r="AB415" s="573"/>
      <c r="AC415" s="234"/>
      <c r="AD415" s="574"/>
      <c r="AE415" s="575"/>
      <c r="AF415" s="575"/>
      <c r="AG415" s="572"/>
      <c r="AH415" s="575"/>
      <c r="AI415" s="572"/>
    </row>
    <row r="416" spans="1:35" x14ac:dyDescent="0.2">
      <c r="A416" s="572" t="s">
        <v>763</v>
      </c>
      <c r="B416" s="572"/>
      <c r="C416" s="573"/>
      <c r="D416" s="573"/>
      <c r="E416" s="573"/>
      <c r="F416" s="573"/>
      <c r="G416" s="573"/>
      <c r="H416" s="573"/>
      <c r="I416" s="573"/>
      <c r="J416" s="573"/>
      <c r="K416" s="573"/>
      <c r="L416" s="573"/>
      <c r="M416" s="573"/>
      <c r="N416" s="234"/>
      <c r="O416" s="574"/>
      <c r="P416" s="575"/>
      <c r="Q416" s="572"/>
      <c r="R416" s="573"/>
      <c r="S416" s="573"/>
      <c r="T416" s="573"/>
      <c r="U416" s="573"/>
      <c r="V416" s="573"/>
      <c r="W416" s="573"/>
      <c r="X416" s="573"/>
      <c r="Y416" s="573"/>
      <c r="Z416" s="573"/>
      <c r="AA416" s="573"/>
      <c r="AB416" s="573"/>
      <c r="AC416" s="234"/>
      <c r="AD416" s="574"/>
      <c r="AE416" s="575"/>
      <c r="AF416" s="575"/>
      <c r="AG416" s="572"/>
      <c r="AH416" s="575"/>
      <c r="AI416" s="572"/>
    </row>
    <row r="417" spans="1:35" x14ac:dyDescent="0.2">
      <c r="A417" s="572" t="s">
        <v>724</v>
      </c>
      <c r="B417" s="572"/>
      <c r="C417" s="573"/>
      <c r="D417" s="573"/>
      <c r="E417" s="573"/>
      <c r="F417" s="573"/>
      <c r="G417" s="573"/>
      <c r="H417" s="573"/>
      <c r="I417" s="573"/>
      <c r="J417" s="573"/>
      <c r="K417" s="573"/>
      <c r="L417" s="573"/>
      <c r="M417" s="573"/>
      <c r="N417" s="234"/>
      <c r="O417" s="574"/>
      <c r="P417" s="575"/>
      <c r="Q417" s="572"/>
      <c r="R417" s="573"/>
      <c r="S417" s="573"/>
      <c r="T417" s="573"/>
      <c r="U417" s="573"/>
      <c r="V417" s="573"/>
      <c r="W417" s="573"/>
      <c r="X417" s="573"/>
      <c r="Y417" s="573"/>
      <c r="Z417" s="573"/>
      <c r="AA417" s="573"/>
      <c r="AB417" s="573"/>
      <c r="AC417" s="234"/>
      <c r="AD417" s="574"/>
      <c r="AE417" s="575"/>
      <c r="AF417" s="575"/>
      <c r="AG417" s="572"/>
      <c r="AH417" s="575"/>
      <c r="AI417" s="572"/>
    </row>
    <row r="418" spans="1:35" x14ac:dyDescent="0.2">
      <c r="A418" s="572"/>
      <c r="B418" s="572"/>
      <c r="C418" s="573"/>
      <c r="D418" s="573"/>
      <c r="E418" s="573"/>
      <c r="F418" s="573"/>
      <c r="G418" s="573"/>
      <c r="H418" s="573"/>
      <c r="I418" s="573"/>
      <c r="J418" s="573"/>
      <c r="K418" s="573"/>
      <c r="L418" s="573"/>
      <c r="M418" s="573"/>
      <c r="N418" s="234"/>
      <c r="O418" s="574"/>
      <c r="P418" s="575"/>
      <c r="Q418" s="572"/>
      <c r="R418" s="573"/>
      <c r="S418" s="573"/>
      <c r="T418" s="573"/>
      <c r="U418" s="573"/>
      <c r="V418" s="573"/>
      <c r="W418" s="573"/>
      <c r="X418" s="573"/>
      <c r="Y418" s="573"/>
      <c r="Z418" s="573"/>
      <c r="AA418" s="573"/>
      <c r="AB418" s="573"/>
      <c r="AC418" s="234"/>
      <c r="AD418" s="574"/>
      <c r="AE418" s="575"/>
      <c r="AF418" s="575"/>
      <c r="AG418" s="572"/>
      <c r="AH418" s="575"/>
      <c r="AI418" s="572"/>
    </row>
    <row r="419" spans="1:35" ht="12.75" thickBot="1" x14ac:dyDescent="0.25">
      <c r="A419" s="600"/>
      <c r="B419" s="601"/>
      <c r="C419" s="602"/>
      <c r="D419" s="602"/>
      <c r="E419" s="602"/>
      <c r="F419" s="602"/>
      <c r="G419" s="602"/>
      <c r="H419" s="602"/>
      <c r="I419" s="602"/>
      <c r="J419" s="602"/>
      <c r="K419" s="602"/>
      <c r="L419" s="602"/>
      <c r="M419" s="602"/>
      <c r="N419" s="603"/>
      <c r="O419" s="604"/>
      <c r="P419" s="605"/>
      <c r="Q419" s="601"/>
      <c r="R419" s="602"/>
      <c r="S419" s="602"/>
      <c r="T419" s="602"/>
      <c r="U419" s="602"/>
      <c r="V419" s="602"/>
      <c r="W419" s="602"/>
      <c r="X419" s="602"/>
      <c r="Y419" s="602"/>
      <c r="Z419" s="602"/>
      <c r="AA419" s="602"/>
      <c r="AB419" s="602"/>
      <c r="AC419" s="603"/>
      <c r="AD419" s="604"/>
      <c r="AE419" s="605"/>
      <c r="AF419" s="605"/>
      <c r="AG419" s="601"/>
      <c r="AH419" s="605"/>
      <c r="AI419" s="601"/>
    </row>
    <row r="420" spans="1:35" ht="12.75" thickBot="1" x14ac:dyDescent="0.25">
      <c r="A420" s="606" t="s">
        <v>0</v>
      </c>
      <c r="B420" s="607">
        <f t="shared" ref="B420:AI420" si="166">+B378+B358+B315</f>
        <v>1385</v>
      </c>
      <c r="C420" s="607">
        <f t="shared" si="166"/>
        <v>183362.44913769199</v>
      </c>
      <c r="D420" s="607">
        <f t="shared" si="166"/>
        <v>25814.631653516059</v>
      </c>
      <c r="E420" s="607">
        <f t="shared" si="166"/>
        <v>0</v>
      </c>
      <c r="F420" s="607">
        <f t="shared" si="166"/>
        <v>0</v>
      </c>
      <c r="G420" s="607">
        <f t="shared" si="166"/>
        <v>22671.063563479333</v>
      </c>
      <c r="H420" s="607">
        <f t="shared" si="166"/>
        <v>0</v>
      </c>
      <c r="I420" s="607">
        <f t="shared" si="166"/>
        <v>6000</v>
      </c>
      <c r="J420" s="607">
        <f t="shared" si="166"/>
        <v>12336.98695287997</v>
      </c>
      <c r="K420" s="607">
        <f t="shared" si="166"/>
        <v>339160.81130756735</v>
      </c>
      <c r="L420" s="607">
        <f t="shared" si="166"/>
        <v>54000</v>
      </c>
      <c r="M420" s="607">
        <f t="shared" si="166"/>
        <v>9871.2012808266572</v>
      </c>
      <c r="N420" s="607">
        <f t="shared" si="166"/>
        <v>63871.201280826659</v>
      </c>
      <c r="O420" s="607">
        <f t="shared" si="166"/>
        <v>3066092.7769716354</v>
      </c>
      <c r="P420" s="607">
        <f t="shared" si="166"/>
        <v>81189182.039920747</v>
      </c>
      <c r="Q420" s="607">
        <f t="shared" si="166"/>
        <v>1385</v>
      </c>
      <c r="R420" s="607">
        <f t="shared" si="166"/>
        <v>183362.44913769199</v>
      </c>
      <c r="S420" s="607">
        <f t="shared" si="166"/>
        <v>25614.631653516059</v>
      </c>
      <c r="T420" s="607">
        <f t="shared" si="166"/>
        <v>0</v>
      </c>
      <c r="U420" s="607">
        <f t="shared" si="166"/>
        <v>0</v>
      </c>
      <c r="V420" s="607">
        <f t="shared" si="166"/>
        <v>22671.063563479333</v>
      </c>
      <c r="W420" s="607">
        <f t="shared" si="166"/>
        <v>0</v>
      </c>
      <c r="X420" s="607">
        <f t="shared" si="166"/>
        <v>6000</v>
      </c>
      <c r="Y420" s="607">
        <f t="shared" si="166"/>
        <v>12336.98695287997</v>
      </c>
      <c r="Z420" s="607">
        <f t="shared" si="166"/>
        <v>338960.81130756735</v>
      </c>
      <c r="AA420" s="607">
        <f t="shared" si="166"/>
        <v>54000</v>
      </c>
      <c r="AB420" s="607">
        <f t="shared" si="166"/>
        <v>9871.2012808266572</v>
      </c>
      <c r="AC420" s="607">
        <f t="shared" si="166"/>
        <v>63871.201280826659</v>
      </c>
      <c r="AD420" s="607">
        <f t="shared" si="166"/>
        <v>3063692.7769716354</v>
      </c>
      <c r="AE420" s="607">
        <f t="shared" si="166"/>
        <v>81179582.039920747</v>
      </c>
      <c r="AF420" s="607">
        <f t="shared" si="166"/>
        <v>200</v>
      </c>
      <c r="AG420" s="607">
        <f t="shared" si="166"/>
        <v>9600</v>
      </c>
      <c r="AH420" s="607">
        <f t="shared" si="166"/>
        <v>1388</v>
      </c>
      <c r="AI420" s="607">
        <f t="shared" si="166"/>
        <v>80709380.999920756</v>
      </c>
    </row>
    <row r="421" spans="1:35" x14ac:dyDescent="0.2">
      <c r="A421" s="608" t="s">
        <v>50</v>
      </c>
      <c r="B421" s="234"/>
      <c r="C421" s="234"/>
      <c r="D421" s="234"/>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row>
    <row r="422" spans="1:35" x14ac:dyDescent="0.2">
      <c r="A422" s="609" t="s">
        <v>764</v>
      </c>
      <c r="B422" s="234"/>
      <c r="C422" s="234"/>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row>
    <row r="423" spans="1:35" x14ac:dyDescent="0.2">
      <c r="A423" s="609" t="s">
        <v>765</v>
      </c>
      <c r="B423" s="234"/>
      <c r="C423" s="234"/>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row>
    <row r="424" spans="1:35" x14ac:dyDescent="0.2">
      <c r="A424" s="609" t="s">
        <v>766</v>
      </c>
      <c r="B424" s="609"/>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row>
    <row r="425" spans="1:35" x14ac:dyDescent="0.2">
      <c r="A425" s="609"/>
      <c r="B425" s="609"/>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row>
    <row r="426" spans="1:35" x14ac:dyDescent="0.2">
      <c r="A426" s="234" t="s">
        <v>50</v>
      </c>
      <c r="B426" s="234"/>
      <c r="C426" s="234"/>
      <c r="D426" s="234"/>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row>
    <row r="427" spans="1:35" x14ac:dyDescent="0.2">
      <c r="A427" s="234" t="s">
        <v>51</v>
      </c>
      <c r="B427" s="234" t="s">
        <v>143</v>
      </c>
      <c r="C427" s="234"/>
      <c r="D427" s="234"/>
      <c r="E427" s="234"/>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row>
    <row r="428" spans="1:35" x14ac:dyDescent="0.2">
      <c r="A428" s="234" t="s">
        <v>52</v>
      </c>
      <c r="B428" s="234" t="s">
        <v>53</v>
      </c>
      <c r="C428" s="234"/>
      <c r="D428" s="234"/>
      <c r="E428" s="234"/>
      <c r="F428" s="234"/>
      <c r="G428" s="234"/>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row>
    <row r="429" spans="1:35" x14ac:dyDescent="0.2">
      <c r="A429" s="234" t="s">
        <v>54</v>
      </c>
      <c r="B429" s="234" t="s">
        <v>55</v>
      </c>
      <c r="C429" s="234"/>
      <c r="D429" s="234"/>
      <c r="E429" s="234"/>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row>
    <row r="430" spans="1:35" x14ac:dyDescent="0.2">
      <c r="A430" s="234" t="s">
        <v>56</v>
      </c>
      <c r="B430" s="234" t="s">
        <v>57</v>
      </c>
      <c r="C430" s="234"/>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row>
    <row r="431" spans="1:35" x14ac:dyDescent="0.2">
      <c r="A431" s="234"/>
      <c r="B431" s="234" t="s">
        <v>58</v>
      </c>
      <c r="C431" s="234"/>
      <c r="D431" s="234"/>
      <c r="E431" s="234"/>
      <c r="F431" s="234"/>
      <c r="G431" s="234"/>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row>
    <row r="432" spans="1:35" x14ac:dyDescent="0.2">
      <c r="A432" s="234" t="s">
        <v>59</v>
      </c>
      <c r="B432" s="10" t="s">
        <v>619</v>
      </c>
      <c r="C432" s="234"/>
      <c r="D432" s="234"/>
      <c r="E432" s="234"/>
      <c r="F432" s="234"/>
      <c r="G432" s="234"/>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row>
    <row r="433" spans="1:35" x14ac:dyDescent="0.2">
      <c r="A433" s="234"/>
      <c r="B433" s="234" t="s">
        <v>60</v>
      </c>
      <c r="C433" s="234"/>
      <c r="D433" s="234"/>
      <c r="E433" s="234"/>
      <c r="F433" s="234"/>
      <c r="G433" s="234"/>
      <c r="H433" s="234"/>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row>
    <row r="434" spans="1:35" x14ac:dyDescent="0.2">
      <c r="A434" s="234"/>
      <c r="B434" s="234" t="s">
        <v>61</v>
      </c>
      <c r="C434" s="234"/>
      <c r="D434" s="234"/>
      <c r="E434" s="234"/>
      <c r="F434" s="234"/>
      <c r="G434" s="234"/>
      <c r="H434" s="234"/>
      <c r="I434" s="234"/>
      <c r="J434" s="234"/>
      <c r="K434" s="234"/>
      <c r="L434" s="234"/>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row>
    <row r="435" spans="1:35" x14ac:dyDescent="0.2">
      <c r="A435" s="234"/>
      <c r="B435" s="234" t="s">
        <v>62</v>
      </c>
      <c r="C435" s="234"/>
      <c r="D435" s="234"/>
      <c r="E435" s="234"/>
      <c r="F435" s="234"/>
      <c r="G435" s="234"/>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row>
    <row r="436" spans="1:35" x14ac:dyDescent="0.2">
      <c r="A436" s="234" t="s">
        <v>158</v>
      </c>
      <c r="B436" s="234" t="s">
        <v>159</v>
      </c>
      <c r="C436" s="234"/>
      <c r="D436" s="234"/>
      <c r="E436" s="234"/>
      <c r="F436" s="234"/>
      <c r="G436" s="234"/>
      <c r="H436" s="234"/>
      <c r="I436" s="234"/>
      <c r="J436" s="234"/>
      <c r="K436" s="234"/>
      <c r="L436" s="234"/>
      <c r="M436" s="234"/>
      <c r="N436" s="234"/>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row>
    <row r="437" spans="1:35" x14ac:dyDescent="0.2">
      <c r="A437" s="234" t="s">
        <v>160</v>
      </c>
      <c r="B437" s="234" t="s">
        <v>139</v>
      </c>
      <c r="C437" s="234"/>
      <c r="D437" s="234"/>
      <c r="E437" s="234"/>
      <c r="F437" s="234"/>
      <c r="G437" s="234"/>
      <c r="H437" s="234"/>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row>
    <row r="438" spans="1:35" x14ac:dyDescent="0.2">
      <c r="A438" s="234" t="s">
        <v>161</v>
      </c>
      <c r="B438" s="10" t="s">
        <v>620</v>
      </c>
      <c r="C438" s="234"/>
      <c r="D438" s="234"/>
      <c r="E438" s="234"/>
      <c r="F438" s="234"/>
      <c r="G438" s="234"/>
      <c r="H438" s="234"/>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row>
    <row r="439" spans="1:35" x14ac:dyDescent="0.2">
      <c r="A439" s="234"/>
      <c r="B439" s="234" t="s">
        <v>60</v>
      </c>
      <c r="C439" s="234"/>
      <c r="D439" s="234"/>
      <c r="E439" s="234"/>
      <c r="F439" s="234"/>
      <c r="G439" s="234"/>
      <c r="H439" s="234"/>
      <c r="I439" s="234"/>
      <c r="J439" s="234"/>
      <c r="K439" s="234"/>
      <c r="L439" s="234"/>
      <c r="M439" s="234"/>
      <c r="N439" s="234"/>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row>
    <row r="440" spans="1:35" x14ac:dyDescent="0.2">
      <c r="A440" s="234"/>
      <c r="B440" s="234" t="s">
        <v>61</v>
      </c>
      <c r="C440" s="234"/>
      <c r="D440" s="234"/>
      <c r="E440" s="234"/>
      <c r="F440" s="234"/>
      <c r="G440" s="234"/>
      <c r="H440" s="234"/>
      <c r="I440" s="234"/>
      <c r="J440" s="234"/>
      <c r="K440" s="234"/>
      <c r="L440" s="234"/>
      <c r="M440" s="234"/>
      <c r="N440" s="234"/>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row>
    <row r="441" spans="1:35" x14ac:dyDescent="0.2">
      <c r="A441" s="234"/>
      <c r="B441" s="234" t="s">
        <v>102</v>
      </c>
      <c r="C441" s="234"/>
      <c r="D441" s="234"/>
      <c r="E441" s="234"/>
      <c r="F441" s="234"/>
      <c r="G441" s="234"/>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row>
    <row r="442" spans="1:35" x14ac:dyDescent="0.2">
      <c r="A442" s="234" t="s">
        <v>170</v>
      </c>
      <c r="B442" s="234" t="s">
        <v>171</v>
      </c>
      <c r="C442" s="234"/>
      <c r="D442" s="234"/>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row>
    <row r="443" spans="1:35" x14ac:dyDescent="0.2">
      <c r="A443" s="234" t="s">
        <v>168</v>
      </c>
      <c r="B443" s="234" t="s">
        <v>164</v>
      </c>
      <c r="C443" s="234"/>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row>
    <row r="444" spans="1:35" x14ac:dyDescent="0.2">
      <c r="A444" s="234" t="s">
        <v>169</v>
      </c>
      <c r="B444" s="234" t="s">
        <v>172</v>
      </c>
      <c r="C444" s="234"/>
      <c r="D444" s="234"/>
      <c r="E444" s="234"/>
      <c r="F444" s="234"/>
      <c r="G444" s="234"/>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row>
    <row r="445" spans="1:35" x14ac:dyDescent="0.2">
      <c r="A445" s="234"/>
      <c r="B445" s="234"/>
      <c r="C445" s="234"/>
      <c r="D445" s="234"/>
      <c r="E445" s="234"/>
      <c r="F445" s="234"/>
      <c r="G445" s="234"/>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row>
    <row r="446" spans="1:35" x14ac:dyDescent="0.2">
      <c r="A446" s="234"/>
      <c r="B446" s="234"/>
      <c r="C446" s="234"/>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row>
    <row r="447" spans="1:35" x14ac:dyDescent="0.2">
      <c r="A447" s="234"/>
      <c r="B447" s="234"/>
      <c r="C447" s="234"/>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row>
    <row r="448" spans="1:35" x14ac:dyDescent="0.2">
      <c r="A448" s="275" t="s">
        <v>767</v>
      </c>
      <c r="B448" s="275"/>
      <c r="C448" s="275"/>
      <c r="D448" s="275"/>
      <c r="E448" s="275"/>
      <c r="F448" s="275"/>
      <c r="G448" s="275"/>
      <c r="H448" s="275"/>
      <c r="I448" s="275"/>
      <c r="J448" s="275"/>
      <c r="K448" s="275"/>
      <c r="L448" s="275"/>
      <c r="M448" s="275"/>
      <c r="N448" s="275"/>
      <c r="O448" s="275"/>
      <c r="P448" s="275"/>
      <c r="Q448" s="275"/>
      <c r="R448" s="275"/>
      <c r="S448" s="275"/>
      <c r="T448" s="275"/>
      <c r="U448" s="275"/>
      <c r="V448" s="275"/>
      <c r="W448" s="275"/>
      <c r="X448" s="275"/>
      <c r="Y448" s="275"/>
      <c r="Z448" s="275"/>
      <c r="AA448" s="275"/>
      <c r="AB448" s="275"/>
      <c r="AC448" s="275"/>
      <c r="AD448" s="275"/>
      <c r="AE448" s="610"/>
      <c r="AF448" s="364"/>
      <c r="AG448" s="364"/>
      <c r="AH448" s="364"/>
      <c r="AI448" s="364"/>
    </row>
    <row r="449" spans="1:35" ht="12.75" thickBot="1" x14ac:dyDescent="0.25">
      <c r="A449" s="274" t="s">
        <v>317</v>
      </c>
      <c r="B449" s="274"/>
      <c r="C449" s="274"/>
      <c r="D449" s="274"/>
      <c r="E449" s="274"/>
      <c r="F449" s="274"/>
      <c r="G449" s="274"/>
      <c r="H449" s="274"/>
      <c r="I449" s="274"/>
      <c r="J449" s="274"/>
      <c r="K449" s="274"/>
      <c r="L449" s="274"/>
      <c r="M449" s="274"/>
      <c r="N449" s="274"/>
      <c r="O449" s="274"/>
      <c r="P449" s="274"/>
      <c r="Q449" s="274"/>
      <c r="R449" s="274"/>
      <c r="S449" s="274"/>
      <c r="T449" s="274"/>
      <c r="U449" s="274"/>
      <c r="V449" s="274"/>
      <c r="W449" s="274"/>
      <c r="X449" s="274"/>
      <c r="Y449" s="274"/>
      <c r="Z449" s="274"/>
      <c r="AA449" s="274"/>
      <c r="AB449" s="274"/>
      <c r="AC449" s="274"/>
      <c r="AD449" s="274"/>
      <c r="AE449" s="611"/>
      <c r="AF449" s="274"/>
      <c r="AG449" s="274"/>
      <c r="AH449" s="274"/>
      <c r="AI449" s="274"/>
    </row>
    <row r="450" spans="1:35" ht="12.75" thickBot="1" x14ac:dyDescent="0.25">
      <c r="A450" s="1396" t="s">
        <v>42</v>
      </c>
      <c r="B450" s="1399" t="s">
        <v>356</v>
      </c>
      <c r="C450" s="1399"/>
      <c r="D450" s="1399"/>
      <c r="E450" s="1399"/>
      <c r="F450" s="1399"/>
      <c r="G450" s="1399"/>
      <c r="H450" s="1399"/>
      <c r="I450" s="1399"/>
      <c r="J450" s="1399"/>
      <c r="K450" s="1399"/>
      <c r="L450" s="1399"/>
      <c r="M450" s="1399"/>
      <c r="N450" s="1399"/>
      <c r="O450" s="1399"/>
      <c r="P450" s="1399"/>
      <c r="Q450" s="1400" t="s">
        <v>378</v>
      </c>
      <c r="R450" s="1399"/>
      <c r="S450" s="1399"/>
      <c r="T450" s="1399"/>
      <c r="U450" s="1399"/>
      <c r="V450" s="1399"/>
      <c r="W450" s="1399"/>
      <c r="X450" s="1399"/>
      <c r="Y450" s="1399"/>
      <c r="Z450" s="1399"/>
      <c r="AA450" s="1399"/>
      <c r="AB450" s="1399"/>
      <c r="AC450" s="1399"/>
      <c r="AD450" s="1399"/>
      <c r="AE450" s="1401"/>
      <c r="AF450" s="1402" t="s">
        <v>379</v>
      </c>
      <c r="AG450" s="1403"/>
      <c r="AH450" s="1402" t="s">
        <v>380</v>
      </c>
      <c r="AI450" s="1403"/>
    </row>
    <row r="451" spans="1:35" ht="137.25" x14ac:dyDescent="0.2">
      <c r="A451" s="1397"/>
      <c r="B451" s="556" t="s">
        <v>11</v>
      </c>
      <c r="C451" s="557" t="s">
        <v>130</v>
      </c>
      <c r="D451" s="558" t="s">
        <v>245</v>
      </c>
      <c r="E451" s="558" t="s">
        <v>132</v>
      </c>
      <c r="F451" s="558" t="s">
        <v>154</v>
      </c>
      <c r="G451" s="558" t="s">
        <v>155</v>
      </c>
      <c r="H451" s="558" t="s">
        <v>156</v>
      </c>
      <c r="I451" s="558" t="s">
        <v>157</v>
      </c>
      <c r="J451" s="558" t="s">
        <v>133</v>
      </c>
      <c r="K451" s="558" t="s">
        <v>134</v>
      </c>
      <c r="L451" s="558" t="s">
        <v>135</v>
      </c>
      <c r="M451" s="558" t="s">
        <v>153</v>
      </c>
      <c r="N451" s="559" t="s">
        <v>104</v>
      </c>
      <c r="O451" s="560" t="s">
        <v>138</v>
      </c>
      <c r="P451" s="561" t="s">
        <v>137</v>
      </c>
      <c r="Q451" s="556" t="s">
        <v>11</v>
      </c>
      <c r="R451" s="557" t="s">
        <v>130</v>
      </c>
      <c r="S451" s="558" t="s">
        <v>131</v>
      </c>
      <c r="T451" s="558" t="s">
        <v>132</v>
      </c>
      <c r="U451" s="558" t="s">
        <v>154</v>
      </c>
      <c r="V451" s="558" t="s">
        <v>155</v>
      </c>
      <c r="W451" s="558" t="s">
        <v>156</v>
      </c>
      <c r="X451" s="558" t="s">
        <v>157</v>
      </c>
      <c r="Y451" s="558" t="s">
        <v>133</v>
      </c>
      <c r="Z451" s="558" t="s">
        <v>134</v>
      </c>
      <c r="AA451" s="558" t="s">
        <v>135</v>
      </c>
      <c r="AB451" s="558" t="s">
        <v>153</v>
      </c>
      <c r="AC451" s="559" t="s">
        <v>104</v>
      </c>
      <c r="AD451" s="560" t="s">
        <v>138</v>
      </c>
      <c r="AE451" s="612" t="s">
        <v>425</v>
      </c>
      <c r="AF451" s="562" t="s">
        <v>142</v>
      </c>
      <c r="AG451" s="562" t="s">
        <v>141</v>
      </c>
      <c r="AH451" s="562" t="s">
        <v>11</v>
      </c>
      <c r="AI451" s="561" t="s">
        <v>426</v>
      </c>
    </row>
    <row r="452" spans="1:35" ht="12.75" thickBot="1" x14ac:dyDescent="0.25">
      <c r="A452" s="1398"/>
      <c r="B452" s="563" t="s">
        <v>43</v>
      </c>
      <c r="C452" s="564" t="s">
        <v>44</v>
      </c>
      <c r="D452" s="565" t="s">
        <v>45</v>
      </c>
      <c r="E452" s="565" t="s">
        <v>46</v>
      </c>
      <c r="F452" s="566" t="s">
        <v>47</v>
      </c>
      <c r="G452" s="566" t="s">
        <v>48</v>
      </c>
      <c r="H452" s="566" t="s">
        <v>63</v>
      </c>
      <c r="I452" s="566" t="s">
        <v>103</v>
      </c>
      <c r="J452" s="566" t="s">
        <v>136</v>
      </c>
      <c r="K452" s="566" t="s">
        <v>140</v>
      </c>
      <c r="L452" s="566" t="s">
        <v>162</v>
      </c>
      <c r="M452" s="566" t="s">
        <v>163</v>
      </c>
      <c r="N452" s="567" t="s">
        <v>165</v>
      </c>
      <c r="O452" s="568" t="s">
        <v>166</v>
      </c>
      <c r="P452" s="570" t="s">
        <v>167</v>
      </c>
      <c r="Q452" s="563" t="s">
        <v>43</v>
      </c>
      <c r="R452" s="564" t="s">
        <v>44</v>
      </c>
      <c r="S452" s="565" t="s">
        <v>45</v>
      </c>
      <c r="T452" s="565" t="s">
        <v>46</v>
      </c>
      <c r="U452" s="566" t="s">
        <v>47</v>
      </c>
      <c r="V452" s="566" t="s">
        <v>48</v>
      </c>
      <c r="W452" s="566" t="s">
        <v>63</v>
      </c>
      <c r="X452" s="566" t="s">
        <v>103</v>
      </c>
      <c r="Y452" s="566" t="s">
        <v>136</v>
      </c>
      <c r="Z452" s="566" t="s">
        <v>140</v>
      </c>
      <c r="AA452" s="566" t="s">
        <v>162</v>
      </c>
      <c r="AB452" s="566" t="s">
        <v>163</v>
      </c>
      <c r="AC452" s="567" t="s">
        <v>165</v>
      </c>
      <c r="AD452" s="568" t="s">
        <v>166</v>
      </c>
      <c r="AE452" s="613" t="s">
        <v>167</v>
      </c>
      <c r="AF452" s="614"/>
      <c r="AG452" s="615"/>
      <c r="AH452" s="614"/>
      <c r="AI452" s="615"/>
    </row>
    <row r="453" spans="1:35" x14ac:dyDescent="0.2">
      <c r="A453" s="616" t="s">
        <v>49</v>
      </c>
      <c r="B453" s="617">
        <v>82</v>
      </c>
      <c r="C453" s="618">
        <v>15583.171071428571</v>
      </c>
      <c r="D453" s="618"/>
      <c r="E453" s="618"/>
      <c r="F453" s="618">
        <v>24012</v>
      </c>
      <c r="G453" s="619"/>
      <c r="H453" s="619"/>
      <c r="I453" s="619"/>
      <c r="J453" s="619"/>
      <c r="K453" s="618">
        <v>39595.171071428573</v>
      </c>
      <c r="L453" s="620">
        <v>14000</v>
      </c>
      <c r="M453" s="620"/>
      <c r="N453" s="620"/>
      <c r="O453" s="621">
        <v>53595.171071428573</v>
      </c>
      <c r="P453" s="622">
        <v>2334105.96</v>
      </c>
      <c r="Q453" s="617">
        <v>82</v>
      </c>
      <c r="R453" s="618">
        <v>15583.171071428571</v>
      </c>
      <c r="S453" s="618"/>
      <c r="T453" s="618"/>
      <c r="U453" s="618">
        <v>24012</v>
      </c>
      <c r="V453" s="619"/>
      <c r="W453" s="619"/>
      <c r="X453" s="619"/>
      <c r="Y453" s="619"/>
      <c r="Z453" s="618">
        <v>39595.171071428573</v>
      </c>
      <c r="AA453" s="620">
        <v>14000</v>
      </c>
      <c r="AB453" s="620"/>
      <c r="AC453" s="620"/>
      <c r="AD453" s="621">
        <v>53595.171071428573</v>
      </c>
      <c r="AE453" s="623">
        <v>2334105.96</v>
      </c>
      <c r="AF453" s="624">
        <v>0</v>
      </c>
      <c r="AG453" s="625">
        <v>0</v>
      </c>
      <c r="AH453" s="617">
        <v>82</v>
      </c>
      <c r="AI453" s="626">
        <v>2334105.96</v>
      </c>
    </row>
    <row r="454" spans="1:35" x14ac:dyDescent="0.2">
      <c r="A454" s="627" t="s">
        <v>7</v>
      </c>
      <c r="B454" s="628">
        <v>14</v>
      </c>
      <c r="C454" s="629">
        <v>5401.73</v>
      </c>
      <c r="D454" s="629"/>
      <c r="E454" s="629"/>
      <c r="F454" s="629">
        <v>12832</v>
      </c>
      <c r="G454" s="629"/>
      <c r="H454" s="629"/>
      <c r="I454" s="629"/>
      <c r="J454" s="629"/>
      <c r="K454" s="629">
        <v>18233.73</v>
      </c>
      <c r="L454" s="629">
        <v>4000</v>
      </c>
      <c r="M454" s="629"/>
      <c r="N454" s="629"/>
      <c r="O454" s="629">
        <v>22233.73</v>
      </c>
      <c r="P454" s="630">
        <v>683599.84</v>
      </c>
      <c r="Q454" s="628">
        <v>14</v>
      </c>
      <c r="R454" s="629">
        <v>5401.73</v>
      </c>
      <c r="S454" s="629"/>
      <c r="T454" s="629"/>
      <c r="U454" s="629">
        <v>12832</v>
      </c>
      <c r="V454" s="629"/>
      <c r="W454" s="629"/>
      <c r="X454" s="629"/>
      <c r="Y454" s="629"/>
      <c r="Z454" s="629">
        <v>18233.73</v>
      </c>
      <c r="AA454" s="629">
        <v>4000</v>
      </c>
      <c r="AB454" s="629"/>
      <c r="AC454" s="629"/>
      <c r="AD454" s="629">
        <v>22233.73</v>
      </c>
      <c r="AE454" s="631">
        <v>683599.84</v>
      </c>
      <c r="AF454" s="624">
        <v>0</v>
      </c>
      <c r="AG454" s="625">
        <v>0</v>
      </c>
      <c r="AH454" s="628">
        <v>14</v>
      </c>
      <c r="AI454" s="626">
        <v>683599.84</v>
      </c>
    </row>
    <row r="455" spans="1:35" x14ac:dyDescent="0.2">
      <c r="A455" s="632" t="s">
        <v>579</v>
      </c>
      <c r="B455" s="628">
        <v>1</v>
      </c>
      <c r="C455" s="633">
        <v>1518.3799999999999</v>
      </c>
      <c r="D455" s="633"/>
      <c r="E455" s="633"/>
      <c r="F455" s="633">
        <v>4860</v>
      </c>
      <c r="G455" s="634"/>
      <c r="H455" s="634"/>
      <c r="I455" s="634"/>
      <c r="J455" s="634"/>
      <c r="K455" s="633">
        <v>6378.38</v>
      </c>
      <c r="L455" s="634">
        <v>1000</v>
      </c>
      <c r="M455" s="634"/>
      <c r="N455" s="634"/>
      <c r="O455" s="635">
        <v>77540.56</v>
      </c>
      <c r="P455" s="630">
        <v>77540.56</v>
      </c>
      <c r="Q455" s="636">
        <v>1</v>
      </c>
      <c r="R455" s="633">
        <v>1518.3799999999999</v>
      </c>
      <c r="S455" s="633"/>
      <c r="T455" s="633"/>
      <c r="U455" s="633">
        <v>4860</v>
      </c>
      <c r="V455" s="634"/>
      <c r="W455" s="634"/>
      <c r="X455" s="634"/>
      <c r="Y455" s="634"/>
      <c r="Z455" s="633">
        <v>6378.38</v>
      </c>
      <c r="AA455" s="634">
        <v>1000</v>
      </c>
      <c r="AB455" s="634"/>
      <c r="AC455" s="634"/>
      <c r="AD455" s="635">
        <v>77540.56</v>
      </c>
      <c r="AE455" s="637">
        <v>77540.56</v>
      </c>
      <c r="AF455" s="624">
        <v>0</v>
      </c>
      <c r="AG455" s="625">
        <v>0</v>
      </c>
      <c r="AH455" s="636">
        <v>1</v>
      </c>
      <c r="AI455" s="638">
        <v>77540.56</v>
      </c>
    </row>
    <row r="456" spans="1:35" x14ac:dyDescent="0.2">
      <c r="A456" s="632" t="s">
        <v>580</v>
      </c>
      <c r="B456" s="628">
        <v>3</v>
      </c>
      <c r="C456" s="633">
        <v>1444.98</v>
      </c>
      <c r="D456" s="633"/>
      <c r="E456" s="633"/>
      <c r="F456" s="633">
        <v>3860</v>
      </c>
      <c r="G456" s="634"/>
      <c r="H456" s="634"/>
      <c r="I456" s="634"/>
      <c r="J456" s="634"/>
      <c r="K456" s="633">
        <v>5304.98</v>
      </c>
      <c r="L456" s="634">
        <v>1000</v>
      </c>
      <c r="M456" s="634"/>
      <c r="N456" s="634"/>
      <c r="O456" s="635">
        <v>64659.759999999995</v>
      </c>
      <c r="P456" s="630">
        <v>193979.27999999997</v>
      </c>
      <c r="Q456" s="636">
        <v>3</v>
      </c>
      <c r="R456" s="633">
        <v>1444.98</v>
      </c>
      <c r="S456" s="633"/>
      <c r="T456" s="633"/>
      <c r="U456" s="633">
        <v>3860</v>
      </c>
      <c r="V456" s="634"/>
      <c r="W456" s="634"/>
      <c r="X456" s="634"/>
      <c r="Y456" s="634"/>
      <c r="Z456" s="633">
        <v>5304.98</v>
      </c>
      <c r="AA456" s="634">
        <v>1000</v>
      </c>
      <c r="AB456" s="634"/>
      <c r="AC456" s="634"/>
      <c r="AD456" s="635">
        <v>64659.759999999995</v>
      </c>
      <c r="AE456" s="637">
        <v>193979.27999999997</v>
      </c>
      <c r="AF456" s="624">
        <v>0</v>
      </c>
      <c r="AG456" s="625">
        <v>0</v>
      </c>
      <c r="AH456" s="636">
        <v>3</v>
      </c>
      <c r="AI456" s="638">
        <v>193979.27999999997</v>
      </c>
    </row>
    <row r="457" spans="1:35" x14ac:dyDescent="0.2">
      <c r="A457" s="632" t="s">
        <v>581</v>
      </c>
      <c r="B457" s="628">
        <v>2</v>
      </c>
      <c r="C457" s="633">
        <v>1229.3699999999999</v>
      </c>
      <c r="D457" s="633"/>
      <c r="E457" s="633"/>
      <c r="F457" s="633">
        <v>2056</v>
      </c>
      <c r="G457" s="634"/>
      <c r="H457" s="634"/>
      <c r="I457" s="634"/>
      <c r="J457" s="634"/>
      <c r="K457" s="633">
        <v>3285.37</v>
      </c>
      <c r="L457" s="634">
        <v>1000</v>
      </c>
      <c r="M457" s="634"/>
      <c r="N457" s="634"/>
      <c r="O457" s="635">
        <v>45320</v>
      </c>
      <c r="P457" s="630">
        <v>90640</v>
      </c>
      <c r="Q457" s="636">
        <v>2</v>
      </c>
      <c r="R457" s="633">
        <v>1229.3699999999999</v>
      </c>
      <c r="S457" s="633"/>
      <c r="T457" s="633"/>
      <c r="U457" s="633">
        <v>2056</v>
      </c>
      <c r="V457" s="634"/>
      <c r="W457" s="634"/>
      <c r="X457" s="634"/>
      <c r="Y457" s="634"/>
      <c r="Z457" s="633">
        <v>3285.37</v>
      </c>
      <c r="AA457" s="634">
        <v>1000</v>
      </c>
      <c r="AB457" s="634"/>
      <c r="AC457" s="634"/>
      <c r="AD457" s="635">
        <v>45320</v>
      </c>
      <c r="AE457" s="637">
        <v>90640</v>
      </c>
      <c r="AF457" s="624">
        <v>0</v>
      </c>
      <c r="AG457" s="625">
        <v>0</v>
      </c>
      <c r="AH457" s="636">
        <v>2</v>
      </c>
      <c r="AI457" s="638">
        <v>90640</v>
      </c>
    </row>
    <row r="458" spans="1:35" x14ac:dyDescent="0.2">
      <c r="A458" s="632" t="s">
        <v>12</v>
      </c>
      <c r="B458" s="628">
        <v>8</v>
      </c>
      <c r="C458" s="633">
        <v>1209</v>
      </c>
      <c r="D458" s="633"/>
      <c r="E458" s="633"/>
      <c r="F458" s="633">
        <v>2056</v>
      </c>
      <c r="G458" s="634"/>
      <c r="H458" s="634"/>
      <c r="I458" s="634"/>
      <c r="J458" s="634"/>
      <c r="K458" s="633">
        <v>3265</v>
      </c>
      <c r="L458" s="634">
        <v>1000</v>
      </c>
      <c r="M458" s="634"/>
      <c r="N458" s="634"/>
      <c r="O458" s="635">
        <v>40180</v>
      </c>
      <c r="P458" s="630">
        <v>321440</v>
      </c>
      <c r="Q458" s="636">
        <v>8</v>
      </c>
      <c r="R458" s="633">
        <v>1209</v>
      </c>
      <c r="S458" s="633"/>
      <c r="T458" s="633"/>
      <c r="U458" s="633">
        <v>2056</v>
      </c>
      <c r="V458" s="634"/>
      <c r="W458" s="634"/>
      <c r="X458" s="634"/>
      <c r="Y458" s="634"/>
      <c r="Z458" s="633">
        <v>3265</v>
      </c>
      <c r="AA458" s="634">
        <v>1000</v>
      </c>
      <c r="AB458" s="634"/>
      <c r="AC458" s="634"/>
      <c r="AD458" s="635">
        <v>40180</v>
      </c>
      <c r="AE458" s="637">
        <v>321440</v>
      </c>
      <c r="AF458" s="624">
        <v>0</v>
      </c>
      <c r="AG458" s="625">
        <v>0</v>
      </c>
      <c r="AH458" s="636">
        <v>8</v>
      </c>
      <c r="AI458" s="638">
        <v>321440</v>
      </c>
    </row>
    <row r="459" spans="1:35" x14ac:dyDescent="0.2">
      <c r="A459" s="627" t="s">
        <v>4</v>
      </c>
      <c r="B459" s="628">
        <v>10</v>
      </c>
      <c r="C459" s="629">
        <v>5294.59</v>
      </c>
      <c r="D459" s="629"/>
      <c r="E459" s="629"/>
      <c r="F459" s="629">
        <v>4952</v>
      </c>
      <c r="G459" s="629"/>
      <c r="H459" s="629"/>
      <c r="I459" s="629"/>
      <c r="J459" s="629"/>
      <c r="K459" s="629">
        <v>10246.59</v>
      </c>
      <c r="L459" s="629">
        <v>4000</v>
      </c>
      <c r="M459" s="629"/>
      <c r="N459" s="629"/>
      <c r="O459" s="639">
        <v>14246.59</v>
      </c>
      <c r="P459" s="630">
        <v>315770.08</v>
      </c>
      <c r="Q459" s="628">
        <v>10</v>
      </c>
      <c r="R459" s="629">
        <v>5294.59</v>
      </c>
      <c r="S459" s="629"/>
      <c r="T459" s="629"/>
      <c r="U459" s="629">
        <v>4952</v>
      </c>
      <c r="V459" s="629"/>
      <c r="W459" s="629"/>
      <c r="X459" s="629"/>
      <c r="Y459" s="629"/>
      <c r="Z459" s="629">
        <v>10246.59</v>
      </c>
      <c r="AA459" s="629">
        <v>4000</v>
      </c>
      <c r="AB459" s="629"/>
      <c r="AC459" s="629"/>
      <c r="AD459" s="639">
        <v>14246.59</v>
      </c>
      <c r="AE459" s="631">
        <v>315770.08</v>
      </c>
      <c r="AF459" s="624">
        <v>0</v>
      </c>
      <c r="AG459" s="625">
        <v>0</v>
      </c>
      <c r="AH459" s="628">
        <v>10</v>
      </c>
      <c r="AI459" s="626">
        <v>315770.08</v>
      </c>
    </row>
    <row r="460" spans="1:35" x14ac:dyDescent="0.2">
      <c r="A460" s="632" t="s">
        <v>582</v>
      </c>
      <c r="B460" s="628">
        <v>1</v>
      </c>
      <c r="C460" s="633">
        <v>955.59</v>
      </c>
      <c r="D460" s="633"/>
      <c r="E460" s="633"/>
      <c r="F460" s="633">
        <v>1238</v>
      </c>
      <c r="G460" s="634"/>
      <c r="H460" s="634"/>
      <c r="I460" s="634"/>
      <c r="J460" s="634"/>
      <c r="K460" s="633">
        <v>2193.59</v>
      </c>
      <c r="L460" s="634">
        <v>1000</v>
      </c>
      <c r="M460" s="634"/>
      <c r="N460" s="634"/>
      <c r="O460" s="635">
        <v>27323.08</v>
      </c>
      <c r="P460" s="630">
        <v>27323.08</v>
      </c>
      <c r="Q460" s="636">
        <v>1</v>
      </c>
      <c r="R460" s="633">
        <v>955.59</v>
      </c>
      <c r="S460" s="633"/>
      <c r="T460" s="633"/>
      <c r="U460" s="633">
        <v>1238</v>
      </c>
      <c r="V460" s="634"/>
      <c r="W460" s="634"/>
      <c r="X460" s="634"/>
      <c r="Y460" s="634"/>
      <c r="Z460" s="633">
        <v>2193.59</v>
      </c>
      <c r="AA460" s="634">
        <v>1000</v>
      </c>
      <c r="AB460" s="634"/>
      <c r="AC460" s="634"/>
      <c r="AD460" s="635">
        <v>27323.08</v>
      </c>
      <c r="AE460" s="637">
        <v>27323.08</v>
      </c>
      <c r="AF460" s="624">
        <v>0</v>
      </c>
      <c r="AG460" s="625">
        <v>0</v>
      </c>
      <c r="AH460" s="636">
        <v>1</v>
      </c>
      <c r="AI460" s="638">
        <v>27323.08</v>
      </c>
    </row>
    <row r="461" spans="1:35" x14ac:dyDescent="0.2">
      <c r="A461" s="632" t="s">
        <v>583</v>
      </c>
      <c r="B461" s="628">
        <v>2</v>
      </c>
      <c r="C461" s="633">
        <v>1818.0300000000002</v>
      </c>
      <c r="D461" s="633"/>
      <c r="E461" s="633"/>
      <c r="F461" s="633">
        <v>1238</v>
      </c>
      <c r="G461" s="634"/>
      <c r="H461" s="634"/>
      <c r="I461" s="634"/>
      <c r="J461" s="634"/>
      <c r="K461" s="633">
        <v>3056.03</v>
      </c>
      <c r="L461" s="634">
        <v>1000</v>
      </c>
      <c r="M461" s="634"/>
      <c r="N461" s="634"/>
      <c r="O461" s="635">
        <v>37672.36</v>
      </c>
      <c r="P461" s="630">
        <v>75344.72</v>
      </c>
      <c r="Q461" s="636">
        <v>2</v>
      </c>
      <c r="R461" s="633">
        <v>1818.0300000000002</v>
      </c>
      <c r="S461" s="633"/>
      <c r="T461" s="633"/>
      <c r="U461" s="633">
        <v>1238</v>
      </c>
      <c r="V461" s="634"/>
      <c r="W461" s="634"/>
      <c r="X461" s="634"/>
      <c r="Y461" s="634"/>
      <c r="Z461" s="633">
        <v>3056.03</v>
      </c>
      <c r="AA461" s="634">
        <v>1000</v>
      </c>
      <c r="AB461" s="634"/>
      <c r="AC461" s="634"/>
      <c r="AD461" s="635">
        <v>37672.36</v>
      </c>
      <c r="AE461" s="637">
        <v>75344.72</v>
      </c>
      <c r="AF461" s="624">
        <v>0</v>
      </c>
      <c r="AG461" s="625">
        <v>0</v>
      </c>
      <c r="AH461" s="636">
        <v>2</v>
      </c>
      <c r="AI461" s="638">
        <v>75344.72</v>
      </c>
    </row>
    <row r="462" spans="1:35" x14ac:dyDescent="0.2">
      <c r="A462" s="632" t="s">
        <v>584</v>
      </c>
      <c r="B462" s="628">
        <v>5</v>
      </c>
      <c r="C462" s="633">
        <v>1155.75</v>
      </c>
      <c r="D462" s="633"/>
      <c r="E462" s="633"/>
      <c r="F462" s="633">
        <v>1238</v>
      </c>
      <c r="G462" s="634"/>
      <c r="H462" s="634"/>
      <c r="I462" s="634"/>
      <c r="J462" s="634"/>
      <c r="K462" s="633">
        <v>2393.75</v>
      </c>
      <c r="L462" s="634">
        <v>1000</v>
      </c>
      <c r="M462" s="634"/>
      <c r="N462" s="634"/>
      <c r="O462" s="635">
        <v>29725</v>
      </c>
      <c r="P462" s="630">
        <v>148625</v>
      </c>
      <c r="Q462" s="636">
        <v>5</v>
      </c>
      <c r="R462" s="633">
        <v>1155.75</v>
      </c>
      <c r="S462" s="633"/>
      <c r="T462" s="633"/>
      <c r="U462" s="633">
        <v>1238</v>
      </c>
      <c r="V462" s="634"/>
      <c r="W462" s="634"/>
      <c r="X462" s="634"/>
      <c r="Y462" s="634"/>
      <c r="Z462" s="633">
        <v>2393.75</v>
      </c>
      <c r="AA462" s="634">
        <v>1000</v>
      </c>
      <c r="AB462" s="634"/>
      <c r="AC462" s="634"/>
      <c r="AD462" s="635">
        <v>29725</v>
      </c>
      <c r="AE462" s="637">
        <v>148625</v>
      </c>
      <c r="AF462" s="624">
        <v>0</v>
      </c>
      <c r="AG462" s="625">
        <v>0</v>
      </c>
      <c r="AH462" s="636">
        <v>5</v>
      </c>
      <c r="AI462" s="638">
        <v>148625</v>
      </c>
    </row>
    <row r="463" spans="1:35" x14ac:dyDescent="0.2">
      <c r="A463" s="632" t="s">
        <v>585</v>
      </c>
      <c r="B463" s="628">
        <v>2</v>
      </c>
      <c r="C463" s="633">
        <v>1365.22</v>
      </c>
      <c r="D463" s="633"/>
      <c r="E463" s="633"/>
      <c r="F463" s="633">
        <v>1238</v>
      </c>
      <c r="G463" s="634"/>
      <c r="H463" s="634"/>
      <c r="I463" s="634"/>
      <c r="J463" s="634"/>
      <c r="K463" s="633">
        <v>2603.2200000000003</v>
      </c>
      <c r="L463" s="634">
        <v>1000</v>
      </c>
      <c r="M463" s="634"/>
      <c r="N463" s="634"/>
      <c r="O463" s="635">
        <v>32238.640000000003</v>
      </c>
      <c r="P463" s="630">
        <v>64477.280000000006</v>
      </c>
      <c r="Q463" s="636">
        <v>2</v>
      </c>
      <c r="R463" s="633">
        <v>1365.22</v>
      </c>
      <c r="S463" s="633"/>
      <c r="T463" s="633"/>
      <c r="U463" s="633">
        <v>1238</v>
      </c>
      <c r="V463" s="634"/>
      <c r="W463" s="634"/>
      <c r="X463" s="634"/>
      <c r="Y463" s="634"/>
      <c r="Z463" s="633">
        <v>2603.2200000000003</v>
      </c>
      <c r="AA463" s="634">
        <v>1000</v>
      </c>
      <c r="AB463" s="634"/>
      <c r="AC463" s="634"/>
      <c r="AD463" s="635">
        <v>32238.640000000003</v>
      </c>
      <c r="AE463" s="637">
        <v>64477.280000000006</v>
      </c>
      <c r="AF463" s="624">
        <v>0</v>
      </c>
      <c r="AG463" s="625">
        <v>0</v>
      </c>
      <c r="AH463" s="636">
        <v>2</v>
      </c>
      <c r="AI463" s="638">
        <v>64477.280000000006</v>
      </c>
    </row>
    <row r="464" spans="1:35" x14ac:dyDescent="0.2">
      <c r="A464" s="627" t="s">
        <v>5</v>
      </c>
      <c r="B464" s="628">
        <v>52</v>
      </c>
      <c r="C464" s="629">
        <v>3071.8510714285712</v>
      </c>
      <c r="D464" s="629"/>
      <c r="E464" s="629"/>
      <c r="F464" s="629">
        <v>4152</v>
      </c>
      <c r="G464" s="629"/>
      <c r="H464" s="629"/>
      <c r="I464" s="629"/>
      <c r="J464" s="629"/>
      <c r="K464" s="629">
        <v>7223.8510714285712</v>
      </c>
      <c r="L464" s="629">
        <v>4000</v>
      </c>
      <c r="M464" s="629"/>
      <c r="N464" s="629"/>
      <c r="O464" s="639">
        <v>11223.851071428571</v>
      </c>
      <c r="P464" s="630">
        <v>1189020.04</v>
      </c>
      <c r="Q464" s="628">
        <v>52</v>
      </c>
      <c r="R464" s="629">
        <v>3071.8510714285712</v>
      </c>
      <c r="S464" s="629"/>
      <c r="T464" s="629"/>
      <c r="U464" s="629">
        <v>4152</v>
      </c>
      <c r="V464" s="629"/>
      <c r="W464" s="629"/>
      <c r="X464" s="629"/>
      <c r="Y464" s="629"/>
      <c r="Z464" s="629">
        <v>7223.8510714285712</v>
      </c>
      <c r="AA464" s="629">
        <v>4000</v>
      </c>
      <c r="AB464" s="629"/>
      <c r="AC464" s="629"/>
      <c r="AD464" s="639">
        <v>11223.851071428571</v>
      </c>
      <c r="AE464" s="631">
        <v>1189020.04</v>
      </c>
      <c r="AF464" s="624">
        <v>0</v>
      </c>
      <c r="AG464" s="625">
        <v>0</v>
      </c>
      <c r="AH464" s="628">
        <v>52</v>
      </c>
      <c r="AI464" s="626">
        <v>1189020.04</v>
      </c>
    </row>
    <row r="465" spans="1:35" x14ac:dyDescent="0.2">
      <c r="A465" s="632" t="s">
        <v>15</v>
      </c>
      <c r="B465" s="628">
        <v>37</v>
      </c>
      <c r="C465" s="633">
        <v>796.28</v>
      </c>
      <c r="D465" s="633"/>
      <c r="E465" s="633"/>
      <c r="F465" s="633">
        <v>1038</v>
      </c>
      <c r="G465" s="634"/>
      <c r="H465" s="634"/>
      <c r="I465" s="634"/>
      <c r="J465" s="634"/>
      <c r="K465" s="633">
        <v>1834.28</v>
      </c>
      <c r="L465" s="634">
        <v>1000</v>
      </c>
      <c r="M465" s="634"/>
      <c r="N465" s="634"/>
      <c r="O465" s="635">
        <v>23011.360000000001</v>
      </c>
      <c r="P465" s="630">
        <v>851420.32000000007</v>
      </c>
      <c r="Q465" s="636">
        <v>37</v>
      </c>
      <c r="R465" s="633">
        <v>796.28</v>
      </c>
      <c r="S465" s="633"/>
      <c r="T465" s="633"/>
      <c r="U465" s="633">
        <v>1038</v>
      </c>
      <c r="V465" s="634"/>
      <c r="W465" s="634"/>
      <c r="X465" s="634"/>
      <c r="Y465" s="634"/>
      <c r="Z465" s="633">
        <v>1834.28</v>
      </c>
      <c r="AA465" s="634">
        <v>1000</v>
      </c>
      <c r="AB465" s="634"/>
      <c r="AC465" s="634"/>
      <c r="AD465" s="635">
        <v>23011.360000000001</v>
      </c>
      <c r="AE465" s="637">
        <v>851420.32000000007</v>
      </c>
      <c r="AF465" s="624">
        <v>0</v>
      </c>
      <c r="AG465" s="625">
        <v>0</v>
      </c>
      <c r="AH465" s="636">
        <v>37</v>
      </c>
      <c r="AI465" s="638">
        <v>851420.32000000007</v>
      </c>
    </row>
    <row r="466" spans="1:35" x14ac:dyDescent="0.2">
      <c r="A466" s="632" t="s">
        <v>586</v>
      </c>
      <c r="B466" s="628">
        <v>4</v>
      </c>
      <c r="C466" s="633">
        <v>777.85249999999996</v>
      </c>
      <c r="D466" s="633"/>
      <c r="E466" s="633"/>
      <c r="F466" s="633">
        <v>1038</v>
      </c>
      <c r="G466" s="634"/>
      <c r="H466" s="634"/>
      <c r="I466" s="634"/>
      <c r="J466" s="634"/>
      <c r="K466" s="633">
        <v>1815.8525</v>
      </c>
      <c r="L466" s="634">
        <v>1000</v>
      </c>
      <c r="M466" s="634"/>
      <c r="N466" s="634"/>
      <c r="O466" s="635">
        <v>22790.23</v>
      </c>
      <c r="P466" s="630">
        <v>91160.92</v>
      </c>
      <c r="Q466" s="636">
        <v>4</v>
      </c>
      <c r="R466" s="633">
        <v>777.85249999999996</v>
      </c>
      <c r="S466" s="633"/>
      <c r="T466" s="633"/>
      <c r="U466" s="633">
        <v>1038</v>
      </c>
      <c r="V466" s="634"/>
      <c r="W466" s="634"/>
      <c r="X466" s="634"/>
      <c r="Y466" s="634"/>
      <c r="Z466" s="633">
        <v>1815.8525</v>
      </c>
      <c r="AA466" s="634">
        <v>1000</v>
      </c>
      <c r="AB466" s="634"/>
      <c r="AC466" s="634"/>
      <c r="AD466" s="635">
        <v>22790.23</v>
      </c>
      <c r="AE466" s="637">
        <v>91160.92</v>
      </c>
      <c r="AF466" s="624">
        <v>0</v>
      </c>
      <c r="AG466" s="625">
        <v>0</v>
      </c>
      <c r="AH466" s="636">
        <v>4</v>
      </c>
      <c r="AI466" s="638">
        <v>91160.92</v>
      </c>
    </row>
    <row r="467" spans="1:35" x14ac:dyDescent="0.2">
      <c r="A467" s="632" t="s">
        <v>587</v>
      </c>
      <c r="B467" s="628">
        <v>4</v>
      </c>
      <c r="C467" s="633">
        <v>760.70999999999992</v>
      </c>
      <c r="D467" s="633"/>
      <c r="E467" s="633"/>
      <c r="F467" s="633">
        <v>1038</v>
      </c>
      <c r="G467" s="634"/>
      <c r="H467" s="634"/>
      <c r="I467" s="634"/>
      <c r="J467" s="634"/>
      <c r="K467" s="633">
        <v>1798.71</v>
      </c>
      <c r="L467" s="634">
        <v>1000</v>
      </c>
      <c r="M467" s="634"/>
      <c r="N467" s="634"/>
      <c r="O467" s="635">
        <v>22584.52</v>
      </c>
      <c r="P467" s="630">
        <v>90338.08</v>
      </c>
      <c r="Q467" s="636">
        <v>4</v>
      </c>
      <c r="R467" s="633">
        <v>760.70999999999992</v>
      </c>
      <c r="S467" s="633"/>
      <c r="T467" s="633"/>
      <c r="U467" s="633">
        <v>1038</v>
      </c>
      <c r="V467" s="634"/>
      <c r="W467" s="634"/>
      <c r="X467" s="634"/>
      <c r="Y467" s="634"/>
      <c r="Z467" s="633">
        <v>1798.71</v>
      </c>
      <c r="AA467" s="634">
        <v>1000</v>
      </c>
      <c r="AB467" s="634"/>
      <c r="AC467" s="634"/>
      <c r="AD467" s="635">
        <v>22584.52</v>
      </c>
      <c r="AE467" s="637">
        <v>90338.08</v>
      </c>
      <c r="AF467" s="624">
        <v>0</v>
      </c>
      <c r="AG467" s="625">
        <v>0</v>
      </c>
      <c r="AH467" s="636">
        <v>4</v>
      </c>
      <c r="AI467" s="638">
        <v>90338.08</v>
      </c>
    </row>
    <row r="468" spans="1:35" x14ac:dyDescent="0.2">
      <c r="A468" s="632" t="s">
        <v>588</v>
      </c>
      <c r="B468" s="628">
        <v>7</v>
      </c>
      <c r="C468" s="633">
        <v>737.00857142857149</v>
      </c>
      <c r="D468" s="633"/>
      <c r="E468" s="633"/>
      <c r="F468" s="633">
        <v>1038</v>
      </c>
      <c r="G468" s="634"/>
      <c r="H468" s="634"/>
      <c r="I468" s="634"/>
      <c r="J468" s="634"/>
      <c r="K468" s="633">
        <v>1775.0085714285715</v>
      </c>
      <c r="L468" s="634">
        <v>1000</v>
      </c>
      <c r="M468" s="634"/>
      <c r="N468" s="634"/>
      <c r="O468" s="635">
        <v>22300.102857142858</v>
      </c>
      <c r="P468" s="630">
        <v>156100.72</v>
      </c>
      <c r="Q468" s="636">
        <v>7</v>
      </c>
      <c r="R468" s="633">
        <v>737.00857142857149</v>
      </c>
      <c r="S468" s="633"/>
      <c r="T468" s="633"/>
      <c r="U468" s="633">
        <v>1038</v>
      </c>
      <c r="V468" s="634"/>
      <c r="W468" s="634"/>
      <c r="X468" s="634"/>
      <c r="Y468" s="634"/>
      <c r="Z468" s="633">
        <v>1775.0085714285715</v>
      </c>
      <c r="AA468" s="634">
        <v>1000</v>
      </c>
      <c r="AB468" s="634"/>
      <c r="AC468" s="634"/>
      <c r="AD468" s="635">
        <v>22300.102857142858</v>
      </c>
      <c r="AE468" s="637">
        <v>156100.72</v>
      </c>
      <c r="AF468" s="624">
        <v>0</v>
      </c>
      <c r="AG468" s="625">
        <v>0</v>
      </c>
      <c r="AH468" s="636">
        <v>7</v>
      </c>
      <c r="AI468" s="638">
        <v>156100.72</v>
      </c>
    </row>
    <row r="469" spans="1:35" x14ac:dyDescent="0.2">
      <c r="A469" s="627" t="s">
        <v>6</v>
      </c>
      <c r="B469" s="628">
        <v>6</v>
      </c>
      <c r="C469" s="629">
        <v>1815</v>
      </c>
      <c r="D469" s="629"/>
      <c r="E469" s="629"/>
      <c r="F469" s="629">
        <v>2076</v>
      </c>
      <c r="G469" s="640"/>
      <c r="H469" s="640"/>
      <c r="I469" s="640"/>
      <c r="J469" s="640"/>
      <c r="K469" s="629">
        <v>3891</v>
      </c>
      <c r="L469" s="629">
        <v>2000</v>
      </c>
      <c r="M469" s="629"/>
      <c r="N469" s="629"/>
      <c r="O469" s="639">
        <v>5891</v>
      </c>
      <c r="P469" s="630">
        <v>145716</v>
      </c>
      <c r="Q469" s="628">
        <v>6</v>
      </c>
      <c r="R469" s="629">
        <v>1815</v>
      </c>
      <c r="S469" s="629"/>
      <c r="T469" s="629"/>
      <c r="U469" s="629">
        <v>2076</v>
      </c>
      <c r="V469" s="640"/>
      <c r="W469" s="640"/>
      <c r="X469" s="640"/>
      <c r="Y469" s="640"/>
      <c r="Z469" s="629">
        <v>3891</v>
      </c>
      <c r="AA469" s="629">
        <v>2000</v>
      </c>
      <c r="AB469" s="629"/>
      <c r="AC469" s="629"/>
      <c r="AD469" s="639">
        <v>5891</v>
      </c>
      <c r="AE469" s="631">
        <v>145716</v>
      </c>
      <c r="AF469" s="624">
        <v>0</v>
      </c>
      <c r="AG469" s="625">
        <v>0</v>
      </c>
      <c r="AH469" s="628">
        <v>6</v>
      </c>
      <c r="AI469" s="626">
        <v>145716</v>
      </c>
    </row>
    <row r="470" spans="1:35" x14ac:dyDescent="0.2">
      <c r="A470" s="632" t="s">
        <v>591</v>
      </c>
      <c r="B470" s="628">
        <v>1</v>
      </c>
      <c r="C470" s="633">
        <v>915</v>
      </c>
      <c r="D470" s="633"/>
      <c r="E470" s="633"/>
      <c r="F470" s="633">
        <v>1038</v>
      </c>
      <c r="G470" s="634"/>
      <c r="H470" s="634"/>
      <c r="I470" s="634"/>
      <c r="J470" s="634"/>
      <c r="K470" s="633">
        <v>1953</v>
      </c>
      <c r="L470" s="634">
        <v>1000</v>
      </c>
      <c r="M470" s="634"/>
      <c r="N470" s="634"/>
      <c r="O470" s="635">
        <v>24436</v>
      </c>
      <c r="P470" s="630">
        <v>24436</v>
      </c>
      <c r="Q470" s="636">
        <v>1</v>
      </c>
      <c r="R470" s="633">
        <v>915</v>
      </c>
      <c r="S470" s="633"/>
      <c r="T470" s="633"/>
      <c r="U470" s="633">
        <v>1038</v>
      </c>
      <c r="V470" s="634"/>
      <c r="W470" s="634"/>
      <c r="X470" s="634"/>
      <c r="Y470" s="634"/>
      <c r="Z470" s="633">
        <v>1953</v>
      </c>
      <c r="AA470" s="634">
        <v>1000</v>
      </c>
      <c r="AB470" s="634"/>
      <c r="AC470" s="634"/>
      <c r="AD470" s="635">
        <v>24436</v>
      </c>
      <c r="AE470" s="637">
        <v>24436</v>
      </c>
      <c r="AF470" s="624">
        <v>0</v>
      </c>
      <c r="AG470" s="625">
        <v>0</v>
      </c>
      <c r="AH470" s="636">
        <v>1</v>
      </c>
      <c r="AI470" s="638">
        <v>24436</v>
      </c>
    </row>
    <row r="471" spans="1:35" x14ac:dyDescent="0.2">
      <c r="A471" s="632" t="s">
        <v>644</v>
      </c>
      <c r="B471" s="628">
        <v>5</v>
      </c>
      <c r="C471" s="633">
        <v>900</v>
      </c>
      <c r="D471" s="633"/>
      <c r="E471" s="633"/>
      <c r="F471" s="633">
        <v>1038</v>
      </c>
      <c r="G471" s="634"/>
      <c r="H471" s="634"/>
      <c r="I471" s="634"/>
      <c r="J471" s="634"/>
      <c r="K471" s="633">
        <v>1938</v>
      </c>
      <c r="L471" s="634">
        <v>1000</v>
      </c>
      <c r="M471" s="634"/>
      <c r="N471" s="634"/>
      <c r="O471" s="635">
        <v>24256</v>
      </c>
      <c r="P471" s="630">
        <v>121280</v>
      </c>
      <c r="Q471" s="636">
        <v>5</v>
      </c>
      <c r="R471" s="633">
        <v>900</v>
      </c>
      <c r="S471" s="633"/>
      <c r="T471" s="633"/>
      <c r="U471" s="633">
        <v>1038</v>
      </c>
      <c r="V471" s="634"/>
      <c r="W471" s="634"/>
      <c r="X471" s="634"/>
      <c r="Y471" s="634"/>
      <c r="Z471" s="633">
        <v>1938</v>
      </c>
      <c r="AA471" s="634">
        <v>1000</v>
      </c>
      <c r="AB471" s="634"/>
      <c r="AC471" s="634"/>
      <c r="AD471" s="635">
        <v>24256</v>
      </c>
      <c r="AE471" s="637">
        <v>121280</v>
      </c>
      <c r="AF471" s="624">
        <v>0</v>
      </c>
      <c r="AG471" s="625">
        <v>0</v>
      </c>
      <c r="AH471" s="636">
        <v>5</v>
      </c>
      <c r="AI471" s="638">
        <v>121280</v>
      </c>
    </row>
    <row r="472" spans="1:35" x14ac:dyDescent="0.2">
      <c r="A472" s="641" t="s">
        <v>755</v>
      </c>
      <c r="B472" s="642">
        <v>251</v>
      </c>
      <c r="C472" s="643">
        <v>23073.616666666672</v>
      </c>
      <c r="D472" s="643"/>
      <c r="E472" s="643"/>
      <c r="F472" s="643"/>
      <c r="G472" s="644"/>
      <c r="H472" s="644"/>
      <c r="I472" s="643">
        <v>1580</v>
      </c>
      <c r="J472" s="643">
        <v>3920</v>
      </c>
      <c r="K472" s="643">
        <v>28573.616666666672</v>
      </c>
      <c r="L472" s="645">
        <v>14000</v>
      </c>
      <c r="M472" s="645"/>
      <c r="N472" s="645"/>
      <c r="O472" s="646">
        <v>42573.616666666669</v>
      </c>
      <c r="P472" s="647">
        <v>7770506.4000000032</v>
      </c>
      <c r="Q472" s="642">
        <v>251</v>
      </c>
      <c r="R472" s="643">
        <v>26928.816666666669</v>
      </c>
      <c r="S472" s="643"/>
      <c r="T472" s="643"/>
      <c r="U472" s="643"/>
      <c r="V472" s="644"/>
      <c r="W472" s="644"/>
      <c r="X472" s="643">
        <v>1580</v>
      </c>
      <c r="Y472" s="643">
        <v>3920</v>
      </c>
      <c r="Z472" s="643">
        <v>32428.816666666669</v>
      </c>
      <c r="AA472" s="645">
        <v>14000</v>
      </c>
      <c r="AB472" s="645"/>
      <c r="AC472" s="645"/>
      <c r="AD472" s="646">
        <v>46428.816666666666</v>
      </c>
      <c r="AE472" s="648">
        <v>7770506.4000000032</v>
      </c>
      <c r="AF472" s="624">
        <v>0</v>
      </c>
      <c r="AG472" s="625">
        <v>0</v>
      </c>
      <c r="AH472" s="642">
        <v>251</v>
      </c>
      <c r="AI472" s="644">
        <v>7770506.4000000032</v>
      </c>
    </row>
    <row r="473" spans="1:35" x14ac:dyDescent="0.2">
      <c r="A473" s="627" t="s">
        <v>4</v>
      </c>
      <c r="B473" s="628">
        <v>12</v>
      </c>
      <c r="C473" s="629">
        <v>7826.2000000000007</v>
      </c>
      <c r="D473" s="629"/>
      <c r="E473" s="629"/>
      <c r="F473" s="629"/>
      <c r="G473" s="629"/>
      <c r="H473" s="629"/>
      <c r="I473" s="629">
        <v>0</v>
      </c>
      <c r="J473" s="629">
        <v>0</v>
      </c>
      <c r="K473" s="629">
        <v>7826.2000000000007</v>
      </c>
      <c r="L473" s="629">
        <v>4000</v>
      </c>
      <c r="M473" s="629"/>
      <c r="N473" s="629"/>
      <c r="O473" s="639">
        <v>97914.4</v>
      </c>
      <c r="P473" s="630">
        <v>285362.40000000002</v>
      </c>
      <c r="Q473" s="628">
        <v>12</v>
      </c>
      <c r="R473" s="629">
        <v>7826.2000000000007</v>
      </c>
      <c r="S473" s="629"/>
      <c r="T473" s="629"/>
      <c r="U473" s="629"/>
      <c r="V473" s="629"/>
      <c r="W473" s="629"/>
      <c r="X473" s="629">
        <v>0</v>
      </c>
      <c r="Y473" s="629">
        <v>0</v>
      </c>
      <c r="Z473" s="629">
        <v>7826.2000000000007</v>
      </c>
      <c r="AA473" s="629">
        <v>4000</v>
      </c>
      <c r="AB473" s="629"/>
      <c r="AC473" s="629"/>
      <c r="AD473" s="639">
        <v>97914.4</v>
      </c>
      <c r="AE473" s="631">
        <v>285362.40000000002</v>
      </c>
      <c r="AF473" s="624">
        <v>0</v>
      </c>
      <c r="AG473" s="625">
        <v>0</v>
      </c>
      <c r="AH473" s="628">
        <v>12</v>
      </c>
      <c r="AI473" s="626">
        <v>285362.40000000002</v>
      </c>
    </row>
    <row r="474" spans="1:35" x14ac:dyDescent="0.2">
      <c r="A474" s="632" t="s">
        <v>13</v>
      </c>
      <c r="B474" s="628">
        <v>1</v>
      </c>
      <c r="C474" s="633">
        <v>2350.2000000000003</v>
      </c>
      <c r="D474" s="633"/>
      <c r="E474" s="633"/>
      <c r="F474" s="633"/>
      <c r="G474" s="634"/>
      <c r="H474" s="634"/>
      <c r="I474" s="633"/>
      <c r="J474" s="633"/>
      <c r="K474" s="633">
        <v>2350.2000000000003</v>
      </c>
      <c r="L474" s="634">
        <v>1000</v>
      </c>
      <c r="M474" s="634"/>
      <c r="N474" s="634"/>
      <c r="O474" s="635">
        <v>29202.400000000001</v>
      </c>
      <c r="P474" s="630">
        <v>29202.400000000001</v>
      </c>
      <c r="Q474" s="636">
        <v>1</v>
      </c>
      <c r="R474" s="633">
        <v>2350.2000000000003</v>
      </c>
      <c r="S474" s="633"/>
      <c r="T474" s="633"/>
      <c r="U474" s="633"/>
      <c r="V474" s="634"/>
      <c r="W474" s="634"/>
      <c r="X474" s="633"/>
      <c r="Y474" s="633"/>
      <c r="Z474" s="633">
        <v>2350.2000000000003</v>
      </c>
      <c r="AA474" s="634">
        <v>1000</v>
      </c>
      <c r="AB474" s="634"/>
      <c r="AC474" s="634"/>
      <c r="AD474" s="635">
        <v>29202.400000000001</v>
      </c>
      <c r="AE474" s="637">
        <v>29202.400000000001</v>
      </c>
      <c r="AF474" s="624">
        <v>0</v>
      </c>
      <c r="AG474" s="625">
        <v>0</v>
      </c>
      <c r="AH474" s="636">
        <v>1</v>
      </c>
      <c r="AI474" s="638">
        <v>29202.400000000001</v>
      </c>
    </row>
    <row r="475" spans="1:35" x14ac:dyDescent="0.2">
      <c r="A475" s="632" t="s">
        <v>584</v>
      </c>
      <c r="B475" s="628">
        <v>3</v>
      </c>
      <c r="C475" s="633">
        <v>2225</v>
      </c>
      <c r="D475" s="633"/>
      <c r="E475" s="633"/>
      <c r="F475" s="633"/>
      <c r="G475" s="634"/>
      <c r="H475" s="634"/>
      <c r="I475" s="633"/>
      <c r="J475" s="633"/>
      <c r="K475" s="633">
        <v>2225</v>
      </c>
      <c r="L475" s="634">
        <v>1000</v>
      </c>
      <c r="M475" s="634"/>
      <c r="N475" s="634"/>
      <c r="O475" s="635">
        <v>27700</v>
      </c>
      <c r="P475" s="630">
        <v>83100</v>
      </c>
      <c r="Q475" s="636">
        <v>3</v>
      </c>
      <c r="R475" s="633">
        <v>2225</v>
      </c>
      <c r="S475" s="633"/>
      <c r="T475" s="633"/>
      <c r="U475" s="633"/>
      <c r="V475" s="634"/>
      <c r="W475" s="634"/>
      <c r="X475" s="633"/>
      <c r="Y475" s="633"/>
      <c r="Z475" s="633">
        <v>2225</v>
      </c>
      <c r="AA475" s="634">
        <v>1000</v>
      </c>
      <c r="AB475" s="634"/>
      <c r="AC475" s="634"/>
      <c r="AD475" s="635">
        <v>27700</v>
      </c>
      <c r="AE475" s="637">
        <v>83100</v>
      </c>
      <c r="AF475" s="624">
        <v>0</v>
      </c>
      <c r="AG475" s="625">
        <v>0</v>
      </c>
      <c r="AH475" s="636">
        <v>3</v>
      </c>
      <c r="AI475" s="638">
        <v>83100</v>
      </c>
    </row>
    <row r="476" spans="1:35" x14ac:dyDescent="0.2">
      <c r="A476" s="632" t="s">
        <v>14</v>
      </c>
      <c r="B476" s="628">
        <v>5</v>
      </c>
      <c r="C476" s="633">
        <v>2001</v>
      </c>
      <c r="D476" s="633"/>
      <c r="E476" s="633"/>
      <c r="F476" s="633"/>
      <c r="G476" s="634"/>
      <c r="H476" s="634"/>
      <c r="I476" s="633"/>
      <c r="J476" s="633"/>
      <c r="K476" s="633">
        <v>2001</v>
      </c>
      <c r="L476" s="634">
        <v>1000</v>
      </c>
      <c r="M476" s="634"/>
      <c r="N476" s="634"/>
      <c r="O476" s="635">
        <v>25012</v>
      </c>
      <c r="P476" s="630">
        <v>125060</v>
      </c>
      <c r="Q476" s="636">
        <v>5</v>
      </c>
      <c r="R476" s="633">
        <v>2001</v>
      </c>
      <c r="S476" s="633"/>
      <c r="T476" s="633"/>
      <c r="U476" s="633"/>
      <c r="V476" s="634"/>
      <c r="W476" s="634"/>
      <c r="X476" s="633"/>
      <c r="Y476" s="633"/>
      <c r="Z476" s="633">
        <v>2001</v>
      </c>
      <c r="AA476" s="634">
        <v>1000</v>
      </c>
      <c r="AB476" s="634"/>
      <c r="AC476" s="634"/>
      <c r="AD476" s="635">
        <v>25012</v>
      </c>
      <c r="AE476" s="637">
        <v>125060</v>
      </c>
      <c r="AF476" s="624">
        <v>0</v>
      </c>
      <c r="AG476" s="625">
        <v>0</v>
      </c>
      <c r="AH476" s="636">
        <v>5</v>
      </c>
      <c r="AI476" s="638">
        <v>125060</v>
      </c>
    </row>
    <row r="477" spans="1:35" x14ac:dyDescent="0.2">
      <c r="A477" s="632" t="s">
        <v>585</v>
      </c>
      <c r="B477" s="628">
        <v>3</v>
      </c>
      <c r="C477" s="633">
        <v>1250</v>
      </c>
      <c r="D477" s="633"/>
      <c r="E477" s="633"/>
      <c r="F477" s="633"/>
      <c r="G477" s="634"/>
      <c r="H477" s="634"/>
      <c r="I477" s="633"/>
      <c r="J477" s="633"/>
      <c r="K477" s="633">
        <v>1250</v>
      </c>
      <c r="L477" s="634">
        <v>1000</v>
      </c>
      <c r="M477" s="634"/>
      <c r="N477" s="634"/>
      <c r="O477" s="635">
        <v>16000</v>
      </c>
      <c r="P477" s="630">
        <v>48000</v>
      </c>
      <c r="Q477" s="636">
        <v>3</v>
      </c>
      <c r="R477" s="633">
        <v>1250</v>
      </c>
      <c r="S477" s="633"/>
      <c r="T477" s="633"/>
      <c r="U477" s="633"/>
      <c r="V477" s="634"/>
      <c r="W477" s="634"/>
      <c r="X477" s="633"/>
      <c r="Y477" s="633"/>
      <c r="Z477" s="633">
        <v>1250</v>
      </c>
      <c r="AA477" s="634">
        <v>1000</v>
      </c>
      <c r="AB477" s="634"/>
      <c r="AC477" s="634"/>
      <c r="AD477" s="635">
        <v>16000</v>
      </c>
      <c r="AE477" s="637">
        <v>48000</v>
      </c>
      <c r="AF477" s="624">
        <v>0</v>
      </c>
      <c r="AG477" s="625">
        <v>0</v>
      </c>
      <c r="AH477" s="636">
        <v>3</v>
      </c>
      <c r="AI477" s="638">
        <v>48000</v>
      </c>
    </row>
    <row r="478" spans="1:35" x14ac:dyDescent="0.2">
      <c r="A478" s="627" t="s">
        <v>5</v>
      </c>
      <c r="B478" s="628">
        <v>232</v>
      </c>
      <c r="C478" s="629">
        <v>7893.2166666666699</v>
      </c>
      <c r="D478" s="629"/>
      <c r="E478" s="629"/>
      <c r="F478" s="629"/>
      <c r="G478" s="629"/>
      <c r="H478" s="629"/>
      <c r="I478" s="629">
        <v>948</v>
      </c>
      <c r="J478" s="629">
        <v>2400</v>
      </c>
      <c r="K478" s="629">
        <v>11241.216666666671</v>
      </c>
      <c r="L478" s="629">
        <v>6000</v>
      </c>
      <c r="M478" s="629"/>
      <c r="N478" s="629"/>
      <c r="O478" s="639">
        <v>17241.216666666671</v>
      </c>
      <c r="P478" s="630">
        <v>7276276.0000000028</v>
      </c>
      <c r="Q478" s="628">
        <v>232</v>
      </c>
      <c r="R478" s="629">
        <v>11748.41666666667</v>
      </c>
      <c r="S478" s="629"/>
      <c r="T478" s="629"/>
      <c r="U478" s="629"/>
      <c r="V478" s="629"/>
      <c r="W478" s="629"/>
      <c r="X478" s="629">
        <v>948</v>
      </c>
      <c r="Y478" s="629">
        <v>2400</v>
      </c>
      <c r="Z478" s="629">
        <v>15096.41666666667</v>
      </c>
      <c r="AA478" s="629">
        <v>6000</v>
      </c>
      <c r="AB478" s="629"/>
      <c r="AC478" s="629"/>
      <c r="AD478" s="639">
        <v>21096.416666666672</v>
      </c>
      <c r="AE478" s="631">
        <v>7276276.0000000028</v>
      </c>
      <c r="AF478" s="624">
        <v>0</v>
      </c>
      <c r="AG478" s="625">
        <v>0</v>
      </c>
      <c r="AH478" s="628">
        <v>232</v>
      </c>
      <c r="AI478" s="626">
        <v>7276276.0000000028</v>
      </c>
    </row>
    <row r="479" spans="1:35" x14ac:dyDescent="0.2">
      <c r="A479" s="632" t="s">
        <v>15</v>
      </c>
      <c r="B479" s="628">
        <v>114</v>
      </c>
      <c r="C479" s="633">
        <v>1996.0333333333353</v>
      </c>
      <c r="D479" s="633"/>
      <c r="E479" s="633"/>
      <c r="F479" s="633"/>
      <c r="G479" s="634"/>
      <c r="H479" s="634"/>
      <c r="I479" s="633">
        <v>158</v>
      </c>
      <c r="J479" s="633">
        <v>400</v>
      </c>
      <c r="K479" s="633">
        <v>2554.0333333333356</v>
      </c>
      <c r="L479" s="634">
        <v>1000</v>
      </c>
      <c r="M479" s="634"/>
      <c r="N479" s="634"/>
      <c r="O479" s="635">
        <v>31648.400000000027</v>
      </c>
      <c r="P479" s="630">
        <v>3607917.6000000029</v>
      </c>
      <c r="Q479" s="636">
        <v>114</v>
      </c>
      <c r="R479" s="633">
        <v>1996.0333333333353</v>
      </c>
      <c r="S479" s="633"/>
      <c r="T479" s="633"/>
      <c r="U479" s="633"/>
      <c r="V479" s="634"/>
      <c r="W479" s="634"/>
      <c r="X479" s="633">
        <v>158</v>
      </c>
      <c r="Y479" s="633">
        <v>400</v>
      </c>
      <c r="Z479" s="633">
        <v>2554.0333333333356</v>
      </c>
      <c r="AA479" s="634">
        <v>1000</v>
      </c>
      <c r="AB479" s="634"/>
      <c r="AC479" s="634"/>
      <c r="AD479" s="635">
        <v>31648.400000000027</v>
      </c>
      <c r="AE479" s="637">
        <v>3607917.6000000029</v>
      </c>
      <c r="AF479" s="624">
        <v>0</v>
      </c>
      <c r="AG479" s="625">
        <v>0</v>
      </c>
      <c r="AH479" s="636">
        <v>114</v>
      </c>
      <c r="AI479" s="638">
        <v>3607917.6000000029</v>
      </c>
    </row>
    <row r="480" spans="1:35" x14ac:dyDescent="0.2">
      <c r="A480" s="632" t="s">
        <v>586</v>
      </c>
      <c r="B480" s="628">
        <v>18</v>
      </c>
      <c r="C480" s="633">
        <v>1978.2666666666673</v>
      </c>
      <c r="D480" s="633"/>
      <c r="E480" s="633"/>
      <c r="F480" s="633"/>
      <c r="G480" s="634"/>
      <c r="H480" s="634"/>
      <c r="I480" s="633">
        <v>158</v>
      </c>
      <c r="J480" s="633">
        <v>400</v>
      </c>
      <c r="K480" s="633">
        <v>2536.2666666666673</v>
      </c>
      <c r="L480" s="634">
        <v>1000</v>
      </c>
      <c r="M480" s="634"/>
      <c r="N480" s="634"/>
      <c r="O480" s="635">
        <v>31435.200000000008</v>
      </c>
      <c r="P480" s="630">
        <v>565833.60000000009</v>
      </c>
      <c r="Q480" s="636">
        <v>18</v>
      </c>
      <c r="R480" s="633">
        <v>1978.2666666666673</v>
      </c>
      <c r="S480" s="633"/>
      <c r="T480" s="633"/>
      <c r="U480" s="633"/>
      <c r="V480" s="634"/>
      <c r="W480" s="634"/>
      <c r="X480" s="633">
        <v>158</v>
      </c>
      <c r="Y480" s="633">
        <v>400</v>
      </c>
      <c r="Z480" s="633">
        <v>2536.2666666666673</v>
      </c>
      <c r="AA480" s="634">
        <v>1000</v>
      </c>
      <c r="AB480" s="634"/>
      <c r="AC480" s="634"/>
      <c r="AD480" s="635">
        <v>31435.200000000008</v>
      </c>
      <c r="AE480" s="637">
        <v>565833.60000000009</v>
      </c>
      <c r="AF480" s="624">
        <v>0</v>
      </c>
      <c r="AG480" s="625">
        <v>0</v>
      </c>
      <c r="AH480" s="636">
        <v>18</v>
      </c>
      <c r="AI480" s="638">
        <v>565833.60000000009</v>
      </c>
    </row>
    <row r="481" spans="1:35" x14ac:dyDescent="0.2">
      <c r="A481" s="632" t="s">
        <v>587</v>
      </c>
      <c r="B481" s="628">
        <v>24</v>
      </c>
      <c r="C481" s="633">
        <v>1973.9166666666672</v>
      </c>
      <c r="D481" s="633"/>
      <c r="E481" s="633"/>
      <c r="F481" s="633"/>
      <c r="G481" s="634"/>
      <c r="H481" s="634"/>
      <c r="I481" s="633">
        <v>158</v>
      </c>
      <c r="J481" s="633">
        <v>400</v>
      </c>
      <c r="K481" s="633">
        <v>2531.916666666667</v>
      </c>
      <c r="L481" s="634">
        <v>1000</v>
      </c>
      <c r="M481" s="634"/>
      <c r="N481" s="634"/>
      <c r="O481" s="635">
        <v>31383.000000000004</v>
      </c>
      <c r="P481" s="630">
        <v>753192.00000000012</v>
      </c>
      <c r="Q481" s="636">
        <v>24</v>
      </c>
      <c r="R481" s="633">
        <v>1973.9166666666672</v>
      </c>
      <c r="S481" s="633"/>
      <c r="T481" s="633"/>
      <c r="U481" s="633"/>
      <c r="V481" s="634"/>
      <c r="W481" s="634"/>
      <c r="X481" s="633">
        <v>158</v>
      </c>
      <c r="Y481" s="633">
        <v>400</v>
      </c>
      <c r="Z481" s="633">
        <v>2531.916666666667</v>
      </c>
      <c r="AA481" s="634">
        <v>1000</v>
      </c>
      <c r="AB481" s="634"/>
      <c r="AC481" s="634"/>
      <c r="AD481" s="635">
        <v>31383.000000000004</v>
      </c>
      <c r="AE481" s="637">
        <v>753192.00000000012</v>
      </c>
      <c r="AF481" s="624">
        <v>0</v>
      </c>
      <c r="AG481" s="625">
        <v>0</v>
      </c>
      <c r="AH481" s="636">
        <v>24</v>
      </c>
      <c r="AI481" s="638">
        <v>753192.00000000012</v>
      </c>
    </row>
    <row r="482" spans="1:35" x14ac:dyDescent="0.2">
      <c r="A482" s="632" t="s">
        <v>588</v>
      </c>
      <c r="B482" s="628">
        <v>34</v>
      </c>
      <c r="C482" s="633">
        <v>1945</v>
      </c>
      <c r="D482" s="633"/>
      <c r="E482" s="633"/>
      <c r="F482" s="633"/>
      <c r="G482" s="634"/>
      <c r="H482" s="634"/>
      <c r="I482" s="633">
        <v>158</v>
      </c>
      <c r="J482" s="633">
        <v>400</v>
      </c>
      <c r="K482" s="633">
        <v>2503</v>
      </c>
      <c r="L482" s="634">
        <v>1000</v>
      </c>
      <c r="M482" s="634"/>
      <c r="N482" s="634"/>
      <c r="O482" s="635">
        <v>31036</v>
      </c>
      <c r="P482" s="630">
        <v>1055224</v>
      </c>
      <c r="Q482" s="636">
        <v>34</v>
      </c>
      <c r="R482" s="633">
        <v>1945</v>
      </c>
      <c r="S482" s="633"/>
      <c r="T482" s="633"/>
      <c r="U482" s="633"/>
      <c r="V482" s="634"/>
      <c r="W482" s="634"/>
      <c r="X482" s="633">
        <v>158</v>
      </c>
      <c r="Y482" s="633">
        <v>400</v>
      </c>
      <c r="Z482" s="633">
        <v>2503</v>
      </c>
      <c r="AA482" s="634">
        <v>1000</v>
      </c>
      <c r="AB482" s="634"/>
      <c r="AC482" s="634"/>
      <c r="AD482" s="635">
        <v>31036</v>
      </c>
      <c r="AE482" s="637">
        <v>1055224</v>
      </c>
      <c r="AF482" s="624">
        <v>0</v>
      </c>
      <c r="AG482" s="625">
        <v>0</v>
      </c>
      <c r="AH482" s="636">
        <v>34</v>
      </c>
      <c r="AI482" s="638">
        <v>1055224</v>
      </c>
    </row>
    <row r="483" spans="1:35" x14ac:dyDescent="0.2">
      <c r="A483" s="632" t="s">
        <v>643</v>
      </c>
      <c r="B483" s="628">
        <v>15</v>
      </c>
      <c r="C483" s="633">
        <v>1932</v>
      </c>
      <c r="D483" s="633"/>
      <c r="E483" s="633"/>
      <c r="F483" s="633"/>
      <c r="G483" s="634"/>
      <c r="H483" s="634"/>
      <c r="I483" s="633">
        <v>158</v>
      </c>
      <c r="J483" s="633">
        <v>400</v>
      </c>
      <c r="K483" s="633">
        <v>2490</v>
      </c>
      <c r="L483" s="634">
        <v>1000</v>
      </c>
      <c r="M483" s="634"/>
      <c r="N483" s="634"/>
      <c r="O483" s="635">
        <v>30880</v>
      </c>
      <c r="P483" s="630">
        <v>463200</v>
      </c>
      <c r="Q483" s="636">
        <v>15</v>
      </c>
      <c r="R483" s="633">
        <v>1932</v>
      </c>
      <c r="S483" s="633"/>
      <c r="T483" s="633"/>
      <c r="U483" s="633"/>
      <c r="V483" s="634"/>
      <c r="W483" s="634"/>
      <c r="X483" s="633">
        <v>158</v>
      </c>
      <c r="Y483" s="633">
        <v>400</v>
      </c>
      <c r="Z483" s="633">
        <v>2490</v>
      </c>
      <c r="AA483" s="634">
        <v>1000</v>
      </c>
      <c r="AB483" s="634"/>
      <c r="AC483" s="634"/>
      <c r="AD483" s="635">
        <v>30880</v>
      </c>
      <c r="AE483" s="637">
        <v>463200</v>
      </c>
      <c r="AF483" s="624">
        <v>0</v>
      </c>
      <c r="AG483" s="625">
        <v>0</v>
      </c>
      <c r="AH483" s="636">
        <v>15</v>
      </c>
      <c r="AI483" s="638">
        <v>463200</v>
      </c>
    </row>
    <row r="484" spans="1:35" x14ac:dyDescent="0.2">
      <c r="A484" s="632" t="s">
        <v>589</v>
      </c>
      <c r="B484" s="628">
        <v>27</v>
      </c>
      <c r="C484" s="633">
        <v>1923.1999999999991</v>
      </c>
      <c r="D484" s="633"/>
      <c r="E484" s="633"/>
      <c r="F484" s="633"/>
      <c r="G484" s="634"/>
      <c r="H484" s="634"/>
      <c r="I484" s="633">
        <v>158</v>
      </c>
      <c r="J484" s="633">
        <v>400</v>
      </c>
      <c r="K484" s="633">
        <v>2481.1999999999989</v>
      </c>
      <c r="L484" s="634">
        <v>1000</v>
      </c>
      <c r="M484" s="634"/>
      <c r="N484" s="634"/>
      <c r="O484" s="635">
        <v>30774.399999999987</v>
      </c>
      <c r="P484" s="630">
        <v>830908.7999999997</v>
      </c>
      <c r="Q484" s="636">
        <v>27</v>
      </c>
      <c r="R484" s="633">
        <v>1923.1999999999991</v>
      </c>
      <c r="S484" s="633"/>
      <c r="T484" s="633"/>
      <c r="U484" s="633"/>
      <c r="V484" s="634"/>
      <c r="W484" s="634"/>
      <c r="X484" s="633">
        <v>158</v>
      </c>
      <c r="Y484" s="633">
        <v>400</v>
      </c>
      <c r="Z484" s="633">
        <v>2481.1999999999989</v>
      </c>
      <c r="AA484" s="634">
        <v>1000</v>
      </c>
      <c r="AB484" s="634"/>
      <c r="AC484" s="634"/>
      <c r="AD484" s="635">
        <v>30774.399999999987</v>
      </c>
      <c r="AE484" s="637">
        <v>830908.7999999997</v>
      </c>
      <c r="AF484" s="624">
        <v>0</v>
      </c>
      <c r="AG484" s="625">
        <v>0</v>
      </c>
      <c r="AH484" s="636">
        <v>27</v>
      </c>
      <c r="AI484" s="638">
        <v>830908.7999999997</v>
      </c>
    </row>
    <row r="485" spans="1:35" x14ac:dyDescent="0.2">
      <c r="A485" s="627" t="s">
        <v>6</v>
      </c>
      <c r="B485" s="628">
        <v>7</v>
      </c>
      <c r="C485" s="629">
        <v>7354.2</v>
      </c>
      <c r="D485" s="629"/>
      <c r="E485" s="629"/>
      <c r="F485" s="629"/>
      <c r="G485" s="629"/>
      <c r="H485" s="629"/>
      <c r="I485" s="629">
        <v>632</v>
      </c>
      <c r="J485" s="629">
        <v>1520</v>
      </c>
      <c r="K485" s="629">
        <v>9506.2000000000007</v>
      </c>
      <c r="L485" s="629">
        <v>4000</v>
      </c>
      <c r="M485" s="629"/>
      <c r="N485" s="629"/>
      <c r="O485" s="639">
        <v>13506.2</v>
      </c>
      <c r="P485" s="630">
        <v>208868</v>
      </c>
      <c r="Q485" s="628">
        <v>7</v>
      </c>
      <c r="R485" s="629">
        <v>7354.2</v>
      </c>
      <c r="S485" s="629"/>
      <c r="T485" s="629"/>
      <c r="U485" s="629"/>
      <c r="V485" s="629"/>
      <c r="W485" s="629"/>
      <c r="X485" s="629">
        <v>632</v>
      </c>
      <c r="Y485" s="629">
        <v>1520</v>
      </c>
      <c r="Z485" s="629">
        <v>9506.2000000000007</v>
      </c>
      <c r="AA485" s="629">
        <v>4000</v>
      </c>
      <c r="AB485" s="629"/>
      <c r="AC485" s="629"/>
      <c r="AD485" s="639">
        <v>13506.2</v>
      </c>
      <c r="AE485" s="631">
        <v>208868</v>
      </c>
      <c r="AF485" s="624">
        <v>0</v>
      </c>
      <c r="AG485" s="625">
        <v>0</v>
      </c>
      <c r="AH485" s="628">
        <v>7</v>
      </c>
      <c r="AI485" s="626">
        <v>208868</v>
      </c>
    </row>
    <row r="486" spans="1:35" x14ac:dyDescent="0.2">
      <c r="A486" s="632" t="s">
        <v>590</v>
      </c>
      <c r="B486" s="628">
        <v>4</v>
      </c>
      <c r="C486" s="633">
        <v>1931.6</v>
      </c>
      <c r="D486" s="633"/>
      <c r="E486" s="633"/>
      <c r="F486" s="633"/>
      <c r="G486" s="634"/>
      <c r="H486" s="634"/>
      <c r="I486" s="633">
        <v>158</v>
      </c>
      <c r="J486" s="633">
        <v>380</v>
      </c>
      <c r="K486" s="633">
        <v>2469.6</v>
      </c>
      <c r="L486" s="634">
        <v>1000</v>
      </c>
      <c r="M486" s="634"/>
      <c r="N486" s="634"/>
      <c r="O486" s="635">
        <v>30635.199999999997</v>
      </c>
      <c r="P486" s="630">
        <v>122540.79999999999</v>
      </c>
      <c r="Q486" s="636">
        <v>4</v>
      </c>
      <c r="R486" s="633">
        <v>1931.6</v>
      </c>
      <c r="S486" s="633"/>
      <c r="T486" s="633"/>
      <c r="U486" s="633"/>
      <c r="V486" s="634"/>
      <c r="W486" s="634"/>
      <c r="X486" s="633">
        <v>158</v>
      </c>
      <c r="Y486" s="633">
        <v>380</v>
      </c>
      <c r="Z486" s="633">
        <v>2469.6</v>
      </c>
      <c r="AA486" s="634">
        <v>1000</v>
      </c>
      <c r="AB486" s="634"/>
      <c r="AC486" s="634"/>
      <c r="AD486" s="635">
        <v>30635.199999999997</v>
      </c>
      <c r="AE486" s="637">
        <v>122540.79999999999</v>
      </c>
      <c r="AF486" s="624">
        <v>0</v>
      </c>
      <c r="AG486" s="625">
        <v>0</v>
      </c>
      <c r="AH486" s="636">
        <v>4</v>
      </c>
      <c r="AI486" s="638">
        <v>122540.79999999999</v>
      </c>
    </row>
    <row r="487" spans="1:35" x14ac:dyDescent="0.2">
      <c r="A487" s="632" t="s">
        <v>591</v>
      </c>
      <c r="B487" s="628">
        <v>1</v>
      </c>
      <c r="C487" s="633">
        <v>1922.6</v>
      </c>
      <c r="D487" s="633"/>
      <c r="E487" s="633"/>
      <c r="F487" s="633"/>
      <c r="G487" s="634"/>
      <c r="H487" s="634"/>
      <c r="I487" s="633">
        <v>158</v>
      </c>
      <c r="J487" s="633">
        <v>380</v>
      </c>
      <c r="K487" s="633">
        <v>2460.6</v>
      </c>
      <c r="L487" s="634">
        <v>1000</v>
      </c>
      <c r="M487" s="634"/>
      <c r="N487" s="634"/>
      <c r="O487" s="635">
        <v>30527.199999999997</v>
      </c>
      <c r="P487" s="630">
        <v>30527.199999999997</v>
      </c>
      <c r="Q487" s="636">
        <v>1</v>
      </c>
      <c r="R487" s="633">
        <v>1922.6</v>
      </c>
      <c r="S487" s="633"/>
      <c r="T487" s="633"/>
      <c r="U487" s="633"/>
      <c r="V487" s="634"/>
      <c r="W487" s="634"/>
      <c r="X487" s="633">
        <v>158</v>
      </c>
      <c r="Y487" s="633">
        <v>380</v>
      </c>
      <c r="Z487" s="633">
        <v>2460.6</v>
      </c>
      <c r="AA487" s="634">
        <v>1000</v>
      </c>
      <c r="AB487" s="634"/>
      <c r="AC487" s="634"/>
      <c r="AD487" s="635">
        <v>30527.199999999997</v>
      </c>
      <c r="AE487" s="637">
        <v>30527.199999999997</v>
      </c>
      <c r="AF487" s="624">
        <v>0</v>
      </c>
      <c r="AG487" s="625">
        <v>0</v>
      </c>
      <c r="AH487" s="636">
        <v>1</v>
      </c>
      <c r="AI487" s="638">
        <v>30527.199999999997</v>
      </c>
    </row>
    <row r="488" spans="1:35" x14ac:dyDescent="0.2">
      <c r="A488" s="632" t="s">
        <v>644</v>
      </c>
      <c r="B488" s="628">
        <v>1</v>
      </c>
      <c r="C488" s="633">
        <v>1750</v>
      </c>
      <c r="D488" s="633"/>
      <c r="E488" s="633"/>
      <c r="F488" s="633"/>
      <c r="G488" s="634"/>
      <c r="H488" s="634"/>
      <c r="I488" s="633">
        <v>158</v>
      </c>
      <c r="J488" s="633">
        <v>380</v>
      </c>
      <c r="K488" s="633">
        <v>2288</v>
      </c>
      <c r="L488" s="634">
        <v>1000</v>
      </c>
      <c r="M488" s="634"/>
      <c r="N488" s="634"/>
      <c r="O488" s="635">
        <v>27900</v>
      </c>
      <c r="P488" s="630">
        <v>27900</v>
      </c>
      <c r="Q488" s="636">
        <v>1</v>
      </c>
      <c r="R488" s="633">
        <v>1750</v>
      </c>
      <c r="S488" s="633"/>
      <c r="T488" s="633"/>
      <c r="U488" s="633"/>
      <c r="V488" s="634"/>
      <c r="W488" s="634"/>
      <c r="X488" s="633">
        <v>158</v>
      </c>
      <c r="Y488" s="633">
        <v>380</v>
      </c>
      <c r="Z488" s="633">
        <v>2288</v>
      </c>
      <c r="AA488" s="634">
        <v>1000</v>
      </c>
      <c r="AB488" s="634"/>
      <c r="AC488" s="634"/>
      <c r="AD488" s="635">
        <v>27900</v>
      </c>
      <c r="AE488" s="637">
        <v>27900</v>
      </c>
      <c r="AF488" s="624">
        <v>0</v>
      </c>
      <c r="AG488" s="625">
        <v>0</v>
      </c>
      <c r="AH488" s="636">
        <v>1</v>
      </c>
      <c r="AI488" s="638">
        <v>27900</v>
      </c>
    </row>
    <row r="489" spans="1:35" x14ac:dyDescent="0.2">
      <c r="A489" s="632" t="s">
        <v>646</v>
      </c>
      <c r="B489" s="628">
        <v>1</v>
      </c>
      <c r="C489" s="633">
        <v>1750</v>
      </c>
      <c r="D489" s="633"/>
      <c r="E489" s="633"/>
      <c r="F489" s="633"/>
      <c r="G489" s="634"/>
      <c r="H489" s="634"/>
      <c r="I489" s="633">
        <v>158</v>
      </c>
      <c r="J489" s="633">
        <v>380</v>
      </c>
      <c r="K489" s="633">
        <v>2288</v>
      </c>
      <c r="L489" s="634">
        <v>1000</v>
      </c>
      <c r="M489" s="634"/>
      <c r="N489" s="634"/>
      <c r="O489" s="635">
        <v>27900</v>
      </c>
      <c r="P489" s="630">
        <v>27900</v>
      </c>
      <c r="Q489" s="636">
        <v>1</v>
      </c>
      <c r="R489" s="633">
        <v>1750</v>
      </c>
      <c r="S489" s="633"/>
      <c r="T489" s="633"/>
      <c r="U489" s="633"/>
      <c r="V489" s="634"/>
      <c r="W489" s="634"/>
      <c r="X489" s="633">
        <v>158</v>
      </c>
      <c r="Y489" s="633">
        <v>380</v>
      </c>
      <c r="Z489" s="633">
        <v>2288</v>
      </c>
      <c r="AA489" s="634">
        <v>1000</v>
      </c>
      <c r="AB489" s="634"/>
      <c r="AC489" s="634"/>
      <c r="AD489" s="635">
        <v>27900</v>
      </c>
      <c r="AE489" s="637">
        <v>27900</v>
      </c>
      <c r="AF489" s="624">
        <v>0</v>
      </c>
      <c r="AG489" s="625">
        <v>0</v>
      </c>
      <c r="AH489" s="636">
        <v>1</v>
      </c>
      <c r="AI489" s="638">
        <v>27900</v>
      </c>
    </row>
    <row r="490" spans="1:35" x14ac:dyDescent="0.2">
      <c r="A490" s="649" t="s">
        <v>665</v>
      </c>
      <c r="B490" s="628">
        <v>298</v>
      </c>
      <c r="C490" s="629">
        <v>61273.721147741147</v>
      </c>
      <c r="D490" s="629"/>
      <c r="E490" s="629"/>
      <c r="F490" s="629"/>
      <c r="G490" s="629"/>
      <c r="H490" s="629"/>
      <c r="I490" s="629">
        <v>9200</v>
      </c>
      <c r="J490" s="629">
        <v>14033.2</v>
      </c>
      <c r="K490" s="629">
        <v>84506.921147741145</v>
      </c>
      <c r="L490" s="629">
        <v>98540.121147741142</v>
      </c>
      <c r="M490" s="629">
        <v>183047.0422954823</v>
      </c>
      <c r="N490" s="629">
        <v>290787.16344322346</v>
      </c>
      <c r="O490" s="629">
        <v>487867.40573870577</v>
      </c>
      <c r="P490" s="630">
        <v>22350429.640000001</v>
      </c>
      <c r="Q490" s="628">
        <v>299</v>
      </c>
      <c r="R490" s="629">
        <v>77553.721147741147</v>
      </c>
      <c r="S490" s="629">
        <v>0</v>
      </c>
      <c r="T490" s="629">
        <v>0</v>
      </c>
      <c r="U490" s="629">
        <v>0</v>
      </c>
      <c r="V490" s="629">
        <v>0</v>
      </c>
      <c r="W490" s="629">
        <v>0</v>
      </c>
      <c r="X490" s="629">
        <v>7900</v>
      </c>
      <c r="Y490" s="629">
        <v>12170</v>
      </c>
      <c r="Z490" s="629">
        <v>97623.721147741162</v>
      </c>
      <c r="AA490" s="629">
        <v>15000</v>
      </c>
      <c r="AB490" s="629">
        <v>0</v>
      </c>
      <c r="AC490" s="629">
        <v>0</v>
      </c>
      <c r="AD490" s="629">
        <v>567660.61987789976</v>
      </c>
      <c r="AE490" s="639">
        <v>24738765.640000001</v>
      </c>
      <c r="AF490" s="624">
        <v>-2388336</v>
      </c>
      <c r="AG490" s="625">
        <v>0</v>
      </c>
      <c r="AH490" s="628">
        <v>299</v>
      </c>
      <c r="AI490" s="626">
        <v>24603396.640000001</v>
      </c>
    </row>
    <row r="491" spans="1:35" x14ac:dyDescent="0.2">
      <c r="A491" s="627" t="s">
        <v>732</v>
      </c>
      <c r="B491" s="628">
        <v>103</v>
      </c>
      <c r="C491" s="629">
        <v>27618.927301587304</v>
      </c>
      <c r="D491" s="629"/>
      <c r="E491" s="629"/>
      <c r="F491" s="629"/>
      <c r="G491" s="629"/>
      <c r="H491" s="629"/>
      <c r="I491" s="629">
        <v>3350</v>
      </c>
      <c r="J491" s="629">
        <v>3950</v>
      </c>
      <c r="K491" s="629">
        <v>34918.927301587304</v>
      </c>
      <c r="L491" s="629">
        <v>5000</v>
      </c>
      <c r="M491" s="629"/>
      <c r="N491" s="629"/>
      <c r="O491" s="639">
        <v>39918.927301587304</v>
      </c>
      <c r="P491" s="630">
        <v>11949057.600000001</v>
      </c>
      <c r="Q491" s="628">
        <v>103</v>
      </c>
      <c r="R491" s="629">
        <v>27618.927301587304</v>
      </c>
      <c r="S491" s="629">
        <v>0</v>
      </c>
      <c r="T491" s="629">
        <v>0</v>
      </c>
      <c r="U491" s="629">
        <v>0</v>
      </c>
      <c r="V491" s="629">
        <v>0</v>
      </c>
      <c r="W491" s="629">
        <v>0</v>
      </c>
      <c r="X491" s="629">
        <v>3400</v>
      </c>
      <c r="Y491" s="629">
        <v>4100</v>
      </c>
      <c r="Z491" s="629">
        <v>35118.927301587304</v>
      </c>
      <c r="AA491" s="629">
        <v>5000</v>
      </c>
      <c r="AB491" s="629">
        <v>0</v>
      </c>
      <c r="AC491" s="629">
        <v>0</v>
      </c>
      <c r="AD491" s="629">
        <v>495155.82603174599</v>
      </c>
      <c r="AE491" s="639">
        <v>12084426.600000001</v>
      </c>
      <c r="AF491" s="624">
        <v>-135369</v>
      </c>
      <c r="AG491" s="625">
        <v>0</v>
      </c>
      <c r="AH491" s="628">
        <v>103</v>
      </c>
      <c r="AI491" s="626">
        <v>11949057.599999998</v>
      </c>
    </row>
    <row r="492" spans="1:35" x14ac:dyDescent="0.2">
      <c r="A492" s="650" t="s">
        <v>737</v>
      </c>
      <c r="B492" s="628">
        <v>27</v>
      </c>
      <c r="C492" s="633">
        <v>5206.6000000000022</v>
      </c>
      <c r="D492" s="633"/>
      <c r="E492" s="633"/>
      <c r="F492" s="633"/>
      <c r="G492" s="634"/>
      <c r="H492" s="634"/>
      <c r="I492" s="633">
        <v>850</v>
      </c>
      <c r="J492" s="633">
        <v>1100</v>
      </c>
      <c r="K492" s="633">
        <v>7156.6000000000022</v>
      </c>
      <c r="L492" s="634">
        <v>1000</v>
      </c>
      <c r="M492" s="634"/>
      <c r="N492" s="634"/>
      <c r="O492" s="635">
        <v>86879.200000000026</v>
      </c>
      <c r="P492" s="630">
        <v>2345738.4000000008</v>
      </c>
      <c r="Q492" s="636">
        <v>27</v>
      </c>
      <c r="R492" s="633">
        <v>5206.6000000000022</v>
      </c>
      <c r="S492" s="633"/>
      <c r="T492" s="633"/>
      <c r="U492" s="633"/>
      <c r="V492" s="634"/>
      <c r="W492" s="634"/>
      <c r="X492" s="633">
        <v>850</v>
      </c>
      <c r="Y492" s="633">
        <v>1100</v>
      </c>
      <c r="Z492" s="633">
        <v>7156.6000000000022</v>
      </c>
      <c r="AA492" s="634">
        <v>1000</v>
      </c>
      <c r="AB492" s="634"/>
      <c r="AC492" s="634"/>
      <c r="AD492" s="635">
        <v>86879.200000000026</v>
      </c>
      <c r="AE492" s="637">
        <v>2372812.1999999997</v>
      </c>
      <c r="AF492" s="624">
        <v>-27073.799999998882</v>
      </c>
      <c r="AG492" s="625">
        <v>0</v>
      </c>
      <c r="AH492" s="636">
        <v>27</v>
      </c>
      <c r="AI492" s="638">
        <v>2345738.4</v>
      </c>
    </row>
    <row r="493" spans="1:35" x14ac:dyDescent="0.2">
      <c r="A493" s="650" t="s">
        <v>736</v>
      </c>
      <c r="B493" s="628">
        <v>1</v>
      </c>
      <c r="C493" s="633">
        <v>5515</v>
      </c>
      <c r="D493" s="633"/>
      <c r="E493" s="633"/>
      <c r="F493" s="633"/>
      <c r="G493" s="634"/>
      <c r="H493" s="634"/>
      <c r="I493" s="633">
        <v>850</v>
      </c>
      <c r="J493" s="633">
        <v>1000</v>
      </c>
      <c r="K493" s="633">
        <v>7365</v>
      </c>
      <c r="L493" s="634">
        <v>1000</v>
      </c>
      <c r="M493" s="634"/>
      <c r="N493" s="634"/>
      <c r="O493" s="635">
        <v>89380</v>
      </c>
      <c r="P493" s="630">
        <v>89380</v>
      </c>
      <c r="Q493" s="636">
        <v>1</v>
      </c>
      <c r="R493" s="633">
        <v>5515</v>
      </c>
      <c r="S493" s="633"/>
      <c r="T493" s="633"/>
      <c r="U493" s="633"/>
      <c r="V493" s="634"/>
      <c r="W493" s="634"/>
      <c r="X493" s="633">
        <v>850</v>
      </c>
      <c r="Y493" s="633">
        <v>1000</v>
      </c>
      <c r="Z493" s="633">
        <v>7365</v>
      </c>
      <c r="AA493" s="634">
        <v>1000</v>
      </c>
      <c r="AB493" s="634"/>
      <c r="AC493" s="634"/>
      <c r="AD493" s="635">
        <v>89380</v>
      </c>
      <c r="AE493" s="637">
        <v>116453.8</v>
      </c>
      <c r="AF493" s="624">
        <v>-27073.800000000003</v>
      </c>
      <c r="AG493" s="625">
        <v>0</v>
      </c>
      <c r="AH493" s="636">
        <v>1</v>
      </c>
      <c r="AI493" s="638">
        <v>89380</v>
      </c>
    </row>
    <row r="494" spans="1:35" x14ac:dyDescent="0.2">
      <c r="A494" s="650" t="s">
        <v>735</v>
      </c>
      <c r="B494" s="628">
        <v>10</v>
      </c>
      <c r="C494" s="633">
        <v>5251.1399999999994</v>
      </c>
      <c r="D494" s="633"/>
      <c r="E494" s="633"/>
      <c r="F494" s="633"/>
      <c r="G494" s="634"/>
      <c r="H494" s="634"/>
      <c r="I494" s="633">
        <v>850</v>
      </c>
      <c r="J494" s="633">
        <v>1000</v>
      </c>
      <c r="K494" s="633">
        <v>7101.1399999999994</v>
      </c>
      <c r="L494" s="634">
        <v>1000</v>
      </c>
      <c r="M494" s="634"/>
      <c r="N494" s="634"/>
      <c r="O494" s="635">
        <v>86213.68</v>
      </c>
      <c r="P494" s="630">
        <v>862136.79999999993</v>
      </c>
      <c r="Q494" s="636">
        <v>10</v>
      </c>
      <c r="R494" s="633">
        <v>5251.1399999999994</v>
      </c>
      <c r="S494" s="633"/>
      <c r="T494" s="633"/>
      <c r="U494" s="633"/>
      <c r="V494" s="634"/>
      <c r="W494" s="634"/>
      <c r="X494" s="633">
        <v>850</v>
      </c>
      <c r="Y494" s="633">
        <v>1000</v>
      </c>
      <c r="Z494" s="633">
        <v>7101.1399999999994</v>
      </c>
      <c r="AA494" s="634">
        <v>1000</v>
      </c>
      <c r="AB494" s="634"/>
      <c r="AC494" s="634"/>
      <c r="AD494" s="635">
        <v>86213.68</v>
      </c>
      <c r="AE494" s="637">
        <v>889210.60000000009</v>
      </c>
      <c r="AF494" s="624">
        <v>-27073.800000000163</v>
      </c>
      <c r="AG494" s="625">
        <v>0</v>
      </c>
      <c r="AH494" s="636">
        <v>10</v>
      </c>
      <c r="AI494" s="638">
        <v>862136.79999999993</v>
      </c>
    </row>
    <row r="495" spans="1:35" x14ac:dyDescent="0.2">
      <c r="A495" s="650" t="s">
        <v>734</v>
      </c>
      <c r="B495" s="628">
        <v>2</v>
      </c>
      <c r="C495" s="633">
        <v>6212.6</v>
      </c>
      <c r="D495" s="633"/>
      <c r="E495" s="633"/>
      <c r="F495" s="633"/>
      <c r="G495" s="634"/>
      <c r="H495" s="634"/>
      <c r="I495" s="633"/>
      <c r="J495" s="633"/>
      <c r="K495" s="633">
        <v>6212.6</v>
      </c>
      <c r="L495" s="634">
        <v>1000</v>
      </c>
      <c r="M495" s="634"/>
      <c r="N495" s="634"/>
      <c r="O495" s="635">
        <v>75551.200000000012</v>
      </c>
      <c r="P495" s="630">
        <v>151102.40000000002</v>
      </c>
      <c r="Q495" s="636">
        <v>2</v>
      </c>
      <c r="R495" s="633">
        <v>6212.6</v>
      </c>
      <c r="S495" s="633"/>
      <c r="T495" s="633"/>
      <c r="U495" s="633"/>
      <c r="V495" s="634"/>
      <c r="W495" s="634"/>
      <c r="X495" s="633">
        <v>850</v>
      </c>
      <c r="Y495" s="633">
        <v>1000</v>
      </c>
      <c r="Z495" s="633">
        <v>8062.6</v>
      </c>
      <c r="AA495" s="634">
        <v>1000</v>
      </c>
      <c r="AB495" s="634"/>
      <c r="AC495" s="634"/>
      <c r="AD495" s="635">
        <v>97751.200000000012</v>
      </c>
      <c r="AE495" s="637">
        <v>178176.19999999998</v>
      </c>
      <c r="AF495" s="624">
        <v>-27073.799999999959</v>
      </c>
      <c r="AG495" s="625">
        <v>0</v>
      </c>
      <c r="AH495" s="636">
        <v>2</v>
      </c>
      <c r="AI495" s="638">
        <v>151102.39999999999</v>
      </c>
    </row>
    <row r="496" spans="1:35" x14ac:dyDescent="0.2">
      <c r="A496" s="650" t="s">
        <v>733</v>
      </c>
      <c r="B496" s="628">
        <v>63</v>
      </c>
      <c r="C496" s="633">
        <v>5433.5873015873012</v>
      </c>
      <c r="D496" s="633"/>
      <c r="E496" s="633"/>
      <c r="F496" s="633"/>
      <c r="G496" s="634"/>
      <c r="H496" s="634"/>
      <c r="I496" s="633">
        <v>800</v>
      </c>
      <c r="J496" s="633">
        <v>850</v>
      </c>
      <c r="K496" s="633">
        <v>7083.5873015873012</v>
      </c>
      <c r="L496" s="634">
        <v>1000</v>
      </c>
      <c r="M496" s="634"/>
      <c r="N496" s="634"/>
      <c r="O496" s="635">
        <v>134931.74603174601</v>
      </c>
      <c r="P496" s="630">
        <v>8500700</v>
      </c>
      <c r="Q496" s="636">
        <v>63</v>
      </c>
      <c r="R496" s="633">
        <v>5433.5873015873012</v>
      </c>
      <c r="S496" s="633"/>
      <c r="T496" s="633"/>
      <c r="U496" s="633"/>
      <c r="V496" s="634"/>
      <c r="W496" s="634"/>
      <c r="X496" s="633"/>
      <c r="Y496" s="633"/>
      <c r="Z496" s="633">
        <v>5433.5873015873012</v>
      </c>
      <c r="AA496" s="634">
        <v>1000</v>
      </c>
      <c r="AB496" s="634"/>
      <c r="AC496" s="634"/>
      <c r="AD496" s="635">
        <v>134931.74603174601</v>
      </c>
      <c r="AE496" s="637">
        <v>8527773.8000000007</v>
      </c>
      <c r="AF496" s="624">
        <v>-27073.800000000745</v>
      </c>
      <c r="AG496" s="625">
        <v>0</v>
      </c>
      <c r="AH496" s="636">
        <v>63</v>
      </c>
      <c r="AI496" s="638">
        <v>8500699.9999999981</v>
      </c>
    </row>
    <row r="497" spans="1:35" x14ac:dyDescent="0.2">
      <c r="A497" s="627" t="s">
        <v>768</v>
      </c>
      <c r="B497" s="628">
        <v>146</v>
      </c>
      <c r="C497" s="629">
        <v>11881.193846153845</v>
      </c>
      <c r="D497" s="629"/>
      <c r="E497" s="629"/>
      <c r="F497" s="629"/>
      <c r="G497" s="629"/>
      <c r="H497" s="629"/>
      <c r="I497" s="629">
        <v>1800</v>
      </c>
      <c r="J497" s="629">
        <v>3450</v>
      </c>
      <c r="K497" s="629">
        <v>17131.193846153845</v>
      </c>
      <c r="L497" s="629">
        <v>4000</v>
      </c>
      <c r="M497" s="629"/>
      <c r="N497" s="629"/>
      <c r="O497" s="639">
        <v>21131.193846153845</v>
      </c>
      <c r="P497" s="630">
        <v>8130614.040000001</v>
      </c>
      <c r="Q497" s="628">
        <v>147</v>
      </c>
      <c r="R497" s="629">
        <v>28161.193846153845</v>
      </c>
      <c r="S497" s="629"/>
      <c r="T497" s="629"/>
      <c r="U497" s="629"/>
      <c r="V497" s="629"/>
      <c r="W497" s="629"/>
      <c r="X497" s="629">
        <v>1800</v>
      </c>
      <c r="Y497" s="629">
        <v>3450</v>
      </c>
      <c r="Z497" s="629">
        <v>33411.193846153845</v>
      </c>
      <c r="AA497" s="629">
        <v>4000</v>
      </c>
      <c r="AB497" s="629"/>
      <c r="AC497" s="629"/>
      <c r="AD497" s="639">
        <v>37411.193846153845</v>
      </c>
      <c r="AE497" s="631">
        <v>10518950.040000001</v>
      </c>
      <c r="AF497" s="624">
        <v>-2388336</v>
      </c>
      <c r="AG497" s="625">
        <v>0</v>
      </c>
      <c r="AH497" s="628">
        <v>147</v>
      </c>
      <c r="AI497" s="626">
        <v>10518950.040000001</v>
      </c>
    </row>
    <row r="498" spans="1:35" x14ac:dyDescent="0.2">
      <c r="A498" s="650" t="s">
        <v>769</v>
      </c>
      <c r="B498" s="628">
        <v>67</v>
      </c>
      <c r="C498" s="633">
        <v>2941.5938461538462</v>
      </c>
      <c r="D498" s="633"/>
      <c r="E498" s="633"/>
      <c r="F498" s="633"/>
      <c r="G498" s="634"/>
      <c r="H498" s="634"/>
      <c r="I498" s="633">
        <v>450</v>
      </c>
      <c r="J498" s="633">
        <v>900</v>
      </c>
      <c r="K498" s="633">
        <v>4291.5938461538462</v>
      </c>
      <c r="L498" s="634">
        <v>1000</v>
      </c>
      <c r="M498" s="634"/>
      <c r="N498" s="634"/>
      <c r="O498" s="635">
        <v>52499.126153846155</v>
      </c>
      <c r="P498" s="630">
        <v>3412443.2</v>
      </c>
      <c r="Q498" s="636">
        <v>67</v>
      </c>
      <c r="R498" s="633">
        <v>2941.5938461538462</v>
      </c>
      <c r="S498" s="633"/>
      <c r="T498" s="633"/>
      <c r="U498" s="633"/>
      <c r="V498" s="634"/>
      <c r="W498" s="634"/>
      <c r="X498" s="633">
        <v>450</v>
      </c>
      <c r="Y498" s="633">
        <v>900</v>
      </c>
      <c r="Z498" s="633">
        <v>4291.5938461538462</v>
      </c>
      <c r="AA498" s="634">
        <v>1000</v>
      </c>
      <c r="AB498" s="634"/>
      <c r="AC498" s="634"/>
      <c r="AD498" s="635">
        <v>52499.126153846155</v>
      </c>
      <c r="AE498" s="637">
        <v>3412443.2</v>
      </c>
      <c r="AF498" s="624">
        <v>0</v>
      </c>
      <c r="AG498" s="625">
        <v>0</v>
      </c>
      <c r="AH498" s="636">
        <v>67</v>
      </c>
      <c r="AI498" s="638">
        <v>3412443.2</v>
      </c>
    </row>
    <row r="499" spans="1:35" x14ac:dyDescent="0.2">
      <c r="A499" s="650" t="s">
        <v>770</v>
      </c>
      <c r="B499" s="628">
        <v>3</v>
      </c>
      <c r="C499" s="633">
        <v>2800</v>
      </c>
      <c r="D499" s="633"/>
      <c r="E499" s="633"/>
      <c r="F499" s="633"/>
      <c r="G499" s="634"/>
      <c r="H499" s="634"/>
      <c r="I499" s="633">
        <v>450</v>
      </c>
      <c r="J499" s="633">
        <v>900</v>
      </c>
      <c r="K499" s="633">
        <v>4150</v>
      </c>
      <c r="L499" s="634">
        <v>1000</v>
      </c>
      <c r="M499" s="634"/>
      <c r="N499" s="634"/>
      <c r="O499" s="635">
        <v>50800</v>
      </c>
      <c r="P499" s="630">
        <v>100101</v>
      </c>
      <c r="Q499" s="636">
        <v>3</v>
      </c>
      <c r="R499" s="633">
        <v>2800</v>
      </c>
      <c r="S499" s="633"/>
      <c r="T499" s="633"/>
      <c r="U499" s="633"/>
      <c r="V499" s="634"/>
      <c r="W499" s="634"/>
      <c r="X499" s="633">
        <v>450</v>
      </c>
      <c r="Y499" s="633">
        <v>900</v>
      </c>
      <c r="Z499" s="633">
        <v>4150</v>
      </c>
      <c r="AA499" s="634">
        <v>1000</v>
      </c>
      <c r="AB499" s="634"/>
      <c r="AC499" s="634"/>
      <c r="AD499" s="635">
        <v>50800</v>
      </c>
      <c r="AE499" s="637">
        <v>100101</v>
      </c>
      <c r="AF499" s="624">
        <v>0</v>
      </c>
      <c r="AG499" s="625">
        <v>0</v>
      </c>
      <c r="AH499" s="636">
        <v>3</v>
      </c>
      <c r="AI499" s="638">
        <v>100101</v>
      </c>
    </row>
    <row r="500" spans="1:35" x14ac:dyDescent="0.2">
      <c r="A500" s="650" t="s">
        <v>771</v>
      </c>
      <c r="B500" s="628">
        <v>2</v>
      </c>
      <c r="C500" s="633">
        <v>3619.5999999999995</v>
      </c>
      <c r="D500" s="633"/>
      <c r="E500" s="633"/>
      <c r="F500" s="633"/>
      <c r="G500" s="634"/>
      <c r="H500" s="634"/>
      <c r="I500" s="633">
        <v>450</v>
      </c>
      <c r="J500" s="633">
        <v>900</v>
      </c>
      <c r="K500" s="633">
        <v>4969.5999999999995</v>
      </c>
      <c r="L500" s="634">
        <v>1000</v>
      </c>
      <c r="M500" s="634"/>
      <c r="N500" s="634"/>
      <c r="O500" s="635">
        <v>60635.199999999997</v>
      </c>
      <c r="P500" s="630">
        <v>121270.39999999999</v>
      </c>
      <c r="Q500" s="636">
        <v>2</v>
      </c>
      <c r="R500" s="633">
        <v>3619.5999999999995</v>
      </c>
      <c r="S500" s="633"/>
      <c r="T500" s="633"/>
      <c r="U500" s="633"/>
      <c r="V500" s="634"/>
      <c r="W500" s="634"/>
      <c r="X500" s="633">
        <v>450</v>
      </c>
      <c r="Y500" s="633">
        <v>900</v>
      </c>
      <c r="Z500" s="633">
        <v>4969.5999999999995</v>
      </c>
      <c r="AA500" s="634">
        <v>1000</v>
      </c>
      <c r="AB500" s="634"/>
      <c r="AC500" s="634"/>
      <c r="AD500" s="635">
        <v>60635.199999999997</v>
      </c>
      <c r="AE500" s="637">
        <v>121270.39999999999</v>
      </c>
      <c r="AF500" s="624">
        <v>0</v>
      </c>
      <c r="AG500" s="625">
        <v>0</v>
      </c>
      <c r="AH500" s="636">
        <v>2</v>
      </c>
      <c r="AI500" s="638">
        <v>121270.39999999999</v>
      </c>
    </row>
    <row r="501" spans="1:35" x14ac:dyDescent="0.2">
      <c r="A501" s="650" t="s">
        <v>772</v>
      </c>
      <c r="B501" s="628">
        <v>74</v>
      </c>
      <c r="C501" s="633">
        <v>2520</v>
      </c>
      <c r="D501" s="633"/>
      <c r="E501" s="633"/>
      <c r="F501" s="633"/>
      <c r="G501" s="634"/>
      <c r="H501" s="634"/>
      <c r="I501" s="633">
        <v>450</v>
      </c>
      <c r="J501" s="633">
        <v>750</v>
      </c>
      <c r="K501" s="633">
        <v>3720</v>
      </c>
      <c r="L501" s="634">
        <v>1000</v>
      </c>
      <c r="M501" s="634"/>
      <c r="N501" s="634"/>
      <c r="O501" s="635">
        <v>45640</v>
      </c>
      <c r="P501" s="630">
        <v>4496799.4400000013</v>
      </c>
      <c r="Q501" s="636">
        <v>74</v>
      </c>
      <c r="R501" s="633">
        <v>8400</v>
      </c>
      <c r="S501" s="633"/>
      <c r="T501" s="633"/>
      <c r="U501" s="633"/>
      <c r="V501" s="634"/>
      <c r="W501" s="634"/>
      <c r="X501" s="633">
        <v>450</v>
      </c>
      <c r="Y501" s="633">
        <v>750</v>
      </c>
      <c r="Z501" s="633">
        <v>9600</v>
      </c>
      <c r="AA501" s="634">
        <v>1000</v>
      </c>
      <c r="AB501" s="634"/>
      <c r="AC501" s="634"/>
      <c r="AD501" s="635">
        <v>116200</v>
      </c>
      <c r="AE501" s="637">
        <v>6885135.4400000004</v>
      </c>
      <c r="AF501" s="624">
        <v>-2388335.9999999991</v>
      </c>
      <c r="AG501" s="625">
        <v>0</v>
      </c>
      <c r="AH501" s="636">
        <v>74</v>
      </c>
      <c r="AI501" s="638">
        <v>6885135.4400000004</v>
      </c>
    </row>
    <row r="502" spans="1:35" x14ac:dyDescent="0.2">
      <c r="A502" s="627" t="s">
        <v>739</v>
      </c>
      <c r="B502" s="628">
        <v>22</v>
      </c>
      <c r="C502" s="629">
        <v>5200</v>
      </c>
      <c r="D502" s="629"/>
      <c r="E502" s="629"/>
      <c r="F502" s="629"/>
      <c r="G502" s="629"/>
      <c r="H502" s="629"/>
      <c r="I502" s="629">
        <v>900</v>
      </c>
      <c r="J502" s="629">
        <v>1650</v>
      </c>
      <c r="K502" s="629">
        <v>7750</v>
      </c>
      <c r="L502" s="629">
        <v>2000</v>
      </c>
      <c r="M502" s="629"/>
      <c r="N502" s="629"/>
      <c r="O502" s="639">
        <v>9750</v>
      </c>
      <c r="P502" s="630">
        <v>970758</v>
      </c>
      <c r="Q502" s="628">
        <v>22</v>
      </c>
      <c r="R502" s="629">
        <v>5200</v>
      </c>
      <c r="S502" s="629"/>
      <c r="T502" s="629"/>
      <c r="U502" s="629"/>
      <c r="V502" s="629"/>
      <c r="W502" s="629"/>
      <c r="X502" s="629">
        <v>900</v>
      </c>
      <c r="Y502" s="629">
        <v>1650</v>
      </c>
      <c r="Z502" s="629">
        <v>7750</v>
      </c>
      <c r="AA502" s="629">
        <v>2000</v>
      </c>
      <c r="AB502" s="629"/>
      <c r="AC502" s="629"/>
      <c r="AD502" s="639">
        <v>9750</v>
      </c>
      <c r="AE502" s="631">
        <v>970758</v>
      </c>
      <c r="AF502" s="624">
        <v>0</v>
      </c>
      <c r="AG502" s="625">
        <v>0</v>
      </c>
      <c r="AH502" s="628">
        <v>22</v>
      </c>
      <c r="AI502" s="626">
        <v>970758</v>
      </c>
    </row>
    <row r="503" spans="1:35" x14ac:dyDescent="0.2">
      <c r="A503" s="650" t="s">
        <v>773</v>
      </c>
      <c r="B503" s="628">
        <v>9</v>
      </c>
      <c r="C503" s="633">
        <v>2800</v>
      </c>
      <c r="D503" s="633"/>
      <c r="E503" s="633"/>
      <c r="F503" s="633"/>
      <c r="G503" s="634"/>
      <c r="H503" s="634"/>
      <c r="I503" s="633">
        <v>450</v>
      </c>
      <c r="J503" s="633">
        <v>900</v>
      </c>
      <c r="K503" s="633">
        <v>4150</v>
      </c>
      <c r="L503" s="634">
        <v>1000</v>
      </c>
      <c r="M503" s="634"/>
      <c r="N503" s="634"/>
      <c r="O503" s="635">
        <v>50800</v>
      </c>
      <c r="P503" s="630">
        <v>420858</v>
      </c>
      <c r="Q503" s="636">
        <v>9</v>
      </c>
      <c r="R503" s="633">
        <v>2800</v>
      </c>
      <c r="S503" s="633"/>
      <c r="T503" s="633"/>
      <c r="U503" s="633"/>
      <c r="V503" s="634"/>
      <c r="W503" s="634"/>
      <c r="X503" s="633">
        <v>450</v>
      </c>
      <c r="Y503" s="633">
        <v>900</v>
      </c>
      <c r="Z503" s="633">
        <v>4150</v>
      </c>
      <c r="AA503" s="634">
        <v>1000</v>
      </c>
      <c r="AB503" s="634"/>
      <c r="AC503" s="634"/>
      <c r="AD503" s="635">
        <v>50800</v>
      </c>
      <c r="AE503" s="637">
        <v>420858</v>
      </c>
      <c r="AF503" s="624">
        <v>0</v>
      </c>
      <c r="AG503" s="625">
        <v>0</v>
      </c>
      <c r="AH503" s="636">
        <v>9</v>
      </c>
      <c r="AI503" s="638">
        <v>420858</v>
      </c>
    </row>
    <row r="504" spans="1:35" x14ac:dyDescent="0.2">
      <c r="A504" s="650" t="s">
        <v>774</v>
      </c>
      <c r="B504" s="628">
        <v>13</v>
      </c>
      <c r="C504" s="633">
        <v>2400</v>
      </c>
      <c r="D504" s="633"/>
      <c r="E504" s="633"/>
      <c r="F504" s="633"/>
      <c r="G504" s="634"/>
      <c r="H504" s="634"/>
      <c r="I504" s="633">
        <v>450</v>
      </c>
      <c r="J504" s="633">
        <v>750</v>
      </c>
      <c r="K504" s="633">
        <v>3600</v>
      </c>
      <c r="L504" s="634">
        <v>1000</v>
      </c>
      <c r="M504" s="634"/>
      <c r="N504" s="634"/>
      <c r="O504" s="635">
        <v>42300</v>
      </c>
      <c r="P504" s="630">
        <v>549900</v>
      </c>
      <c r="Q504" s="636">
        <v>13</v>
      </c>
      <c r="R504" s="633">
        <v>2400</v>
      </c>
      <c r="S504" s="633"/>
      <c r="T504" s="633"/>
      <c r="U504" s="633"/>
      <c r="V504" s="634"/>
      <c r="W504" s="634"/>
      <c r="X504" s="633">
        <v>450</v>
      </c>
      <c r="Y504" s="633">
        <v>750</v>
      </c>
      <c r="Z504" s="633">
        <v>3600</v>
      </c>
      <c r="AA504" s="634">
        <v>1000</v>
      </c>
      <c r="AB504" s="634"/>
      <c r="AC504" s="634"/>
      <c r="AD504" s="635">
        <v>42300</v>
      </c>
      <c r="AE504" s="637">
        <v>549900</v>
      </c>
      <c r="AF504" s="624">
        <v>0</v>
      </c>
      <c r="AG504" s="625">
        <v>0</v>
      </c>
      <c r="AH504" s="636">
        <v>13</v>
      </c>
      <c r="AI504" s="638">
        <v>549900</v>
      </c>
    </row>
    <row r="505" spans="1:35" x14ac:dyDescent="0.2">
      <c r="A505" s="627" t="s">
        <v>775</v>
      </c>
      <c r="B505" s="628">
        <v>27</v>
      </c>
      <c r="C505" s="629">
        <v>16573.599999999999</v>
      </c>
      <c r="D505" s="629"/>
      <c r="E505" s="629"/>
      <c r="F505" s="629"/>
      <c r="G505" s="629"/>
      <c r="H505" s="629"/>
      <c r="I505" s="629">
        <v>1800</v>
      </c>
      <c r="J505" s="629">
        <v>2970</v>
      </c>
      <c r="K505" s="629">
        <v>21343.599999999999</v>
      </c>
      <c r="L505" s="629">
        <v>4000</v>
      </c>
      <c r="M505" s="629"/>
      <c r="N505" s="629"/>
      <c r="O505" s="639">
        <v>25343.599999999999</v>
      </c>
      <c r="P505" s="630">
        <v>1300000</v>
      </c>
      <c r="Q505" s="628">
        <v>27</v>
      </c>
      <c r="R505" s="629">
        <v>16573.599999999999</v>
      </c>
      <c r="S505" s="629"/>
      <c r="T505" s="629"/>
      <c r="U505" s="629"/>
      <c r="V505" s="629"/>
      <c r="W505" s="629"/>
      <c r="X505" s="629">
        <v>1800</v>
      </c>
      <c r="Y505" s="629">
        <v>2970</v>
      </c>
      <c r="Z505" s="629">
        <v>21343.599999999999</v>
      </c>
      <c r="AA505" s="629">
        <v>4000</v>
      </c>
      <c r="AB505" s="629"/>
      <c r="AC505" s="629"/>
      <c r="AD505" s="639">
        <v>25343.599999999999</v>
      </c>
      <c r="AE505" s="631">
        <v>1164631</v>
      </c>
      <c r="AF505" s="624">
        <v>135369</v>
      </c>
      <c r="AG505" s="625">
        <v>0</v>
      </c>
      <c r="AH505" s="628">
        <v>27</v>
      </c>
      <c r="AI505" s="626">
        <v>1164631</v>
      </c>
    </row>
    <row r="506" spans="1:35" x14ac:dyDescent="0.2">
      <c r="A506" s="632" t="s">
        <v>746</v>
      </c>
      <c r="B506" s="628">
        <v>7</v>
      </c>
      <c r="C506" s="633">
        <v>2931</v>
      </c>
      <c r="D506" s="633"/>
      <c r="E506" s="633"/>
      <c r="F506" s="633"/>
      <c r="G506" s="634"/>
      <c r="H506" s="634"/>
      <c r="I506" s="633">
        <v>450</v>
      </c>
      <c r="J506" s="633">
        <v>750</v>
      </c>
      <c r="K506" s="633">
        <v>4131</v>
      </c>
      <c r="L506" s="634">
        <v>1000</v>
      </c>
      <c r="M506" s="634"/>
      <c r="N506" s="634"/>
      <c r="O506" s="635">
        <v>50572</v>
      </c>
      <c r="P506" s="630">
        <v>354004</v>
      </c>
      <c r="Q506" s="636">
        <v>7</v>
      </c>
      <c r="R506" s="633">
        <v>2931</v>
      </c>
      <c r="S506" s="633"/>
      <c r="T506" s="633"/>
      <c r="U506" s="633"/>
      <c r="V506" s="634"/>
      <c r="W506" s="634"/>
      <c r="X506" s="633">
        <v>450</v>
      </c>
      <c r="Y506" s="633">
        <v>750</v>
      </c>
      <c r="Z506" s="633">
        <v>4131</v>
      </c>
      <c r="AA506" s="634">
        <v>1000</v>
      </c>
      <c r="AB506" s="634"/>
      <c r="AC506" s="634"/>
      <c r="AD506" s="635">
        <v>50572</v>
      </c>
      <c r="AE506" s="637">
        <v>354004</v>
      </c>
      <c r="AF506" s="624">
        <v>0</v>
      </c>
      <c r="AG506" s="625">
        <v>0</v>
      </c>
      <c r="AH506" s="636">
        <v>7</v>
      </c>
      <c r="AI506" s="638">
        <v>354004</v>
      </c>
    </row>
    <row r="507" spans="1:35" x14ac:dyDescent="0.2">
      <c r="A507" s="632" t="s">
        <v>747</v>
      </c>
      <c r="B507" s="628">
        <v>4</v>
      </c>
      <c r="C507" s="633">
        <v>2931</v>
      </c>
      <c r="D507" s="633"/>
      <c r="E507" s="633"/>
      <c r="F507" s="633"/>
      <c r="G507" s="634"/>
      <c r="H507" s="634"/>
      <c r="I507" s="633">
        <v>450</v>
      </c>
      <c r="J507" s="633">
        <v>750</v>
      </c>
      <c r="K507" s="633">
        <v>4131</v>
      </c>
      <c r="L507" s="634">
        <v>1000</v>
      </c>
      <c r="M507" s="634"/>
      <c r="N507" s="634"/>
      <c r="O507" s="635">
        <v>50572</v>
      </c>
      <c r="P507" s="630">
        <v>202288</v>
      </c>
      <c r="Q507" s="636">
        <v>4</v>
      </c>
      <c r="R507" s="633">
        <v>2931</v>
      </c>
      <c r="S507" s="633"/>
      <c r="T507" s="633"/>
      <c r="U507" s="633"/>
      <c r="V507" s="634"/>
      <c r="W507" s="634"/>
      <c r="X507" s="633">
        <v>450</v>
      </c>
      <c r="Y507" s="633">
        <v>750</v>
      </c>
      <c r="Z507" s="633">
        <v>4131</v>
      </c>
      <c r="AA507" s="634">
        <v>1000</v>
      </c>
      <c r="AB507" s="634"/>
      <c r="AC507" s="634"/>
      <c r="AD507" s="635">
        <v>50572</v>
      </c>
      <c r="AE507" s="637">
        <v>202288</v>
      </c>
      <c r="AF507" s="624">
        <v>0</v>
      </c>
      <c r="AG507" s="625">
        <v>0</v>
      </c>
      <c r="AH507" s="636">
        <v>4</v>
      </c>
      <c r="AI507" s="638">
        <v>202288</v>
      </c>
    </row>
    <row r="508" spans="1:35" x14ac:dyDescent="0.2">
      <c r="A508" s="632" t="s">
        <v>701</v>
      </c>
      <c r="B508" s="628">
        <v>6</v>
      </c>
      <c r="C508" s="633">
        <v>3217</v>
      </c>
      <c r="D508" s="633"/>
      <c r="E508" s="633"/>
      <c r="F508" s="633"/>
      <c r="G508" s="634"/>
      <c r="H508" s="634"/>
      <c r="I508" s="633">
        <v>450</v>
      </c>
      <c r="J508" s="633">
        <v>750</v>
      </c>
      <c r="K508" s="633">
        <v>4417</v>
      </c>
      <c r="L508" s="634">
        <v>1000</v>
      </c>
      <c r="M508" s="634"/>
      <c r="N508" s="634"/>
      <c r="O508" s="635">
        <v>54004</v>
      </c>
      <c r="P508" s="630">
        <v>324024</v>
      </c>
      <c r="Q508" s="636">
        <v>6</v>
      </c>
      <c r="R508" s="633">
        <v>3217</v>
      </c>
      <c r="S508" s="633"/>
      <c r="T508" s="633"/>
      <c r="U508" s="633"/>
      <c r="V508" s="634"/>
      <c r="W508" s="634"/>
      <c r="X508" s="633">
        <v>450</v>
      </c>
      <c r="Y508" s="633">
        <v>750</v>
      </c>
      <c r="Z508" s="633">
        <v>4417</v>
      </c>
      <c r="AA508" s="634">
        <v>1000</v>
      </c>
      <c r="AB508" s="634"/>
      <c r="AC508" s="634"/>
      <c r="AD508" s="635">
        <v>54004</v>
      </c>
      <c r="AE508" s="637">
        <v>324024</v>
      </c>
      <c r="AF508" s="624">
        <v>0</v>
      </c>
      <c r="AG508" s="625">
        <v>0</v>
      </c>
      <c r="AH508" s="636">
        <v>6</v>
      </c>
      <c r="AI508" s="638">
        <v>324024</v>
      </c>
    </row>
    <row r="509" spans="1:35" x14ac:dyDescent="0.2">
      <c r="A509" s="632" t="s">
        <v>702</v>
      </c>
      <c r="B509" s="628">
        <v>1</v>
      </c>
      <c r="C509" s="633">
        <v>3619.5999999999995</v>
      </c>
      <c r="D509" s="633"/>
      <c r="E509" s="633"/>
      <c r="F509" s="633"/>
      <c r="G509" s="634"/>
      <c r="H509" s="634"/>
      <c r="I509" s="633">
        <v>450</v>
      </c>
      <c r="J509" s="633">
        <v>720</v>
      </c>
      <c r="K509" s="633">
        <v>4789.5999999999995</v>
      </c>
      <c r="L509" s="634">
        <v>1000</v>
      </c>
      <c r="M509" s="634"/>
      <c r="N509" s="634"/>
      <c r="O509" s="635">
        <v>58475.199999999997</v>
      </c>
      <c r="P509" s="630">
        <v>58475.199999999997</v>
      </c>
      <c r="Q509" s="636">
        <v>1</v>
      </c>
      <c r="R509" s="633">
        <v>3619.5999999999995</v>
      </c>
      <c r="S509" s="633"/>
      <c r="T509" s="633"/>
      <c r="U509" s="633"/>
      <c r="V509" s="634"/>
      <c r="W509" s="634"/>
      <c r="X509" s="633">
        <v>450</v>
      </c>
      <c r="Y509" s="633">
        <v>720</v>
      </c>
      <c r="Z509" s="633">
        <v>4789.5999999999995</v>
      </c>
      <c r="AA509" s="634">
        <v>1000</v>
      </c>
      <c r="AB509" s="634"/>
      <c r="AC509" s="634"/>
      <c r="AD509" s="635">
        <v>58475.199999999997</v>
      </c>
      <c r="AE509" s="637">
        <v>58475.199999999997</v>
      </c>
      <c r="AF509" s="624">
        <v>0</v>
      </c>
      <c r="AG509" s="625">
        <v>0</v>
      </c>
      <c r="AH509" s="636">
        <v>1</v>
      </c>
      <c r="AI509" s="638">
        <v>58475.199999999997</v>
      </c>
    </row>
    <row r="510" spans="1:35" ht="12.75" thickBot="1" x14ac:dyDescent="0.25">
      <c r="A510" s="651" t="s">
        <v>743</v>
      </c>
      <c r="B510" s="652">
        <v>9</v>
      </c>
      <c r="C510" s="653">
        <v>3875</v>
      </c>
      <c r="D510" s="653"/>
      <c r="E510" s="653"/>
      <c r="F510" s="653"/>
      <c r="G510" s="654"/>
      <c r="H510" s="654"/>
      <c r="I510" s="654"/>
      <c r="J510" s="654"/>
      <c r="K510" s="654">
        <v>3875</v>
      </c>
      <c r="L510" s="654"/>
      <c r="M510" s="654"/>
      <c r="N510" s="654"/>
      <c r="O510" s="655">
        <v>3875</v>
      </c>
      <c r="P510" s="656"/>
      <c r="Q510" s="657">
        <v>9</v>
      </c>
      <c r="R510" s="653">
        <v>3875</v>
      </c>
      <c r="S510" s="653"/>
      <c r="T510" s="653"/>
      <c r="U510" s="653"/>
      <c r="V510" s="654"/>
      <c r="W510" s="654"/>
      <c r="X510" s="633">
        <v>450</v>
      </c>
      <c r="Y510" s="633">
        <v>720</v>
      </c>
      <c r="Z510" s="633">
        <v>4790</v>
      </c>
      <c r="AA510" s="634">
        <v>1000</v>
      </c>
      <c r="AB510" s="654"/>
      <c r="AC510" s="654"/>
      <c r="AD510" s="655">
        <v>5790</v>
      </c>
      <c r="AE510" s="637">
        <v>225839.8</v>
      </c>
      <c r="AF510" s="624">
        <v>-225839.8</v>
      </c>
      <c r="AG510" s="625">
        <v>0</v>
      </c>
      <c r="AH510" s="657">
        <v>9</v>
      </c>
      <c r="AI510" s="638">
        <v>225839.8</v>
      </c>
    </row>
    <row r="511" spans="1:35" ht="12.75" thickBot="1" x14ac:dyDescent="0.25">
      <c r="A511" s="658" t="s">
        <v>21</v>
      </c>
      <c r="B511" s="659">
        <v>631</v>
      </c>
      <c r="C511" s="659">
        <v>99930.508885836389</v>
      </c>
      <c r="D511" s="659"/>
      <c r="E511" s="659"/>
      <c r="F511" s="659">
        <v>24012</v>
      </c>
      <c r="G511" s="660"/>
      <c r="H511" s="660"/>
      <c r="I511" s="660">
        <v>10780</v>
      </c>
      <c r="J511" s="660">
        <v>17953.2</v>
      </c>
      <c r="K511" s="660">
        <v>123942.50888583639</v>
      </c>
      <c r="L511" s="660">
        <v>126540.12114774114</v>
      </c>
      <c r="M511" s="660"/>
      <c r="N511" s="661"/>
      <c r="O511" s="662">
        <v>584036.19347680104</v>
      </c>
      <c r="P511" s="663">
        <v>32455042.000000004</v>
      </c>
      <c r="Q511" s="659">
        <v>631</v>
      </c>
      <c r="R511" s="659">
        <v>120065.70888583639</v>
      </c>
      <c r="S511" s="659"/>
      <c r="T511" s="659"/>
      <c r="U511" s="659">
        <v>24012</v>
      </c>
      <c r="V511" s="660"/>
      <c r="W511" s="660"/>
      <c r="X511" s="660">
        <v>9480</v>
      </c>
      <c r="Y511" s="660">
        <v>16090</v>
      </c>
      <c r="Z511" s="660">
        <v>144077.70888583639</v>
      </c>
      <c r="AA511" s="660">
        <v>43000</v>
      </c>
      <c r="AB511" s="660"/>
      <c r="AC511" s="661"/>
      <c r="AD511" s="662">
        <v>667684.60761599499</v>
      </c>
      <c r="AE511" s="664">
        <v>34843378</v>
      </c>
      <c r="AF511" s="624">
        <v>-2388335.9999999963</v>
      </c>
      <c r="AG511" s="625">
        <v>0</v>
      </c>
      <c r="AH511" s="659">
        <v>632</v>
      </c>
      <c r="AI511" s="626">
        <v>34708009</v>
      </c>
    </row>
    <row r="512" spans="1:35" x14ac:dyDescent="0.2">
      <c r="A512" s="234" t="s">
        <v>170</v>
      </c>
      <c r="B512" s="234" t="s">
        <v>171</v>
      </c>
      <c r="C512" s="234"/>
      <c r="D512" s="234"/>
      <c r="E512" s="234"/>
      <c r="F512" s="234"/>
      <c r="G512" s="234"/>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480"/>
      <c r="AF512" s="234"/>
      <c r="AG512" s="234"/>
      <c r="AH512" s="234"/>
      <c r="AI512" s="234"/>
    </row>
    <row r="513" spans="1:35" x14ac:dyDescent="0.2">
      <c r="A513" s="234" t="s">
        <v>168</v>
      </c>
      <c r="B513" s="234" t="s">
        <v>164</v>
      </c>
      <c r="C513" s="234"/>
      <c r="D513" s="234"/>
      <c r="E513" s="234"/>
      <c r="F513" s="234"/>
      <c r="G513" s="234"/>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480"/>
      <c r="AF513" s="234"/>
      <c r="AG513" s="234"/>
      <c r="AH513" s="234"/>
      <c r="AI513" s="234"/>
    </row>
    <row r="514" spans="1:35" x14ac:dyDescent="0.2">
      <c r="A514" s="234" t="s">
        <v>169</v>
      </c>
      <c r="B514" s="234" t="s">
        <v>172</v>
      </c>
      <c r="C514" s="234"/>
      <c r="D514" s="234"/>
      <c r="E514" s="234"/>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4"/>
      <c r="AB514" s="234"/>
      <c r="AC514" s="234"/>
      <c r="AD514" s="234"/>
      <c r="AE514" s="480"/>
      <c r="AF514" s="234"/>
      <c r="AG514" s="234"/>
      <c r="AH514" s="234"/>
      <c r="AI514" s="234"/>
    </row>
    <row r="515" spans="1:35" x14ac:dyDescent="0.2">
      <c r="A515" s="234"/>
      <c r="B515" s="234"/>
      <c r="C515" s="234"/>
      <c r="D515" s="234"/>
      <c r="E515" s="234"/>
      <c r="F515" s="234"/>
      <c r="G515" s="234"/>
      <c r="H515" s="234"/>
      <c r="I515" s="234"/>
      <c r="J515" s="234"/>
      <c r="K515" s="234"/>
      <c r="L515" s="234"/>
      <c r="M515" s="234"/>
      <c r="N515" s="234"/>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row>
    <row r="516" spans="1:35" x14ac:dyDescent="0.2">
      <c r="A516" s="234"/>
      <c r="B516" s="234"/>
      <c r="C516" s="234"/>
      <c r="D516" s="234"/>
      <c r="E516" s="234"/>
      <c r="F516" s="234"/>
      <c r="G516" s="234"/>
      <c r="H516" s="234"/>
      <c r="I516" s="234"/>
      <c r="J516" s="234"/>
      <c r="K516" s="234"/>
      <c r="L516" s="234"/>
      <c r="M516" s="234"/>
      <c r="N516" s="234"/>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row>
    <row r="517" spans="1:35" x14ac:dyDescent="0.2">
      <c r="A517" s="274" t="s">
        <v>377</v>
      </c>
      <c r="B517" s="364"/>
      <c r="C517" s="364"/>
      <c r="D517" s="364"/>
      <c r="E517" s="364"/>
      <c r="F517" s="364"/>
      <c r="G517" s="364"/>
      <c r="H517" s="364"/>
      <c r="I517" s="364"/>
      <c r="J517" s="364"/>
      <c r="K517" s="364"/>
      <c r="L517" s="364"/>
      <c r="M517" s="364"/>
      <c r="N517" s="364"/>
      <c r="O517" s="364"/>
      <c r="P517" s="364">
        <v>0</v>
      </c>
      <c r="Q517" s="364"/>
      <c r="R517" s="364"/>
      <c r="S517" s="364"/>
      <c r="T517" s="364"/>
      <c r="U517" s="364"/>
      <c r="V517" s="364"/>
      <c r="W517" s="364"/>
      <c r="X517" s="364"/>
      <c r="Y517" s="364"/>
      <c r="Z517" s="364"/>
      <c r="AA517" s="364"/>
      <c r="AB517" s="364"/>
      <c r="AC517" s="364"/>
      <c r="AD517" s="364"/>
      <c r="AE517" s="364"/>
      <c r="AF517" s="364"/>
      <c r="AG517" s="364"/>
      <c r="AH517" s="364"/>
      <c r="AI517" s="364"/>
    </row>
    <row r="518" spans="1:35" x14ac:dyDescent="0.2">
      <c r="A518" s="275" t="s">
        <v>776</v>
      </c>
      <c r="B518" s="275"/>
      <c r="C518" s="275"/>
      <c r="D518" s="275"/>
      <c r="E518" s="275"/>
      <c r="F518" s="275"/>
      <c r="G518" s="275"/>
      <c r="H518" s="275"/>
      <c r="I518" s="275"/>
      <c r="J518" s="275"/>
      <c r="K518" s="275"/>
      <c r="L518" s="275"/>
      <c r="M518" s="275"/>
      <c r="N518" s="275"/>
      <c r="O518" s="275"/>
      <c r="P518" s="275"/>
      <c r="Q518" s="275"/>
      <c r="R518" s="275"/>
      <c r="S518" s="275"/>
      <c r="T518" s="275"/>
      <c r="U518" s="275"/>
      <c r="V518" s="275"/>
      <c r="W518" s="275"/>
      <c r="X518" s="275"/>
      <c r="Y518" s="275"/>
      <c r="Z518" s="275"/>
      <c r="AA518" s="275"/>
      <c r="AB518" s="275"/>
      <c r="AC518" s="275"/>
      <c r="AD518" s="275"/>
      <c r="AE518" s="364"/>
      <c r="AF518" s="364"/>
      <c r="AG518" s="364"/>
      <c r="AH518" s="364"/>
      <c r="AI518" s="364"/>
    </row>
    <row r="519" spans="1:35" ht="12.75" thickBot="1" x14ac:dyDescent="0.25">
      <c r="A519" s="274" t="s">
        <v>777</v>
      </c>
      <c r="B519" s="274"/>
      <c r="C519" s="274"/>
      <c r="D519" s="274"/>
      <c r="E519" s="274"/>
      <c r="F519" s="274"/>
      <c r="G519" s="274"/>
      <c r="H519" s="274"/>
      <c r="I519" s="274"/>
      <c r="J519" s="274"/>
      <c r="K519" s="274"/>
      <c r="L519" s="274"/>
      <c r="M519" s="274"/>
      <c r="N519" s="274"/>
      <c r="O519" s="274"/>
      <c r="P519" s="274"/>
      <c r="Q519" s="274"/>
      <c r="R519" s="274"/>
      <c r="S519" s="274"/>
      <c r="T519" s="274"/>
      <c r="U519" s="274"/>
      <c r="V519" s="274"/>
      <c r="W519" s="274"/>
      <c r="X519" s="274"/>
      <c r="Y519" s="274"/>
      <c r="Z519" s="274"/>
      <c r="AA519" s="274"/>
      <c r="AB519" s="274"/>
      <c r="AC519" s="274"/>
      <c r="AD519" s="274"/>
      <c r="AE519" s="274"/>
      <c r="AF519" s="274"/>
      <c r="AG519" s="274"/>
      <c r="AH519" s="274"/>
      <c r="AI519" s="274"/>
    </row>
    <row r="520" spans="1:35" ht="12.75" thickBot="1" x14ac:dyDescent="0.25">
      <c r="A520" s="1396" t="s">
        <v>42</v>
      </c>
      <c r="B520" s="1404" t="s">
        <v>356</v>
      </c>
      <c r="C520" s="1404"/>
      <c r="D520" s="1404"/>
      <c r="E520" s="1404"/>
      <c r="F520" s="1404"/>
      <c r="G520" s="1404"/>
      <c r="H520" s="1404"/>
      <c r="I520" s="1404"/>
      <c r="J520" s="1404"/>
      <c r="K520" s="1404"/>
      <c r="L520" s="1404"/>
      <c r="M520" s="1404"/>
      <c r="N520" s="1404"/>
      <c r="O520" s="1404"/>
      <c r="P520" s="1404"/>
      <c r="Q520" s="1400" t="s">
        <v>378</v>
      </c>
      <c r="R520" s="1399"/>
      <c r="S520" s="1399"/>
      <c r="T520" s="1399"/>
      <c r="U520" s="1399"/>
      <c r="V520" s="1399"/>
      <c r="W520" s="1399"/>
      <c r="X520" s="1399"/>
      <c r="Y520" s="1399"/>
      <c r="Z520" s="1399"/>
      <c r="AA520" s="1399"/>
      <c r="AB520" s="1399"/>
      <c r="AC520" s="1399"/>
      <c r="AD520" s="1399"/>
      <c r="AE520" s="1401"/>
      <c r="AF520" s="1402" t="s">
        <v>379</v>
      </c>
      <c r="AG520" s="1403"/>
      <c r="AH520" s="1402" t="s">
        <v>380</v>
      </c>
      <c r="AI520" s="1403"/>
    </row>
    <row r="521" spans="1:35" ht="137.25" x14ac:dyDescent="0.2">
      <c r="A521" s="1397"/>
      <c r="B521" s="556" t="s">
        <v>11</v>
      </c>
      <c r="C521" s="557" t="s">
        <v>130</v>
      </c>
      <c r="D521" s="558" t="s">
        <v>245</v>
      </c>
      <c r="E521" s="558" t="s">
        <v>132</v>
      </c>
      <c r="F521" s="558" t="s">
        <v>154</v>
      </c>
      <c r="G521" s="558" t="s">
        <v>155</v>
      </c>
      <c r="H521" s="558" t="s">
        <v>156</v>
      </c>
      <c r="I521" s="558" t="s">
        <v>157</v>
      </c>
      <c r="J521" s="558" t="s">
        <v>133</v>
      </c>
      <c r="K521" s="558" t="s">
        <v>134</v>
      </c>
      <c r="L521" s="558" t="s">
        <v>135</v>
      </c>
      <c r="M521" s="558" t="s">
        <v>153</v>
      </c>
      <c r="N521" s="559" t="s">
        <v>104</v>
      </c>
      <c r="O521" s="560" t="s">
        <v>138</v>
      </c>
      <c r="P521" s="561" t="s">
        <v>137</v>
      </c>
      <c r="Q521" s="556" t="s">
        <v>11</v>
      </c>
      <c r="R521" s="557" t="s">
        <v>130</v>
      </c>
      <c r="S521" s="558" t="s">
        <v>131</v>
      </c>
      <c r="T521" s="558" t="s">
        <v>132</v>
      </c>
      <c r="U521" s="558" t="s">
        <v>154</v>
      </c>
      <c r="V521" s="558" t="s">
        <v>155</v>
      </c>
      <c r="W521" s="558" t="s">
        <v>156</v>
      </c>
      <c r="X521" s="558" t="s">
        <v>157</v>
      </c>
      <c r="Y521" s="558" t="s">
        <v>133</v>
      </c>
      <c r="Z521" s="558" t="s">
        <v>134</v>
      </c>
      <c r="AA521" s="558" t="s">
        <v>135</v>
      </c>
      <c r="AB521" s="558" t="s">
        <v>153</v>
      </c>
      <c r="AC521" s="559" t="s">
        <v>104</v>
      </c>
      <c r="AD521" s="560" t="s">
        <v>138</v>
      </c>
      <c r="AE521" s="561" t="s">
        <v>425</v>
      </c>
      <c r="AF521" s="562" t="s">
        <v>142</v>
      </c>
      <c r="AG521" s="562" t="s">
        <v>141</v>
      </c>
      <c r="AH521" s="562" t="s">
        <v>11</v>
      </c>
      <c r="AI521" s="561" t="s">
        <v>426</v>
      </c>
    </row>
    <row r="522" spans="1:35" ht="12.75" thickBot="1" x14ac:dyDescent="0.25">
      <c r="A522" s="1398"/>
      <c r="B522" s="563" t="s">
        <v>43</v>
      </c>
      <c r="C522" s="564" t="s">
        <v>44</v>
      </c>
      <c r="D522" s="565" t="s">
        <v>45</v>
      </c>
      <c r="E522" s="565" t="s">
        <v>46</v>
      </c>
      <c r="F522" s="566" t="s">
        <v>47</v>
      </c>
      <c r="G522" s="566" t="s">
        <v>48</v>
      </c>
      <c r="H522" s="566" t="s">
        <v>63</v>
      </c>
      <c r="I522" s="566" t="s">
        <v>103</v>
      </c>
      <c r="J522" s="566" t="s">
        <v>136</v>
      </c>
      <c r="K522" s="566" t="s">
        <v>140</v>
      </c>
      <c r="L522" s="566" t="s">
        <v>162</v>
      </c>
      <c r="M522" s="566" t="s">
        <v>163</v>
      </c>
      <c r="N522" s="567" t="s">
        <v>165</v>
      </c>
      <c r="O522" s="568" t="s">
        <v>166</v>
      </c>
      <c r="P522" s="570" t="s">
        <v>167</v>
      </c>
      <c r="Q522" s="563" t="s">
        <v>43</v>
      </c>
      <c r="R522" s="564" t="s">
        <v>44</v>
      </c>
      <c r="S522" s="565" t="s">
        <v>45</v>
      </c>
      <c r="T522" s="565" t="s">
        <v>46</v>
      </c>
      <c r="U522" s="566" t="s">
        <v>47</v>
      </c>
      <c r="V522" s="566" t="s">
        <v>48</v>
      </c>
      <c r="W522" s="566" t="s">
        <v>63</v>
      </c>
      <c r="X522" s="566" t="s">
        <v>103</v>
      </c>
      <c r="Y522" s="566" t="s">
        <v>136</v>
      </c>
      <c r="Z522" s="566" t="s">
        <v>140</v>
      </c>
      <c r="AA522" s="566" t="s">
        <v>162</v>
      </c>
      <c r="AB522" s="566" t="s">
        <v>163</v>
      </c>
      <c r="AC522" s="567" t="s">
        <v>165</v>
      </c>
      <c r="AD522" s="568" t="s">
        <v>166</v>
      </c>
      <c r="AE522" s="570" t="s">
        <v>167</v>
      </c>
      <c r="AF522" s="569"/>
      <c r="AG522" s="563"/>
      <c r="AH522" s="569"/>
      <c r="AI522" s="563"/>
    </row>
    <row r="523" spans="1:35" x14ac:dyDescent="0.2">
      <c r="A523" s="571"/>
      <c r="B523" s="572"/>
      <c r="C523" s="573"/>
      <c r="D523" s="573"/>
      <c r="E523" s="573"/>
      <c r="F523" s="573"/>
      <c r="G523" s="573"/>
      <c r="H523" s="573"/>
      <c r="I523" s="573"/>
      <c r="J523" s="573"/>
      <c r="K523" s="573"/>
      <c r="L523" s="573"/>
      <c r="M523" s="573"/>
      <c r="N523" s="234"/>
      <c r="O523" s="574"/>
      <c r="P523" s="575"/>
      <c r="Q523" s="572"/>
      <c r="R523" s="573"/>
      <c r="S523" s="573"/>
      <c r="T523" s="573"/>
      <c r="U523" s="573"/>
      <c r="V523" s="573"/>
      <c r="W523" s="573"/>
      <c r="X523" s="573"/>
      <c r="Y523" s="573"/>
      <c r="Z523" s="573"/>
      <c r="AA523" s="573"/>
      <c r="AB523" s="573"/>
      <c r="AC523" s="234"/>
      <c r="AD523" s="574"/>
      <c r="AE523" s="575"/>
      <c r="AF523" s="574"/>
      <c r="AG523" s="575"/>
      <c r="AH523" s="575"/>
      <c r="AI523" s="575"/>
    </row>
    <row r="524" spans="1:35" x14ac:dyDescent="0.2">
      <c r="A524" s="598" t="s">
        <v>7</v>
      </c>
      <c r="B524" s="572"/>
      <c r="C524" s="573"/>
      <c r="D524" s="573"/>
      <c r="E524" s="573"/>
      <c r="F524" s="573"/>
      <c r="G524" s="573"/>
      <c r="H524" s="573"/>
      <c r="I524" s="573"/>
      <c r="J524" s="573"/>
      <c r="K524" s="573"/>
      <c r="L524" s="573"/>
      <c r="M524" s="573"/>
      <c r="N524" s="234"/>
      <c r="O524" s="574"/>
      <c r="P524" s="575"/>
      <c r="Q524" s="572"/>
      <c r="R524" s="573"/>
      <c r="S524" s="573"/>
      <c r="T524" s="573"/>
      <c r="U524" s="573"/>
      <c r="V524" s="573"/>
      <c r="W524" s="573"/>
      <c r="X524" s="573"/>
      <c r="Y524" s="573"/>
      <c r="Z524" s="573"/>
      <c r="AA524" s="573"/>
      <c r="AB524" s="573"/>
      <c r="AC524" s="234"/>
      <c r="AD524" s="574"/>
      <c r="AE524" s="575"/>
      <c r="AF524" s="574"/>
      <c r="AG524" s="575"/>
      <c r="AH524" s="572"/>
      <c r="AI524" s="575"/>
    </row>
    <row r="525" spans="1:35" x14ac:dyDescent="0.2">
      <c r="A525" s="590" t="s">
        <v>3</v>
      </c>
      <c r="B525" s="572"/>
      <c r="C525" s="573"/>
      <c r="D525" s="573"/>
      <c r="E525" s="573"/>
      <c r="F525" s="573"/>
      <c r="G525" s="573"/>
      <c r="H525" s="573"/>
      <c r="I525" s="573"/>
      <c r="J525" s="573"/>
      <c r="K525" s="573"/>
      <c r="L525" s="573"/>
      <c r="M525" s="573"/>
      <c r="N525" s="234"/>
      <c r="O525" s="574"/>
      <c r="P525" s="575"/>
      <c r="Q525" s="572"/>
      <c r="R525" s="573"/>
      <c r="S525" s="573"/>
      <c r="T525" s="573"/>
      <c r="U525" s="573"/>
      <c r="V525" s="573"/>
      <c r="W525" s="573"/>
      <c r="X525" s="573"/>
      <c r="Y525" s="573"/>
      <c r="Z525" s="573"/>
      <c r="AA525" s="573"/>
      <c r="AB525" s="573"/>
      <c r="AC525" s="234"/>
      <c r="AD525" s="574"/>
      <c r="AE525" s="575"/>
      <c r="AF525" s="574"/>
      <c r="AG525" s="575"/>
      <c r="AH525" s="572"/>
      <c r="AI525" s="575"/>
    </row>
    <row r="526" spans="1:35" x14ac:dyDescent="0.2">
      <c r="A526" s="590" t="s">
        <v>577</v>
      </c>
      <c r="B526" s="572"/>
      <c r="C526" s="573"/>
      <c r="D526" s="573"/>
      <c r="E526" s="573"/>
      <c r="F526" s="573"/>
      <c r="G526" s="573"/>
      <c r="H526" s="573"/>
      <c r="I526" s="573"/>
      <c r="J526" s="573"/>
      <c r="K526" s="573"/>
      <c r="L526" s="573"/>
      <c r="M526" s="573"/>
      <c r="N526" s="234"/>
      <c r="O526" s="574"/>
      <c r="P526" s="575"/>
      <c r="Q526" s="572"/>
      <c r="R526" s="573"/>
      <c r="S526" s="573"/>
      <c r="T526" s="573"/>
      <c r="U526" s="573"/>
      <c r="V526" s="573"/>
      <c r="W526" s="573"/>
      <c r="X526" s="573"/>
      <c r="Y526" s="573"/>
      <c r="Z526" s="573"/>
      <c r="AA526" s="573"/>
      <c r="AB526" s="573"/>
      <c r="AC526" s="234"/>
      <c r="AD526" s="574"/>
      <c r="AE526" s="575"/>
      <c r="AF526" s="574"/>
      <c r="AG526" s="575"/>
      <c r="AH526" s="572"/>
      <c r="AI526" s="575"/>
    </row>
    <row r="527" spans="1:35" x14ac:dyDescent="0.2">
      <c r="A527" s="590" t="s">
        <v>642</v>
      </c>
      <c r="B527" s="572"/>
      <c r="C527" s="573"/>
      <c r="D527" s="573"/>
      <c r="E527" s="573"/>
      <c r="F527" s="573"/>
      <c r="G527" s="573"/>
      <c r="H527" s="573"/>
      <c r="I527" s="573"/>
      <c r="J527" s="573"/>
      <c r="K527" s="573"/>
      <c r="L527" s="573"/>
      <c r="M527" s="573"/>
      <c r="N527" s="234"/>
      <c r="O527" s="574"/>
      <c r="P527" s="575"/>
      <c r="Q527" s="572"/>
      <c r="R527" s="573"/>
      <c r="S527" s="573"/>
      <c r="T527" s="573"/>
      <c r="U527" s="573"/>
      <c r="V527" s="573"/>
      <c r="W527" s="573"/>
      <c r="X527" s="573"/>
      <c r="Y527" s="573"/>
      <c r="Z527" s="573"/>
      <c r="AA527" s="573"/>
      <c r="AB527" s="573"/>
      <c r="AC527" s="234"/>
      <c r="AD527" s="574"/>
      <c r="AE527" s="575"/>
      <c r="AF527" s="574"/>
      <c r="AG527" s="575"/>
      <c r="AH527" s="572"/>
      <c r="AI527" s="575"/>
    </row>
    <row r="528" spans="1:35" x14ac:dyDescent="0.2">
      <c r="A528" s="590" t="s">
        <v>578</v>
      </c>
      <c r="B528" s="572"/>
      <c r="C528" s="573"/>
      <c r="D528" s="573"/>
      <c r="E528" s="573"/>
      <c r="F528" s="573"/>
      <c r="G528" s="573"/>
      <c r="H528" s="573"/>
      <c r="I528" s="573"/>
      <c r="J528" s="573"/>
      <c r="K528" s="573"/>
      <c r="L528" s="573"/>
      <c r="M528" s="573"/>
      <c r="N528" s="234"/>
      <c r="O528" s="574"/>
      <c r="P528" s="575"/>
      <c r="Q528" s="572"/>
      <c r="R528" s="573"/>
      <c r="S528" s="573"/>
      <c r="T528" s="573"/>
      <c r="U528" s="573"/>
      <c r="V528" s="573"/>
      <c r="W528" s="573"/>
      <c r="X528" s="573"/>
      <c r="Y528" s="573"/>
      <c r="Z528" s="573"/>
      <c r="AA528" s="573"/>
      <c r="AB528" s="573"/>
      <c r="AC528" s="234"/>
      <c r="AD528" s="574"/>
      <c r="AE528" s="575"/>
      <c r="AF528" s="574"/>
      <c r="AG528" s="575"/>
      <c r="AH528" s="572"/>
      <c r="AI528" s="575"/>
    </row>
    <row r="529" spans="1:35" ht="13.5" x14ac:dyDescent="0.2">
      <c r="A529" s="590" t="s">
        <v>579</v>
      </c>
      <c r="B529" s="572">
        <v>2</v>
      </c>
      <c r="C529" s="665">
        <v>2865.59</v>
      </c>
      <c r="D529" s="665">
        <v>3290</v>
      </c>
      <c r="E529" s="665">
        <v>0</v>
      </c>
      <c r="F529" s="665">
        <v>0</v>
      </c>
      <c r="G529" s="665">
        <v>0</v>
      </c>
      <c r="H529" s="665">
        <v>0</v>
      </c>
      <c r="I529" s="665">
        <v>0</v>
      </c>
      <c r="J529" s="665">
        <v>0</v>
      </c>
      <c r="K529" s="666">
        <f>+C529+D529+E529+F529+G529+H529+I529+J529</f>
        <v>6155.59</v>
      </c>
      <c r="L529" s="665">
        <v>1000</v>
      </c>
      <c r="M529" s="665">
        <v>1500</v>
      </c>
      <c r="N529" s="665">
        <f>+L529+M529</f>
        <v>2500</v>
      </c>
      <c r="O529" s="667">
        <f>+(K529*12)+N529</f>
        <v>76367.08</v>
      </c>
      <c r="P529" s="667">
        <f>+B529*O529</f>
        <v>152734.16</v>
      </c>
      <c r="Q529" s="572">
        <v>2</v>
      </c>
      <c r="R529" s="665">
        <v>2865.59</v>
      </c>
      <c r="S529" s="665">
        <v>3290</v>
      </c>
      <c r="T529" s="665">
        <v>0</v>
      </c>
      <c r="U529" s="665">
        <v>0</v>
      </c>
      <c r="V529" s="665">
        <v>0</v>
      </c>
      <c r="W529" s="665">
        <v>0</v>
      </c>
      <c r="X529" s="665">
        <v>0</v>
      </c>
      <c r="Y529" s="665">
        <v>0</v>
      </c>
      <c r="Z529" s="666">
        <f>+R529+S529+T529+U529+V529+W529+X529+Y529</f>
        <v>6155.59</v>
      </c>
      <c r="AA529" s="665">
        <v>1000</v>
      </c>
      <c r="AB529" s="665">
        <v>0</v>
      </c>
      <c r="AC529" s="665">
        <f>+AA529+AB529</f>
        <v>1000</v>
      </c>
      <c r="AD529" s="667">
        <f>+(Z529*12)+AC529</f>
        <v>74867.08</v>
      </c>
      <c r="AE529" s="667">
        <f>+Q529*AD529</f>
        <v>149734.16</v>
      </c>
      <c r="AF529" s="665">
        <f>SUM(O529-AD529)</f>
        <v>1500</v>
      </c>
      <c r="AG529" s="665">
        <f>SUM(P529-AE529)</f>
        <v>3000</v>
      </c>
      <c r="AH529" s="572">
        <v>2</v>
      </c>
      <c r="AI529" s="666">
        <v>116991.32</v>
      </c>
    </row>
    <row r="530" spans="1:35" x14ac:dyDescent="0.2">
      <c r="A530" s="590" t="s">
        <v>580</v>
      </c>
      <c r="B530" s="572"/>
      <c r="C530" s="573"/>
      <c r="D530" s="573"/>
      <c r="E530" s="573"/>
      <c r="F530" s="573"/>
      <c r="G530" s="573"/>
      <c r="H530" s="573"/>
      <c r="I530" s="573"/>
      <c r="J530" s="573"/>
      <c r="K530" s="573"/>
      <c r="L530" s="573"/>
      <c r="M530" s="573"/>
      <c r="N530" s="234"/>
      <c r="O530" s="574"/>
      <c r="P530" s="575"/>
      <c r="Q530" s="572"/>
      <c r="R530" s="573"/>
      <c r="S530" s="573"/>
      <c r="T530" s="573"/>
      <c r="U530" s="573"/>
      <c r="V530" s="573"/>
      <c r="W530" s="573"/>
      <c r="X530" s="573"/>
      <c r="Y530" s="573"/>
      <c r="Z530" s="573"/>
      <c r="AA530" s="573"/>
      <c r="AB530" s="573"/>
      <c r="AC530" s="234"/>
      <c r="AD530" s="574"/>
      <c r="AE530" s="575"/>
      <c r="AF530" s="574"/>
      <c r="AG530" s="575"/>
      <c r="AH530" s="572"/>
      <c r="AI530" s="575"/>
    </row>
    <row r="531" spans="1:35" x14ac:dyDescent="0.2">
      <c r="A531" s="590" t="s">
        <v>581</v>
      </c>
      <c r="B531" s="572"/>
      <c r="C531" s="573"/>
      <c r="D531" s="573"/>
      <c r="E531" s="573"/>
      <c r="F531" s="573"/>
      <c r="G531" s="573"/>
      <c r="H531" s="573"/>
      <c r="I531" s="573"/>
      <c r="J531" s="573"/>
      <c r="K531" s="573"/>
      <c r="L531" s="573"/>
      <c r="M531" s="573"/>
      <c r="N531" s="234"/>
      <c r="O531" s="574"/>
      <c r="P531" s="575"/>
      <c r="Q531" s="572"/>
      <c r="R531" s="573"/>
      <c r="S531" s="573"/>
      <c r="T531" s="573"/>
      <c r="U531" s="573"/>
      <c r="V531" s="573"/>
      <c r="W531" s="573"/>
      <c r="X531" s="573"/>
      <c r="Y531" s="573"/>
      <c r="Z531" s="573"/>
      <c r="AA531" s="573"/>
      <c r="AB531" s="573"/>
      <c r="AC531" s="234"/>
      <c r="AD531" s="574"/>
      <c r="AE531" s="575"/>
      <c r="AF531" s="574"/>
      <c r="AG531" s="575"/>
      <c r="AH531" s="572"/>
      <c r="AI531" s="575"/>
    </row>
    <row r="532" spans="1:35" ht="13.5" x14ac:dyDescent="0.2">
      <c r="A532" s="590" t="s">
        <v>12</v>
      </c>
      <c r="B532" s="668">
        <v>1</v>
      </c>
      <c r="C532" s="666">
        <v>1708.96</v>
      </c>
      <c r="D532" s="666">
        <v>1631.6</v>
      </c>
      <c r="E532" s="665"/>
      <c r="F532" s="665"/>
      <c r="G532" s="665"/>
      <c r="H532" s="665"/>
      <c r="I532" s="665"/>
      <c r="J532" s="665"/>
      <c r="K532" s="665">
        <f>+C532+D532+E532+F532+G532+H532+I532+J532</f>
        <v>3340.56</v>
      </c>
      <c r="L532" s="666">
        <v>1000</v>
      </c>
      <c r="M532" s="665">
        <v>1500</v>
      </c>
      <c r="N532" s="665">
        <f>+L532+M532</f>
        <v>2500</v>
      </c>
      <c r="O532" s="667">
        <f>+(K532*12)+N532</f>
        <v>42586.720000000001</v>
      </c>
      <c r="P532" s="667">
        <f>+B532*O532</f>
        <v>42586.720000000001</v>
      </c>
      <c r="Q532" s="668">
        <v>1</v>
      </c>
      <c r="R532" s="666">
        <v>1708.96</v>
      </c>
      <c r="S532" s="666">
        <v>1631.6</v>
      </c>
      <c r="T532" s="665"/>
      <c r="U532" s="665"/>
      <c r="V532" s="665"/>
      <c r="W532" s="665"/>
      <c r="X532" s="665"/>
      <c r="Y532" s="665"/>
      <c r="Z532" s="665">
        <f>+R532+S532+T532+U532+V532+W532+X532+Y532</f>
        <v>3340.56</v>
      </c>
      <c r="AA532" s="666">
        <v>1000</v>
      </c>
      <c r="AB532" s="665"/>
      <c r="AC532" s="665">
        <f>+AA532+AB532</f>
        <v>1000</v>
      </c>
      <c r="AD532" s="667">
        <f>+(Z532*12)+AC532</f>
        <v>41086.720000000001</v>
      </c>
      <c r="AE532" s="667">
        <f>+Q532*AD532</f>
        <v>41086.720000000001</v>
      </c>
      <c r="AF532" s="665">
        <f>SUM(O532-AD532)</f>
        <v>1500</v>
      </c>
      <c r="AG532" s="665">
        <f>SUM(P532-AE532)</f>
        <v>1500</v>
      </c>
      <c r="AH532" s="572">
        <v>1</v>
      </c>
      <c r="AI532" s="665">
        <v>30491.200000000001</v>
      </c>
    </row>
    <row r="533" spans="1:35" ht="13.5" x14ac:dyDescent="0.2">
      <c r="A533" s="669"/>
      <c r="B533" s="670">
        <f t="shared" ref="B533:AH533" si="167">+SUM(B527:B532)</f>
        <v>3</v>
      </c>
      <c r="C533" s="671">
        <f t="shared" si="167"/>
        <v>4574.55</v>
      </c>
      <c r="D533" s="671">
        <f t="shared" si="167"/>
        <v>4921.6000000000004</v>
      </c>
      <c r="E533" s="671">
        <f t="shared" si="167"/>
        <v>0</v>
      </c>
      <c r="F533" s="671">
        <f t="shared" si="167"/>
        <v>0</v>
      </c>
      <c r="G533" s="671">
        <f t="shared" si="167"/>
        <v>0</v>
      </c>
      <c r="H533" s="671">
        <f t="shared" si="167"/>
        <v>0</v>
      </c>
      <c r="I533" s="671">
        <f t="shared" si="167"/>
        <v>0</v>
      </c>
      <c r="J533" s="671">
        <f t="shared" si="167"/>
        <v>0</v>
      </c>
      <c r="K533" s="671">
        <f t="shared" si="167"/>
        <v>9496.15</v>
      </c>
      <c r="L533" s="671">
        <f t="shared" si="167"/>
        <v>2000</v>
      </c>
      <c r="M533" s="671">
        <f t="shared" si="167"/>
        <v>3000</v>
      </c>
      <c r="N533" s="671">
        <f t="shared" si="167"/>
        <v>5000</v>
      </c>
      <c r="O533" s="672">
        <f t="shared" si="167"/>
        <v>118953.8</v>
      </c>
      <c r="P533" s="672">
        <f t="shared" si="167"/>
        <v>195320.88</v>
      </c>
      <c r="Q533" s="670">
        <f t="shared" si="167"/>
        <v>3</v>
      </c>
      <c r="R533" s="671">
        <f t="shared" si="167"/>
        <v>4574.55</v>
      </c>
      <c r="S533" s="671">
        <f t="shared" si="167"/>
        <v>4921.6000000000004</v>
      </c>
      <c r="T533" s="671">
        <f t="shared" si="167"/>
        <v>0</v>
      </c>
      <c r="U533" s="671">
        <f t="shared" si="167"/>
        <v>0</v>
      </c>
      <c r="V533" s="671">
        <f t="shared" si="167"/>
        <v>0</v>
      </c>
      <c r="W533" s="671">
        <f t="shared" si="167"/>
        <v>0</v>
      </c>
      <c r="X533" s="671">
        <f t="shared" si="167"/>
        <v>0</v>
      </c>
      <c r="Y533" s="671">
        <f t="shared" si="167"/>
        <v>0</v>
      </c>
      <c r="Z533" s="671">
        <f t="shared" si="167"/>
        <v>9496.15</v>
      </c>
      <c r="AA533" s="671">
        <f t="shared" si="167"/>
        <v>2000</v>
      </c>
      <c r="AB533" s="671">
        <f t="shared" si="167"/>
        <v>0</v>
      </c>
      <c r="AC533" s="671">
        <f t="shared" si="167"/>
        <v>2000</v>
      </c>
      <c r="AD533" s="672">
        <f t="shared" si="167"/>
        <v>115953.8</v>
      </c>
      <c r="AE533" s="672">
        <f t="shared" si="167"/>
        <v>190820.88</v>
      </c>
      <c r="AF533" s="672">
        <f t="shared" si="167"/>
        <v>3000</v>
      </c>
      <c r="AG533" s="672">
        <f t="shared" si="167"/>
        <v>4500</v>
      </c>
      <c r="AH533" s="670">
        <f t="shared" si="167"/>
        <v>3</v>
      </c>
      <c r="AI533" s="672">
        <f>SUM(AI527:AI532)</f>
        <v>147482.52000000002</v>
      </c>
    </row>
    <row r="534" spans="1:35" ht="13.5" x14ac:dyDescent="0.2">
      <c r="A534" s="598" t="s">
        <v>4</v>
      </c>
      <c r="B534" s="668"/>
      <c r="C534" s="666"/>
      <c r="D534" s="665"/>
      <c r="E534" s="665"/>
      <c r="F534" s="665"/>
      <c r="G534" s="665"/>
      <c r="H534" s="665"/>
      <c r="I534" s="665"/>
      <c r="J534" s="665"/>
      <c r="K534" s="665"/>
      <c r="L534" s="665"/>
      <c r="M534" s="665"/>
      <c r="N534" s="665"/>
      <c r="O534" s="667"/>
      <c r="P534" s="673"/>
      <c r="Q534" s="668"/>
      <c r="R534" s="666"/>
      <c r="S534" s="665"/>
      <c r="T534" s="665"/>
      <c r="U534" s="665"/>
      <c r="V534" s="665"/>
      <c r="W534" s="665"/>
      <c r="X534" s="665"/>
      <c r="Y534" s="665"/>
      <c r="Z534" s="665"/>
      <c r="AA534" s="665"/>
      <c r="AB534" s="665"/>
      <c r="AC534" s="665"/>
      <c r="AD534" s="667"/>
      <c r="AE534" s="673"/>
      <c r="AF534" s="667"/>
      <c r="AG534" s="673"/>
      <c r="AH534" s="572"/>
      <c r="AI534" s="673"/>
    </row>
    <row r="535" spans="1:35" ht="13.5" x14ac:dyDescent="0.2">
      <c r="A535" s="674" t="s">
        <v>13</v>
      </c>
      <c r="B535" s="668">
        <v>0</v>
      </c>
      <c r="C535" s="666">
        <v>0</v>
      </c>
      <c r="D535" s="666">
        <v>0</v>
      </c>
      <c r="E535" s="665"/>
      <c r="F535" s="665"/>
      <c r="G535" s="665"/>
      <c r="H535" s="665"/>
      <c r="I535" s="665"/>
      <c r="J535" s="665"/>
      <c r="K535" s="665"/>
      <c r="L535" s="666">
        <v>0</v>
      </c>
      <c r="M535" s="665"/>
      <c r="N535" s="665"/>
      <c r="O535" s="667"/>
      <c r="P535" s="673"/>
      <c r="Q535" s="668">
        <v>0</v>
      </c>
      <c r="R535" s="666">
        <v>0</v>
      </c>
      <c r="S535" s="666">
        <v>0</v>
      </c>
      <c r="T535" s="665"/>
      <c r="U535" s="665"/>
      <c r="V535" s="665"/>
      <c r="W535" s="665"/>
      <c r="X535" s="665"/>
      <c r="Y535" s="665"/>
      <c r="Z535" s="665"/>
      <c r="AA535" s="666">
        <v>0</v>
      </c>
      <c r="AB535" s="665"/>
      <c r="AC535" s="665"/>
      <c r="AD535" s="667"/>
      <c r="AE535" s="673"/>
      <c r="AF535" s="667"/>
      <c r="AG535" s="673"/>
      <c r="AH535" s="572"/>
      <c r="AI535" s="673"/>
    </row>
    <row r="536" spans="1:35" ht="13.5" x14ac:dyDescent="0.2">
      <c r="A536" s="674" t="s">
        <v>582</v>
      </c>
      <c r="B536" s="668">
        <v>0</v>
      </c>
      <c r="C536" s="666">
        <v>0</v>
      </c>
      <c r="D536" s="666">
        <f ca="1">B532:P555</f>
        <v>0</v>
      </c>
      <c r="E536" s="665"/>
      <c r="F536" s="665"/>
      <c r="G536" s="665"/>
      <c r="H536" s="665"/>
      <c r="I536" s="665"/>
      <c r="J536" s="665"/>
      <c r="K536" s="665"/>
      <c r="L536" s="666">
        <v>0</v>
      </c>
      <c r="M536" s="665"/>
      <c r="N536" s="665"/>
      <c r="O536" s="667"/>
      <c r="P536" s="673"/>
      <c r="Q536" s="668">
        <v>0</v>
      </c>
      <c r="R536" s="666">
        <v>0</v>
      </c>
      <c r="S536" s="666">
        <f ca="1">Q532:AE555</f>
        <v>0</v>
      </c>
      <c r="T536" s="665"/>
      <c r="U536" s="665"/>
      <c r="V536" s="665"/>
      <c r="W536" s="665"/>
      <c r="X536" s="665"/>
      <c r="Y536" s="665"/>
      <c r="Z536" s="665"/>
      <c r="AA536" s="666">
        <v>0</v>
      </c>
      <c r="AB536" s="665"/>
      <c r="AC536" s="665"/>
      <c r="AD536" s="667"/>
      <c r="AE536" s="673"/>
      <c r="AF536" s="667"/>
      <c r="AG536" s="673"/>
      <c r="AH536" s="572"/>
      <c r="AI536" s="673"/>
    </row>
    <row r="537" spans="1:35" ht="13.5" x14ac:dyDescent="0.2">
      <c r="A537" s="674" t="s">
        <v>583</v>
      </c>
      <c r="B537" s="668">
        <v>0</v>
      </c>
      <c r="C537" s="666">
        <v>0</v>
      </c>
      <c r="D537" s="666">
        <v>0</v>
      </c>
      <c r="E537" s="665"/>
      <c r="F537" s="665"/>
      <c r="G537" s="665"/>
      <c r="H537" s="665"/>
      <c r="I537" s="665"/>
      <c r="J537" s="665"/>
      <c r="K537" s="665"/>
      <c r="L537" s="666">
        <v>0</v>
      </c>
      <c r="M537" s="665"/>
      <c r="N537" s="665"/>
      <c r="O537" s="667"/>
      <c r="P537" s="673"/>
      <c r="Q537" s="668">
        <v>0</v>
      </c>
      <c r="R537" s="666">
        <v>0</v>
      </c>
      <c r="S537" s="666">
        <v>0</v>
      </c>
      <c r="T537" s="665"/>
      <c r="U537" s="665"/>
      <c r="V537" s="665"/>
      <c r="W537" s="665"/>
      <c r="X537" s="665"/>
      <c r="Y537" s="665"/>
      <c r="Z537" s="665"/>
      <c r="AA537" s="666">
        <v>0</v>
      </c>
      <c r="AB537" s="665"/>
      <c r="AC537" s="665"/>
      <c r="AD537" s="667"/>
      <c r="AE537" s="673"/>
      <c r="AF537" s="667"/>
      <c r="AG537" s="673"/>
      <c r="AH537" s="674"/>
      <c r="AI537" s="673"/>
    </row>
    <row r="538" spans="1:35" ht="13.5" x14ac:dyDescent="0.2">
      <c r="A538" s="674" t="s">
        <v>584</v>
      </c>
      <c r="B538" s="668">
        <v>3</v>
      </c>
      <c r="C538" s="666">
        <v>1228.25</v>
      </c>
      <c r="D538" s="666">
        <v>1320.94</v>
      </c>
      <c r="E538" s="666"/>
      <c r="F538" s="666"/>
      <c r="G538" s="666"/>
      <c r="H538" s="666"/>
      <c r="I538" s="666"/>
      <c r="J538" s="666"/>
      <c r="K538" s="666">
        <f>+C538+D538+E538+F538+G538+H538+I538+J538</f>
        <v>2549.19</v>
      </c>
      <c r="L538" s="666">
        <v>1000</v>
      </c>
      <c r="M538" s="665">
        <v>1500</v>
      </c>
      <c r="N538" s="666">
        <f>+L538+M538</f>
        <v>2500</v>
      </c>
      <c r="O538" s="666">
        <f>+(K538*12)+N538</f>
        <v>33090.28</v>
      </c>
      <c r="P538" s="666">
        <f>+O538*B538</f>
        <v>99270.84</v>
      </c>
      <c r="Q538" s="668">
        <v>3</v>
      </c>
      <c r="R538" s="666">
        <v>1228.25</v>
      </c>
      <c r="S538" s="666">
        <v>1320.94</v>
      </c>
      <c r="T538" s="666"/>
      <c r="U538" s="666"/>
      <c r="V538" s="666"/>
      <c r="W538" s="666"/>
      <c r="X538" s="666"/>
      <c r="Y538" s="666"/>
      <c r="Z538" s="666">
        <f>+R538+S538+T538+U538+V538+W538+X538+Y538</f>
        <v>2549.19</v>
      </c>
      <c r="AA538" s="666">
        <v>1000</v>
      </c>
      <c r="AB538" s="666"/>
      <c r="AC538" s="666">
        <f>+AA538+AB538</f>
        <v>1000</v>
      </c>
      <c r="AD538" s="666">
        <f>+(Z538*12)+AC538</f>
        <v>31590.28</v>
      </c>
      <c r="AE538" s="666">
        <f>+AD538*Q538</f>
        <v>94770.84</v>
      </c>
      <c r="AF538" s="665">
        <f t="shared" ref="AF538:AG540" si="168">SUM(O538-AD538)</f>
        <v>1500</v>
      </c>
      <c r="AG538" s="665">
        <f t="shared" si="168"/>
        <v>4500</v>
      </c>
      <c r="AH538" s="668">
        <v>3</v>
      </c>
      <c r="AI538" s="666">
        <v>56880.08</v>
      </c>
    </row>
    <row r="539" spans="1:35" ht="13.5" x14ac:dyDescent="0.2">
      <c r="A539" s="674" t="s">
        <v>14</v>
      </c>
      <c r="B539" s="668">
        <v>2</v>
      </c>
      <c r="C539" s="666">
        <v>1292.0899999999999</v>
      </c>
      <c r="D539" s="666">
        <v>1320.94</v>
      </c>
      <c r="E539" s="665"/>
      <c r="F539" s="665"/>
      <c r="G539" s="665"/>
      <c r="H539" s="665"/>
      <c r="I539" s="666"/>
      <c r="J539" s="665"/>
      <c r="K539" s="665">
        <f>+C539+D539+E539+F539+G539+H539+I539+J539</f>
        <v>2613.0299999999997</v>
      </c>
      <c r="L539" s="666">
        <v>1000</v>
      </c>
      <c r="M539" s="665">
        <v>1500</v>
      </c>
      <c r="N539" s="665">
        <f>+L539+M539</f>
        <v>2500</v>
      </c>
      <c r="O539" s="667">
        <f>+(K539*12)+N539</f>
        <v>33856.36</v>
      </c>
      <c r="P539" s="673">
        <f>+O539*B539</f>
        <v>67712.72</v>
      </c>
      <c r="Q539" s="668">
        <v>2</v>
      </c>
      <c r="R539" s="666">
        <v>1292.0899999999999</v>
      </c>
      <c r="S539" s="666">
        <v>1320.94</v>
      </c>
      <c r="T539" s="665"/>
      <c r="U539" s="665"/>
      <c r="V539" s="665"/>
      <c r="W539" s="666"/>
      <c r="X539" s="666"/>
      <c r="Y539" s="665"/>
      <c r="Z539" s="665">
        <f>+R539+S539+T539+U539+V539+W539+X539+Y539</f>
        <v>2613.0299999999997</v>
      </c>
      <c r="AA539" s="666">
        <v>1000</v>
      </c>
      <c r="AB539" s="665"/>
      <c r="AC539" s="665">
        <f>+AA539+AB539</f>
        <v>1000</v>
      </c>
      <c r="AD539" s="667">
        <f>+(Z539*12)+AC539</f>
        <v>32356.359999999997</v>
      </c>
      <c r="AE539" s="673">
        <f>+AD539*Q539</f>
        <v>64712.719999999994</v>
      </c>
      <c r="AF539" s="665">
        <f t="shared" si="168"/>
        <v>1500.0000000000036</v>
      </c>
      <c r="AG539" s="665">
        <f t="shared" si="168"/>
        <v>3000.0000000000073</v>
      </c>
      <c r="AH539" s="572">
        <v>2</v>
      </c>
      <c r="AI539" s="673">
        <v>84470.64</v>
      </c>
    </row>
    <row r="540" spans="1:35" ht="13.5" x14ac:dyDescent="0.2">
      <c r="A540" s="674" t="s">
        <v>585</v>
      </c>
      <c r="B540" s="668">
        <v>1</v>
      </c>
      <c r="C540" s="666">
        <v>1291.76</v>
      </c>
      <c r="D540" s="666">
        <v>1320.94</v>
      </c>
      <c r="E540" s="665"/>
      <c r="F540" s="665"/>
      <c r="G540" s="665"/>
      <c r="H540" s="665"/>
      <c r="I540" s="666"/>
      <c r="J540" s="665"/>
      <c r="K540" s="665">
        <f>+C540+D540+E540+F540+G540+H540+I540+J540</f>
        <v>2612.6999999999998</v>
      </c>
      <c r="L540" s="666">
        <v>1000</v>
      </c>
      <c r="M540" s="665">
        <v>1500</v>
      </c>
      <c r="N540" s="665">
        <f>+L540+M540</f>
        <v>2500</v>
      </c>
      <c r="O540" s="667">
        <f>+(K540*12)+N540</f>
        <v>33852.399999999994</v>
      </c>
      <c r="P540" s="673">
        <f>+O540*B540</f>
        <v>33852.399999999994</v>
      </c>
      <c r="Q540" s="668">
        <v>1</v>
      </c>
      <c r="R540" s="666">
        <v>1291.76</v>
      </c>
      <c r="S540" s="666">
        <v>1320.94</v>
      </c>
      <c r="T540" s="665"/>
      <c r="U540" s="665"/>
      <c r="V540" s="665"/>
      <c r="W540" s="666"/>
      <c r="X540" s="666"/>
      <c r="Y540" s="665"/>
      <c r="Z540" s="665">
        <f>+R540+S540+T540+U540+V540+W540+X540+Y540</f>
        <v>2612.6999999999998</v>
      </c>
      <c r="AA540" s="666">
        <v>1000</v>
      </c>
      <c r="AB540" s="665"/>
      <c r="AC540" s="665">
        <f>+AA540+AB540</f>
        <v>1000</v>
      </c>
      <c r="AD540" s="667">
        <f>+(Z540*12)+AC540</f>
        <v>32352.399999999998</v>
      </c>
      <c r="AE540" s="673">
        <f>+AD540*Q540</f>
        <v>32352.399999999998</v>
      </c>
      <c r="AF540" s="665">
        <f t="shared" si="168"/>
        <v>1499.9999999999964</v>
      </c>
      <c r="AG540" s="665">
        <f t="shared" si="168"/>
        <v>1499.9999999999964</v>
      </c>
      <c r="AH540" s="572">
        <v>1</v>
      </c>
      <c r="AI540" s="673">
        <v>27938.2</v>
      </c>
    </row>
    <row r="541" spans="1:35" ht="13.5" x14ac:dyDescent="0.2">
      <c r="A541" s="590"/>
      <c r="B541" s="670">
        <f t="shared" ref="B541:AH541" si="169">+SUM(B535:B540)</f>
        <v>6</v>
      </c>
      <c r="C541" s="671">
        <f t="shared" si="169"/>
        <v>3812.1000000000004</v>
      </c>
      <c r="D541" s="671">
        <f t="shared" ca="1" si="169"/>
        <v>3950.3999999999996</v>
      </c>
      <c r="E541" s="671">
        <f t="shared" si="169"/>
        <v>0</v>
      </c>
      <c r="F541" s="671">
        <f t="shared" si="169"/>
        <v>0</v>
      </c>
      <c r="G541" s="671">
        <f t="shared" si="169"/>
        <v>0</v>
      </c>
      <c r="H541" s="671">
        <f t="shared" si="169"/>
        <v>0</v>
      </c>
      <c r="I541" s="671">
        <f t="shared" si="169"/>
        <v>0</v>
      </c>
      <c r="J541" s="671">
        <f t="shared" si="169"/>
        <v>0</v>
      </c>
      <c r="K541" s="671">
        <f t="shared" si="169"/>
        <v>7774.9199999999992</v>
      </c>
      <c r="L541" s="671">
        <f t="shared" si="169"/>
        <v>3000</v>
      </c>
      <c r="M541" s="671">
        <f t="shared" si="169"/>
        <v>4500</v>
      </c>
      <c r="N541" s="671">
        <f t="shared" si="169"/>
        <v>7500</v>
      </c>
      <c r="O541" s="672">
        <f t="shared" si="169"/>
        <v>100799.03999999999</v>
      </c>
      <c r="P541" s="672">
        <f t="shared" si="169"/>
        <v>200835.96</v>
      </c>
      <c r="Q541" s="670">
        <f t="shared" si="169"/>
        <v>6</v>
      </c>
      <c r="R541" s="671">
        <f t="shared" si="169"/>
        <v>3812.1000000000004</v>
      </c>
      <c r="S541" s="671">
        <f t="shared" ca="1" si="169"/>
        <v>6700.08</v>
      </c>
      <c r="T541" s="671">
        <f t="shared" si="169"/>
        <v>0</v>
      </c>
      <c r="U541" s="671">
        <f t="shared" si="169"/>
        <v>0</v>
      </c>
      <c r="V541" s="671">
        <f t="shared" si="169"/>
        <v>0</v>
      </c>
      <c r="W541" s="671">
        <f t="shared" si="169"/>
        <v>0</v>
      </c>
      <c r="X541" s="671">
        <f t="shared" si="169"/>
        <v>0</v>
      </c>
      <c r="Y541" s="671">
        <f t="shared" si="169"/>
        <v>0</v>
      </c>
      <c r="Z541" s="671">
        <f t="shared" si="169"/>
        <v>7774.9199999999992</v>
      </c>
      <c r="AA541" s="671">
        <f t="shared" si="169"/>
        <v>3000</v>
      </c>
      <c r="AB541" s="671">
        <f t="shared" si="169"/>
        <v>0</v>
      </c>
      <c r="AC541" s="671">
        <f t="shared" si="169"/>
        <v>3000</v>
      </c>
      <c r="AD541" s="672">
        <f t="shared" si="169"/>
        <v>96299.04</v>
      </c>
      <c r="AE541" s="672">
        <f t="shared" si="169"/>
        <v>191835.96</v>
      </c>
      <c r="AF541" s="672">
        <f t="shared" si="169"/>
        <v>4500</v>
      </c>
      <c r="AG541" s="672">
        <f t="shared" si="169"/>
        <v>9000.0000000000036</v>
      </c>
      <c r="AH541" s="670">
        <f t="shared" si="169"/>
        <v>6</v>
      </c>
      <c r="AI541" s="672">
        <f>SUM(AI535:AI540)</f>
        <v>169288.92</v>
      </c>
    </row>
    <row r="542" spans="1:35" ht="13.5" x14ac:dyDescent="0.2">
      <c r="A542" s="598" t="s">
        <v>5</v>
      </c>
      <c r="B542" s="668"/>
      <c r="C542" s="666"/>
      <c r="D542" s="665"/>
      <c r="E542" s="665"/>
      <c r="F542" s="665"/>
      <c r="G542" s="665"/>
      <c r="H542" s="665"/>
      <c r="I542" s="665"/>
      <c r="J542" s="665"/>
      <c r="K542" s="665"/>
      <c r="L542" s="665"/>
      <c r="M542" s="665"/>
      <c r="N542" s="665"/>
      <c r="O542" s="667"/>
      <c r="P542" s="673"/>
      <c r="Q542" s="668"/>
      <c r="R542" s="666"/>
      <c r="S542" s="665"/>
      <c r="T542" s="665"/>
      <c r="U542" s="665"/>
      <c r="V542" s="665"/>
      <c r="W542" s="665"/>
      <c r="X542" s="665"/>
      <c r="Y542" s="665"/>
      <c r="Z542" s="665"/>
      <c r="AA542" s="665"/>
      <c r="AB542" s="665"/>
      <c r="AC542" s="665"/>
      <c r="AD542" s="667"/>
      <c r="AE542" s="673"/>
      <c r="AF542" s="667"/>
      <c r="AG542" s="673"/>
      <c r="AH542" s="572"/>
      <c r="AI542" s="673"/>
    </row>
    <row r="543" spans="1:35" ht="13.5" x14ac:dyDescent="0.2">
      <c r="A543" s="674" t="s">
        <v>15</v>
      </c>
      <c r="B543" s="668">
        <v>12</v>
      </c>
      <c r="C543" s="666">
        <v>1323.36</v>
      </c>
      <c r="D543" s="666">
        <v>1320.94</v>
      </c>
      <c r="E543" s="665"/>
      <c r="F543" s="665"/>
      <c r="G543" s="665"/>
      <c r="H543" s="665"/>
      <c r="I543" s="666"/>
      <c r="J543" s="665"/>
      <c r="K543" s="665">
        <f t="shared" ref="K543:K548" si="170">+C543+D543+E543+F543+G543+H543+I543+J543</f>
        <v>2644.3</v>
      </c>
      <c r="L543" s="665">
        <v>1000</v>
      </c>
      <c r="M543" s="665">
        <v>1500</v>
      </c>
      <c r="N543" s="665">
        <f t="shared" ref="N543:N548" si="171">+L543+M543</f>
        <v>2500</v>
      </c>
      <c r="O543" s="667">
        <f t="shared" ref="O543:O548" si="172">+(K543*12)+N543</f>
        <v>34231.600000000006</v>
      </c>
      <c r="P543" s="673">
        <f t="shared" ref="P543:P548" si="173">+O543*B543</f>
        <v>410779.20000000007</v>
      </c>
      <c r="Q543" s="668">
        <v>12</v>
      </c>
      <c r="R543" s="666">
        <v>1323.36</v>
      </c>
      <c r="S543" s="666">
        <v>1320.94</v>
      </c>
      <c r="T543" s="665"/>
      <c r="U543" s="665"/>
      <c r="V543" s="665"/>
      <c r="W543" s="666"/>
      <c r="X543" s="666"/>
      <c r="Y543" s="665"/>
      <c r="Z543" s="665">
        <f t="shared" ref="Z543:Z548" si="174">+R543+S543+T543+U543+V543+W543+X543+Y543</f>
        <v>2644.3</v>
      </c>
      <c r="AA543" s="665">
        <v>1000</v>
      </c>
      <c r="AB543" s="665"/>
      <c r="AC543" s="665">
        <f t="shared" ref="AC543:AC548" si="175">+AA543+AB543</f>
        <v>1000</v>
      </c>
      <c r="AD543" s="667">
        <f t="shared" ref="AD543:AD548" si="176">+(Z543*12)+AC543</f>
        <v>32731.600000000002</v>
      </c>
      <c r="AE543" s="673">
        <f t="shared" ref="AE543:AE548" si="177">+AD543*Q543</f>
        <v>392779.2</v>
      </c>
      <c r="AF543" s="665">
        <f t="shared" ref="AF543:AG548" si="178">SUM(O543-AD543)</f>
        <v>1500.0000000000036</v>
      </c>
      <c r="AG543" s="665">
        <f t="shared" si="178"/>
        <v>18000.000000000058</v>
      </c>
      <c r="AH543" s="668">
        <v>12</v>
      </c>
      <c r="AI543" s="673">
        <v>330217.2</v>
      </c>
    </row>
    <row r="544" spans="1:35" ht="13.5" x14ac:dyDescent="0.2">
      <c r="A544" s="674" t="s">
        <v>586</v>
      </c>
      <c r="B544" s="668">
        <v>4</v>
      </c>
      <c r="C544" s="666">
        <v>1276.19</v>
      </c>
      <c r="D544" s="666">
        <v>1320.94</v>
      </c>
      <c r="E544" s="665"/>
      <c r="F544" s="665"/>
      <c r="G544" s="665"/>
      <c r="H544" s="665"/>
      <c r="I544" s="666"/>
      <c r="J544" s="665"/>
      <c r="K544" s="665">
        <f t="shared" si="170"/>
        <v>2597.13</v>
      </c>
      <c r="L544" s="665">
        <v>1000</v>
      </c>
      <c r="M544" s="665">
        <v>1500</v>
      </c>
      <c r="N544" s="665">
        <f t="shared" si="171"/>
        <v>2500</v>
      </c>
      <c r="O544" s="667">
        <f t="shared" si="172"/>
        <v>33665.56</v>
      </c>
      <c r="P544" s="673">
        <f t="shared" si="173"/>
        <v>134662.24</v>
      </c>
      <c r="Q544" s="668">
        <v>4</v>
      </c>
      <c r="R544" s="666">
        <v>1276.19</v>
      </c>
      <c r="S544" s="666">
        <v>1320.94</v>
      </c>
      <c r="T544" s="665"/>
      <c r="U544" s="665"/>
      <c r="V544" s="665"/>
      <c r="W544" s="666"/>
      <c r="X544" s="666"/>
      <c r="Y544" s="665"/>
      <c r="Z544" s="665">
        <f t="shared" si="174"/>
        <v>2597.13</v>
      </c>
      <c r="AA544" s="665">
        <v>1000</v>
      </c>
      <c r="AB544" s="665"/>
      <c r="AC544" s="665">
        <f t="shared" si="175"/>
        <v>1000</v>
      </c>
      <c r="AD544" s="667">
        <f t="shared" si="176"/>
        <v>32165.56</v>
      </c>
      <c r="AE544" s="673">
        <f t="shared" si="177"/>
        <v>128662.24</v>
      </c>
      <c r="AF544" s="665">
        <f t="shared" si="178"/>
        <v>1499.9999999999964</v>
      </c>
      <c r="AG544" s="665">
        <f t="shared" si="178"/>
        <v>5999.9999999999854</v>
      </c>
      <c r="AH544" s="668">
        <v>4</v>
      </c>
      <c r="AI544" s="673">
        <v>109330.12</v>
      </c>
    </row>
    <row r="545" spans="1:35" ht="13.5" x14ac:dyDescent="0.2">
      <c r="A545" s="674" t="s">
        <v>587</v>
      </c>
      <c r="B545" s="668">
        <v>1</v>
      </c>
      <c r="C545" s="666">
        <v>1121.27</v>
      </c>
      <c r="D545" s="666">
        <v>1320.94</v>
      </c>
      <c r="E545" s="665"/>
      <c r="F545" s="665"/>
      <c r="G545" s="665"/>
      <c r="H545" s="665"/>
      <c r="I545" s="666"/>
      <c r="J545" s="665"/>
      <c r="K545" s="665">
        <f t="shared" si="170"/>
        <v>2442.21</v>
      </c>
      <c r="L545" s="665">
        <v>1000</v>
      </c>
      <c r="M545" s="665">
        <v>1500</v>
      </c>
      <c r="N545" s="665">
        <f t="shared" si="171"/>
        <v>2500</v>
      </c>
      <c r="O545" s="667">
        <f t="shared" si="172"/>
        <v>31806.52</v>
      </c>
      <c r="P545" s="673">
        <f t="shared" si="173"/>
        <v>31806.52</v>
      </c>
      <c r="Q545" s="668">
        <v>1</v>
      </c>
      <c r="R545" s="666">
        <v>1121.27</v>
      </c>
      <c r="S545" s="666">
        <v>1320.94</v>
      </c>
      <c r="T545" s="665"/>
      <c r="U545" s="665"/>
      <c r="V545" s="665"/>
      <c r="W545" s="666"/>
      <c r="X545" s="666"/>
      <c r="Y545" s="665"/>
      <c r="Z545" s="665">
        <f t="shared" si="174"/>
        <v>2442.21</v>
      </c>
      <c r="AA545" s="665">
        <v>1000</v>
      </c>
      <c r="AB545" s="665"/>
      <c r="AC545" s="665">
        <f t="shared" si="175"/>
        <v>1000</v>
      </c>
      <c r="AD545" s="667">
        <f t="shared" si="176"/>
        <v>30306.52</v>
      </c>
      <c r="AE545" s="673">
        <f t="shared" si="177"/>
        <v>30306.52</v>
      </c>
      <c r="AF545" s="665">
        <f t="shared" si="178"/>
        <v>1500</v>
      </c>
      <c r="AG545" s="665">
        <f t="shared" si="178"/>
        <v>1500</v>
      </c>
      <c r="AH545" s="668">
        <v>1</v>
      </c>
      <c r="AI545" s="673">
        <v>27358.6</v>
      </c>
    </row>
    <row r="546" spans="1:35" ht="13.5" x14ac:dyDescent="0.2">
      <c r="A546" s="674" t="s">
        <v>588</v>
      </c>
      <c r="B546" s="668">
        <v>6</v>
      </c>
      <c r="C546" s="666">
        <v>1141.5</v>
      </c>
      <c r="D546" s="666">
        <v>1320.94</v>
      </c>
      <c r="E546" s="665"/>
      <c r="F546" s="665"/>
      <c r="G546" s="665"/>
      <c r="H546" s="665"/>
      <c r="I546" s="666"/>
      <c r="J546" s="665"/>
      <c r="K546" s="665">
        <f t="shared" si="170"/>
        <v>2462.44</v>
      </c>
      <c r="L546" s="665">
        <v>1000</v>
      </c>
      <c r="M546" s="665">
        <v>1500</v>
      </c>
      <c r="N546" s="665">
        <f t="shared" si="171"/>
        <v>2500</v>
      </c>
      <c r="O546" s="667">
        <f t="shared" si="172"/>
        <v>32049.279999999999</v>
      </c>
      <c r="P546" s="673">
        <f t="shared" si="173"/>
        <v>192295.67999999999</v>
      </c>
      <c r="Q546" s="668">
        <v>6</v>
      </c>
      <c r="R546" s="666">
        <v>1141.5</v>
      </c>
      <c r="S546" s="666">
        <v>1320.94</v>
      </c>
      <c r="T546" s="665"/>
      <c r="U546" s="665"/>
      <c r="V546" s="665"/>
      <c r="W546" s="666"/>
      <c r="X546" s="666"/>
      <c r="Y546" s="665"/>
      <c r="Z546" s="665">
        <f t="shared" si="174"/>
        <v>2462.44</v>
      </c>
      <c r="AA546" s="665">
        <v>1000</v>
      </c>
      <c r="AB546" s="665"/>
      <c r="AC546" s="665">
        <f t="shared" si="175"/>
        <v>1000</v>
      </c>
      <c r="AD546" s="667">
        <f t="shared" si="176"/>
        <v>30549.279999999999</v>
      </c>
      <c r="AE546" s="673">
        <f t="shared" si="177"/>
        <v>183295.68</v>
      </c>
      <c r="AF546" s="665">
        <f t="shared" si="178"/>
        <v>1500</v>
      </c>
      <c r="AG546" s="665">
        <f t="shared" si="178"/>
        <v>9000</v>
      </c>
      <c r="AH546" s="668">
        <v>6</v>
      </c>
      <c r="AI546" s="673">
        <v>109143.16</v>
      </c>
    </row>
    <row r="547" spans="1:35" ht="13.5" x14ac:dyDescent="0.2">
      <c r="A547" s="674" t="s">
        <v>643</v>
      </c>
      <c r="B547" s="668">
        <v>2</v>
      </c>
      <c r="C547" s="666">
        <v>1119.9000000000001</v>
      </c>
      <c r="D547" s="666">
        <v>1320.94</v>
      </c>
      <c r="E547" s="665"/>
      <c r="F547" s="665"/>
      <c r="G547" s="665"/>
      <c r="H547" s="665"/>
      <c r="I547" s="666"/>
      <c r="J547" s="665"/>
      <c r="K547" s="665">
        <f t="shared" si="170"/>
        <v>2440.84</v>
      </c>
      <c r="L547" s="665">
        <v>1000</v>
      </c>
      <c r="M547" s="665">
        <v>1500</v>
      </c>
      <c r="N547" s="665">
        <f t="shared" si="171"/>
        <v>2500</v>
      </c>
      <c r="O547" s="667">
        <f t="shared" si="172"/>
        <v>31790.080000000002</v>
      </c>
      <c r="P547" s="673">
        <f t="shared" si="173"/>
        <v>63580.160000000003</v>
      </c>
      <c r="Q547" s="668">
        <v>2</v>
      </c>
      <c r="R547" s="666">
        <v>1119.9000000000001</v>
      </c>
      <c r="S547" s="666">
        <v>1320.94</v>
      </c>
      <c r="T547" s="665"/>
      <c r="U547" s="665"/>
      <c r="V547" s="665"/>
      <c r="W547" s="666"/>
      <c r="X547" s="666"/>
      <c r="Y547" s="665"/>
      <c r="Z547" s="665">
        <f t="shared" si="174"/>
        <v>2440.84</v>
      </c>
      <c r="AA547" s="665">
        <v>1000</v>
      </c>
      <c r="AB547" s="665"/>
      <c r="AC547" s="665">
        <f t="shared" si="175"/>
        <v>1000</v>
      </c>
      <c r="AD547" s="667">
        <f t="shared" si="176"/>
        <v>30290.080000000002</v>
      </c>
      <c r="AE547" s="673">
        <f t="shared" si="177"/>
        <v>60580.160000000003</v>
      </c>
      <c r="AF547" s="665">
        <f t="shared" si="178"/>
        <v>1500</v>
      </c>
      <c r="AG547" s="665">
        <f t="shared" si="178"/>
        <v>3000</v>
      </c>
      <c r="AH547" s="668">
        <v>2</v>
      </c>
      <c r="AI547" s="673">
        <v>76291.839999999997</v>
      </c>
    </row>
    <row r="548" spans="1:35" ht="13.5" x14ac:dyDescent="0.2">
      <c r="A548" s="674" t="s">
        <v>589</v>
      </c>
      <c r="B548" s="668">
        <v>3</v>
      </c>
      <c r="C548" s="666">
        <v>1119.1500000000001</v>
      </c>
      <c r="D548" s="666">
        <v>1320.94</v>
      </c>
      <c r="E548" s="665"/>
      <c r="F548" s="665"/>
      <c r="G548" s="665"/>
      <c r="H548" s="665"/>
      <c r="I548" s="666"/>
      <c r="J548" s="665"/>
      <c r="K548" s="665">
        <f t="shared" si="170"/>
        <v>2440.09</v>
      </c>
      <c r="L548" s="665">
        <v>1000</v>
      </c>
      <c r="M548" s="665">
        <v>1500</v>
      </c>
      <c r="N548" s="665">
        <f t="shared" si="171"/>
        <v>2500</v>
      </c>
      <c r="O548" s="667">
        <f t="shared" si="172"/>
        <v>31781.08</v>
      </c>
      <c r="P548" s="673">
        <f t="shared" si="173"/>
        <v>95343.24</v>
      </c>
      <c r="Q548" s="668">
        <v>3</v>
      </c>
      <c r="R548" s="666">
        <v>1119.1500000000001</v>
      </c>
      <c r="S548" s="666">
        <v>1320.94</v>
      </c>
      <c r="T548" s="665"/>
      <c r="U548" s="665"/>
      <c r="V548" s="665"/>
      <c r="W548" s="666"/>
      <c r="X548" s="666"/>
      <c r="Y548" s="665"/>
      <c r="Z548" s="665">
        <f t="shared" si="174"/>
        <v>2440.09</v>
      </c>
      <c r="AA548" s="665">
        <v>1000</v>
      </c>
      <c r="AB548" s="665"/>
      <c r="AC548" s="665">
        <f t="shared" si="175"/>
        <v>1000</v>
      </c>
      <c r="AD548" s="667">
        <f t="shared" si="176"/>
        <v>30281.08</v>
      </c>
      <c r="AE548" s="673">
        <f t="shared" si="177"/>
        <v>90843.24</v>
      </c>
      <c r="AF548" s="665">
        <f t="shared" si="178"/>
        <v>1500</v>
      </c>
      <c r="AG548" s="665">
        <f t="shared" si="178"/>
        <v>4500</v>
      </c>
      <c r="AH548" s="668">
        <v>3</v>
      </c>
      <c r="AI548" s="673">
        <v>114437.75999999999</v>
      </c>
    </row>
    <row r="549" spans="1:35" ht="13.5" x14ac:dyDescent="0.2">
      <c r="A549" s="590"/>
      <c r="B549" s="670">
        <f t="shared" ref="B549:AH549" si="179">+SUM(B543:B548)</f>
        <v>28</v>
      </c>
      <c r="C549" s="671">
        <f t="shared" si="179"/>
        <v>7101.369999999999</v>
      </c>
      <c r="D549" s="671">
        <f t="shared" si="179"/>
        <v>7925.6400000000012</v>
      </c>
      <c r="E549" s="671">
        <f t="shared" si="179"/>
        <v>0</v>
      </c>
      <c r="F549" s="671">
        <f t="shared" si="179"/>
        <v>0</v>
      </c>
      <c r="G549" s="671">
        <f t="shared" si="179"/>
        <v>0</v>
      </c>
      <c r="H549" s="671">
        <f t="shared" si="179"/>
        <v>0</v>
      </c>
      <c r="I549" s="671">
        <f t="shared" si="179"/>
        <v>0</v>
      </c>
      <c r="J549" s="671">
        <f t="shared" si="179"/>
        <v>0</v>
      </c>
      <c r="K549" s="671">
        <f t="shared" si="179"/>
        <v>15027.01</v>
      </c>
      <c r="L549" s="671">
        <f t="shared" si="179"/>
        <v>6000</v>
      </c>
      <c r="M549" s="671">
        <f t="shared" si="179"/>
        <v>9000</v>
      </c>
      <c r="N549" s="671">
        <f t="shared" si="179"/>
        <v>15000</v>
      </c>
      <c r="O549" s="672">
        <f t="shared" si="179"/>
        <v>195324.12000000005</v>
      </c>
      <c r="P549" s="672">
        <f t="shared" si="179"/>
        <v>928467.04000000015</v>
      </c>
      <c r="Q549" s="670">
        <f t="shared" si="179"/>
        <v>28</v>
      </c>
      <c r="R549" s="671">
        <f t="shared" si="179"/>
        <v>7101.369999999999</v>
      </c>
      <c r="S549" s="671">
        <f t="shared" si="179"/>
        <v>7925.6400000000012</v>
      </c>
      <c r="T549" s="671">
        <f t="shared" si="179"/>
        <v>0</v>
      </c>
      <c r="U549" s="671">
        <f t="shared" si="179"/>
        <v>0</v>
      </c>
      <c r="V549" s="671">
        <f t="shared" si="179"/>
        <v>0</v>
      </c>
      <c r="W549" s="671">
        <f t="shared" si="179"/>
        <v>0</v>
      </c>
      <c r="X549" s="671">
        <f t="shared" si="179"/>
        <v>0</v>
      </c>
      <c r="Y549" s="671">
        <f t="shared" si="179"/>
        <v>0</v>
      </c>
      <c r="Z549" s="671">
        <f t="shared" si="179"/>
        <v>15027.01</v>
      </c>
      <c r="AA549" s="671">
        <f t="shared" si="179"/>
        <v>6000</v>
      </c>
      <c r="AB549" s="671">
        <f t="shared" si="179"/>
        <v>0</v>
      </c>
      <c r="AC549" s="671">
        <f t="shared" si="179"/>
        <v>6000</v>
      </c>
      <c r="AD549" s="672">
        <f t="shared" si="179"/>
        <v>186324.12</v>
      </c>
      <c r="AE549" s="672">
        <f t="shared" si="179"/>
        <v>886467.03999999992</v>
      </c>
      <c r="AF549" s="672">
        <f t="shared" si="179"/>
        <v>9000</v>
      </c>
      <c r="AG549" s="672">
        <f t="shared" si="179"/>
        <v>42000.000000000044</v>
      </c>
      <c r="AH549" s="670">
        <f t="shared" si="179"/>
        <v>28</v>
      </c>
      <c r="AI549" s="672">
        <f>SUM(AI543:AI548)</f>
        <v>766778.67999999993</v>
      </c>
    </row>
    <row r="550" spans="1:35" ht="13.5" x14ac:dyDescent="0.2">
      <c r="A550" s="598" t="s">
        <v>6</v>
      </c>
      <c r="B550" s="668"/>
      <c r="C550" s="666"/>
      <c r="D550" s="665"/>
      <c r="E550" s="665"/>
      <c r="F550" s="665"/>
      <c r="G550" s="665"/>
      <c r="H550" s="665"/>
      <c r="I550" s="665"/>
      <c r="J550" s="665"/>
      <c r="K550" s="665"/>
      <c r="L550" s="665"/>
      <c r="M550" s="665"/>
      <c r="N550" s="665"/>
      <c r="O550" s="667"/>
      <c r="P550" s="673"/>
      <c r="Q550" s="668"/>
      <c r="R550" s="666"/>
      <c r="S550" s="665"/>
      <c r="T550" s="665"/>
      <c r="U550" s="665"/>
      <c r="V550" s="665"/>
      <c r="W550" s="665"/>
      <c r="X550" s="665"/>
      <c r="Y550" s="665"/>
      <c r="Z550" s="665"/>
      <c r="AA550" s="665"/>
      <c r="AB550" s="665"/>
      <c r="AC550" s="665"/>
      <c r="AD550" s="667"/>
      <c r="AE550" s="673"/>
      <c r="AF550" s="667"/>
      <c r="AG550" s="673"/>
      <c r="AH550" s="572"/>
      <c r="AI550" s="673"/>
    </row>
    <row r="551" spans="1:35" ht="13.5" x14ac:dyDescent="0.2">
      <c r="A551" s="674" t="s">
        <v>16</v>
      </c>
      <c r="B551" s="668">
        <v>9</v>
      </c>
      <c r="C551" s="666">
        <v>1120.32</v>
      </c>
      <c r="D551" s="666">
        <v>1320.94</v>
      </c>
      <c r="E551" s="665"/>
      <c r="F551" s="665"/>
      <c r="G551" s="665"/>
      <c r="H551" s="665"/>
      <c r="I551" s="666"/>
      <c r="J551" s="665"/>
      <c r="K551" s="665">
        <f>+C551+D551+E551+F551+G551+H551+I551+J551</f>
        <v>2441.2600000000002</v>
      </c>
      <c r="L551" s="666">
        <v>1000</v>
      </c>
      <c r="M551" s="665">
        <v>1500</v>
      </c>
      <c r="N551" s="665">
        <f>+L551+M551</f>
        <v>2500</v>
      </c>
      <c r="O551" s="667">
        <f>+(K551*12)+N551</f>
        <v>31795.120000000003</v>
      </c>
      <c r="P551" s="673">
        <f>+O551*B551</f>
        <v>286156.08</v>
      </c>
      <c r="Q551" s="668">
        <v>9</v>
      </c>
      <c r="R551" s="666">
        <v>1120.32</v>
      </c>
      <c r="S551" s="666">
        <v>1320.94</v>
      </c>
      <c r="T551" s="665"/>
      <c r="U551" s="665"/>
      <c r="V551" s="665"/>
      <c r="W551" s="666"/>
      <c r="X551" s="665"/>
      <c r="Y551" s="665"/>
      <c r="Z551" s="665">
        <f>+R551+S551+T551+U551+V551+W551+X551+Y551</f>
        <v>2441.2600000000002</v>
      </c>
      <c r="AA551" s="666">
        <v>1000</v>
      </c>
      <c r="AB551" s="665"/>
      <c r="AC551" s="665">
        <f>+AA551+AB551</f>
        <v>1000</v>
      </c>
      <c r="AD551" s="667">
        <f>+(Z551*12)+AC551</f>
        <v>30295.120000000003</v>
      </c>
      <c r="AE551" s="673">
        <f>+AD551*Q551</f>
        <v>272656.08</v>
      </c>
      <c r="AF551" s="665">
        <f>SUM(O551-AD551)</f>
        <v>1500</v>
      </c>
      <c r="AG551" s="665">
        <f>SUM(P551-AE551)</f>
        <v>13500</v>
      </c>
      <c r="AH551" s="572">
        <v>10</v>
      </c>
      <c r="AI551" s="673">
        <v>269487.76</v>
      </c>
    </row>
    <row r="552" spans="1:35" ht="13.5" x14ac:dyDescent="0.2">
      <c r="A552" s="674" t="s">
        <v>590</v>
      </c>
      <c r="B552" s="668">
        <v>0</v>
      </c>
      <c r="C552" s="666">
        <v>0</v>
      </c>
      <c r="D552" s="666"/>
      <c r="E552" s="665"/>
      <c r="F552" s="665"/>
      <c r="G552" s="665"/>
      <c r="H552" s="665"/>
      <c r="I552" s="665"/>
      <c r="J552" s="665"/>
      <c r="K552" s="665">
        <f>+C552+D552+E552+F552+G552+H552+I552+J552</f>
        <v>0</v>
      </c>
      <c r="L552" s="666">
        <v>0</v>
      </c>
      <c r="M552" s="665"/>
      <c r="N552" s="665"/>
      <c r="O552" s="667"/>
      <c r="P552" s="673"/>
      <c r="Q552" s="668">
        <v>0</v>
      </c>
      <c r="R552" s="666">
        <v>0</v>
      </c>
      <c r="S552" s="666">
        <v>0</v>
      </c>
      <c r="T552" s="665"/>
      <c r="U552" s="665"/>
      <c r="V552" s="665"/>
      <c r="W552" s="665"/>
      <c r="X552" s="665"/>
      <c r="Y552" s="665"/>
      <c r="Z552" s="665">
        <f>+R552+S552+T552+U552+V552+W552+X552+Y552</f>
        <v>0</v>
      </c>
      <c r="AA552" s="666">
        <v>0</v>
      </c>
      <c r="AB552" s="665"/>
      <c r="AC552" s="665"/>
      <c r="AD552" s="667"/>
      <c r="AE552" s="673"/>
      <c r="AF552" s="667"/>
      <c r="AG552" s="673"/>
      <c r="AH552" s="572"/>
      <c r="AI552" s="673"/>
    </row>
    <row r="553" spans="1:35" ht="13.5" x14ac:dyDescent="0.2">
      <c r="A553" s="674" t="s">
        <v>591</v>
      </c>
      <c r="B553" s="668">
        <v>1</v>
      </c>
      <c r="C553" s="666">
        <v>1100.18</v>
      </c>
      <c r="D553" s="666">
        <v>1320.94</v>
      </c>
      <c r="E553" s="665"/>
      <c r="F553" s="665"/>
      <c r="G553" s="665"/>
      <c r="H553" s="665"/>
      <c r="I553" s="666"/>
      <c r="J553" s="665"/>
      <c r="K553" s="665">
        <f>+C553+D553+E553+F553+G553+H553+I553+J553</f>
        <v>2421.12</v>
      </c>
      <c r="L553" s="666">
        <v>1000</v>
      </c>
      <c r="M553" s="665">
        <v>1500</v>
      </c>
      <c r="N553" s="665">
        <f>+L553+M553</f>
        <v>2500</v>
      </c>
      <c r="O553" s="667">
        <f>+(K553*12)+N553</f>
        <v>31553.439999999999</v>
      </c>
      <c r="P553" s="673">
        <f>+O553*B553</f>
        <v>31553.439999999999</v>
      </c>
      <c r="Q553" s="668">
        <v>1</v>
      </c>
      <c r="R553" s="666">
        <v>1100.18</v>
      </c>
      <c r="S553" s="666">
        <v>1320.94</v>
      </c>
      <c r="T553" s="665"/>
      <c r="U553" s="665"/>
      <c r="V553" s="665"/>
      <c r="W553" s="666"/>
      <c r="X553" s="665"/>
      <c r="Y553" s="665"/>
      <c r="Z553" s="665">
        <f>+R553+S553+T553+U553+V553+W553+X553+Y553</f>
        <v>2421.12</v>
      </c>
      <c r="AA553" s="666">
        <v>1000</v>
      </c>
      <c r="AB553" s="665"/>
      <c r="AC553" s="665">
        <f>+AA553+AB553</f>
        <v>1000</v>
      </c>
      <c r="AD553" s="667">
        <f>+(Z553*12)+AC553</f>
        <v>30053.439999999999</v>
      </c>
      <c r="AE553" s="673">
        <f>+AD553*Q553</f>
        <v>30053.439999999999</v>
      </c>
      <c r="AF553" s="665">
        <f>SUM(O553-AD553)</f>
        <v>1500</v>
      </c>
      <c r="AG553" s="665">
        <f>SUM(P553-AE553)</f>
        <v>1500</v>
      </c>
      <c r="AH553" s="572">
        <v>1</v>
      </c>
      <c r="AI553" s="673">
        <v>26454.52</v>
      </c>
    </row>
    <row r="554" spans="1:35" ht="13.5" x14ac:dyDescent="0.2">
      <c r="A554" s="674" t="s">
        <v>644</v>
      </c>
      <c r="B554" s="668">
        <v>0</v>
      </c>
      <c r="C554" s="666">
        <v>0</v>
      </c>
      <c r="D554" s="666">
        <v>0</v>
      </c>
      <c r="E554" s="665"/>
      <c r="F554" s="665"/>
      <c r="G554" s="665"/>
      <c r="H554" s="665"/>
      <c r="I554" s="665"/>
      <c r="J554" s="665"/>
      <c r="K554" s="665"/>
      <c r="L554" s="666">
        <v>0</v>
      </c>
      <c r="M554" s="665"/>
      <c r="N554" s="665"/>
      <c r="O554" s="667"/>
      <c r="P554" s="673"/>
      <c r="Q554" s="668">
        <v>0</v>
      </c>
      <c r="R554" s="666">
        <v>0</v>
      </c>
      <c r="S554" s="666">
        <v>0</v>
      </c>
      <c r="T554" s="665"/>
      <c r="U554" s="665"/>
      <c r="V554" s="665"/>
      <c r="W554" s="665"/>
      <c r="X554" s="665"/>
      <c r="Y554" s="665"/>
      <c r="Z554" s="665"/>
      <c r="AA554" s="666">
        <v>0</v>
      </c>
      <c r="AB554" s="665"/>
      <c r="AC554" s="665"/>
      <c r="AD554" s="667"/>
      <c r="AE554" s="673"/>
      <c r="AF554" s="667"/>
      <c r="AG554" s="673"/>
      <c r="AH554" s="572"/>
      <c r="AI554" s="673"/>
    </row>
    <row r="555" spans="1:35" ht="13.5" x14ac:dyDescent="0.2">
      <c r="A555" s="674" t="s">
        <v>645</v>
      </c>
      <c r="B555" s="668">
        <v>0</v>
      </c>
      <c r="C555" s="666">
        <v>0</v>
      </c>
      <c r="D555" s="666">
        <v>0</v>
      </c>
      <c r="E555" s="665"/>
      <c r="F555" s="665"/>
      <c r="G555" s="665"/>
      <c r="H555" s="665"/>
      <c r="I555" s="665"/>
      <c r="J555" s="665"/>
      <c r="K555" s="665"/>
      <c r="L555" s="666">
        <v>0</v>
      </c>
      <c r="M555" s="665"/>
      <c r="N555" s="665"/>
      <c r="O555" s="667"/>
      <c r="P555" s="673"/>
      <c r="Q555" s="668">
        <v>0</v>
      </c>
      <c r="R555" s="666">
        <v>0</v>
      </c>
      <c r="S555" s="666">
        <v>0</v>
      </c>
      <c r="T555" s="665"/>
      <c r="U555" s="665"/>
      <c r="V555" s="665"/>
      <c r="W555" s="665"/>
      <c r="X555" s="665"/>
      <c r="Y555" s="665"/>
      <c r="Z555" s="665"/>
      <c r="AA555" s="666">
        <v>0</v>
      </c>
      <c r="AB555" s="665"/>
      <c r="AC555" s="665"/>
      <c r="AD555" s="667"/>
      <c r="AE555" s="673"/>
      <c r="AF555" s="667"/>
      <c r="AG555" s="673"/>
      <c r="AH555" s="572"/>
      <c r="AI555" s="673"/>
    </row>
    <row r="556" spans="1:35" ht="13.5" x14ac:dyDescent="0.2">
      <c r="A556" s="674" t="s">
        <v>646</v>
      </c>
      <c r="B556" s="668">
        <v>0</v>
      </c>
      <c r="C556" s="666">
        <v>0</v>
      </c>
      <c r="D556" s="666">
        <v>0</v>
      </c>
      <c r="E556" s="665"/>
      <c r="F556" s="665"/>
      <c r="G556" s="665"/>
      <c r="H556" s="665"/>
      <c r="I556" s="665"/>
      <c r="J556" s="665"/>
      <c r="K556" s="665"/>
      <c r="L556" s="666">
        <v>0</v>
      </c>
      <c r="M556" s="665"/>
      <c r="N556" s="665"/>
      <c r="O556" s="667"/>
      <c r="P556" s="673"/>
      <c r="Q556" s="668">
        <v>0</v>
      </c>
      <c r="R556" s="666">
        <v>0</v>
      </c>
      <c r="S556" s="666">
        <v>0</v>
      </c>
      <c r="T556" s="665"/>
      <c r="U556" s="665"/>
      <c r="V556" s="665"/>
      <c r="W556" s="665"/>
      <c r="X556" s="665"/>
      <c r="Y556" s="665"/>
      <c r="Z556" s="665"/>
      <c r="AA556" s="666">
        <v>0</v>
      </c>
      <c r="AB556" s="665"/>
      <c r="AC556" s="665"/>
      <c r="AD556" s="667"/>
      <c r="AE556" s="673"/>
      <c r="AF556" s="667"/>
      <c r="AG556" s="673"/>
      <c r="AH556" s="572"/>
      <c r="AI556" s="673"/>
    </row>
    <row r="557" spans="1:35" ht="13.5" x14ac:dyDescent="0.2">
      <c r="A557" s="675" t="s">
        <v>778</v>
      </c>
      <c r="B557" s="670">
        <f t="shared" ref="B557:AH557" si="180">+SUM(B551:B556)</f>
        <v>10</v>
      </c>
      <c r="C557" s="671">
        <f t="shared" si="180"/>
        <v>2220.5</v>
      </c>
      <c r="D557" s="671">
        <f t="shared" si="180"/>
        <v>2641.88</v>
      </c>
      <c r="E557" s="671">
        <f t="shared" si="180"/>
        <v>0</v>
      </c>
      <c r="F557" s="671">
        <f t="shared" si="180"/>
        <v>0</v>
      </c>
      <c r="G557" s="671">
        <f t="shared" si="180"/>
        <v>0</v>
      </c>
      <c r="H557" s="671">
        <f t="shared" si="180"/>
        <v>0</v>
      </c>
      <c r="I557" s="671">
        <f t="shared" si="180"/>
        <v>0</v>
      </c>
      <c r="J557" s="671">
        <f t="shared" si="180"/>
        <v>0</v>
      </c>
      <c r="K557" s="671">
        <f t="shared" si="180"/>
        <v>4862.38</v>
      </c>
      <c r="L557" s="671">
        <f t="shared" si="180"/>
        <v>2000</v>
      </c>
      <c r="M557" s="671">
        <f t="shared" si="180"/>
        <v>3000</v>
      </c>
      <c r="N557" s="671">
        <f t="shared" si="180"/>
        <v>5000</v>
      </c>
      <c r="O557" s="672">
        <f t="shared" si="180"/>
        <v>63348.56</v>
      </c>
      <c r="P557" s="672">
        <f t="shared" si="180"/>
        <v>317709.52</v>
      </c>
      <c r="Q557" s="670">
        <f t="shared" si="180"/>
        <v>10</v>
      </c>
      <c r="R557" s="671">
        <f t="shared" si="180"/>
        <v>2220.5</v>
      </c>
      <c r="S557" s="671">
        <f t="shared" si="180"/>
        <v>2641.88</v>
      </c>
      <c r="T557" s="671">
        <f t="shared" si="180"/>
        <v>0</v>
      </c>
      <c r="U557" s="671">
        <f t="shared" si="180"/>
        <v>0</v>
      </c>
      <c r="V557" s="671">
        <f t="shared" si="180"/>
        <v>0</v>
      </c>
      <c r="W557" s="671">
        <f t="shared" si="180"/>
        <v>0</v>
      </c>
      <c r="X557" s="671">
        <f t="shared" si="180"/>
        <v>0</v>
      </c>
      <c r="Y557" s="671">
        <f t="shared" si="180"/>
        <v>0</v>
      </c>
      <c r="Z557" s="671">
        <f t="shared" si="180"/>
        <v>4862.38</v>
      </c>
      <c r="AA557" s="671">
        <f t="shared" si="180"/>
        <v>2000</v>
      </c>
      <c r="AB557" s="671">
        <f t="shared" si="180"/>
        <v>0</v>
      </c>
      <c r="AC557" s="671">
        <f t="shared" si="180"/>
        <v>2000</v>
      </c>
      <c r="AD557" s="672">
        <f t="shared" si="180"/>
        <v>60348.56</v>
      </c>
      <c r="AE557" s="672">
        <f t="shared" si="180"/>
        <v>302709.52</v>
      </c>
      <c r="AF557" s="672">
        <f t="shared" si="180"/>
        <v>3000</v>
      </c>
      <c r="AG557" s="672">
        <f t="shared" si="180"/>
        <v>15000</v>
      </c>
      <c r="AH557" s="670">
        <f t="shared" si="180"/>
        <v>11</v>
      </c>
      <c r="AI557" s="672">
        <f>SUM(AI551:AI556)</f>
        <v>295942.28000000003</v>
      </c>
    </row>
    <row r="558" spans="1:35" ht="13.5" x14ac:dyDescent="0.2">
      <c r="A558" s="675" t="s">
        <v>779</v>
      </c>
      <c r="B558" s="670">
        <f t="shared" ref="B558:AH558" si="181">+B533+B541+B549+B557</f>
        <v>47</v>
      </c>
      <c r="C558" s="671">
        <f t="shared" si="181"/>
        <v>17708.52</v>
      </c>
      <c r="D558" s="671">
        <f t="shared" ca="1" si="181"/>
        <v>19406.399999999998</v>
      </c>
      <c r="E558" s="671">
        <f t="shared" si="181"/>
        <v>0</v>
      </c>
      <c r="F558" s="671">
        <f t="shared" si="181"/>
        <v>0</v>
      </c>
      <c r="G558" s="671">
        <f t="shared" si="181"/>
        <v>0</v>
      </c>
      <c r="H558" s="671">
        <f t="shared" si="181"/>
        <v>0</v>
      </c>
      <c r="I558" s="671">
        <f t="shared" si="181"/>
        <v>0</v>
      </c>
      <c r="J558" s="671">
        <f t="shared" si="181"/>
        <v>0</v>
      </c>
      <c r="K558" s="671">
        <f t="shared" si="181"/>
        <v>37160.46</v>
      </c>
      <c r="L558" s="671">
        <f t="shared" si="181"/>
        <v>13000</v>
      </c>
      <c r="M558" s="671">
        <f t="shared" si="181"/>
        <v>19500</v>
      </c>
      <c r="N558" s="671">
        <f t="shared" si="181"/>
        <v>32500</v>
      </c>
      <c r="O558" s="672">
        <f t="shared" si="181"/>
        <v>478425.52000000008</v>
      </c>
      <c r="P558" s="672">
        <f t="shared" si="181"/>
        <v>1642333.4000000001</v>
      </c>
      <c r="Q558" s="670">
        <f t="shared" si="181"/>
        <v>47</v>
      </c>
      <c r="R558" s="671">
        <f t="shared" si="181"/>
        <v>17708.52</v>
      </c>
      <c r="S558" s="671">
        <f t="shared" ca="1" si="181"/>
        <v>53640.240000000005</v>
      </c>
      <c r="T558" s="671">
        <f t="shared" si="181"/>
        <v>0</v>
      </c>
      <c r="U558" s="671">
        <f t="shared" si="181"/>
        <v>0</v>
      </c>
      <c r="V558" s="671">
        <f t="shared" si="181"/>
        <v>0</v>
      </c>
      <c r="W558" s="671">
        <f t="shared" si="181"/>
        <v>0</v>
      </c>
      <c r="X558" s="671">
        <f t="shared" si="181"/>
        <v>0</v>
      </c>
      <c r="Y558" s="671">
        <f t="shared" si="181"/>
        <v>0</v>
      </c>
      <c r="Z558" s="671">
        <f t="shared" si="181"/>
        <v>37160.46</v>
      </c>
      <c r="AA558" s="671">
        <f t="shared" si="181"/>
        <v>13000</v>
      </c>
      <c r="AB558" s="671">
        <f t="shared" si="181"/>
        <v>0</v>
      </c>
      <c r="AC558" s="671">
        <f t="shared" si="181"/>
        <v>13000</v>
      </c>
      <c r="AD558" s="672">
        <f t="shared" si="181"/>
        <v>458925.51999999996</v>
      </c>
      <c r="AE558" s="672">
        <f t="shared" si="181"/>
        <v>1571833.4</v>
      </c>
      <c r="AF558" s="672">
        <f t="shared" si="181"/>
        <v>19500</v>
      </c>
      <c r="AG558" s="672">
        <f t="shared" si="181"/>
        <v>70500.000000000044</v>
      </c>
      <c r="AH558" s="670">
        <f t="shared" si="181"/>
        <v>48</v>
      </c>
      <c r="AI558" s="672">
        <f>SUM(AI533+AI541+AI549+AI557)</f>
        <v>1379492.4000000001</v>
      </c>
    </row>
    <row r="559" spans="1:35" ht="13.5" x14ac:dyDescent="0.2">
      <c r="A559" s="676"/>
      <c r="B559" s="668"/>
      <c r="C559" s="666"/>
      <c r="D559" s="665"/>
      <c r="E559" s="665"/>
      <c r="F559" s="665"/>
      <c r="G559" s="665"/>
      <c r="H559" s="665"/>
      <c r="I559" s="665"/>
      <c r="J559" s="665"/>
      <c r="K559" s="665"/>
      <c r="L559" s="665"/>
      <c r="M559" s="665"/>
      <c r="N559" s="665"/>
      <c r="O559" s="667"/>
      <c r="P559" s="673"/>
      <c r="Q559" s="668"/>
      <c r="R559" s="666"/>
      <c r="S559" s="665"/>
      <c r="T559" s="665"/>
      <c r="U559" s="665"/>
      <c r="V559" s="665"/>
      <c r="W559" s="665"/>
      <c r="X559" s="665"/>
      <c r="Y559" s="665"/>
      <c r="Z559" s="665"/>
      <c r="AA559" s="665"/>
      <c r="AB559" s="665"/>
      <c r="AC559" s="665"/>
      <c r="AD559" s="667"/>
      <c r="AE559" s="673"/>
      <c r="AF559" s="667"/>
      <c r="AG559" s="673"/>
      <c r="AH559" s="572"/>
      <c r="AI559" s="673"/>
    </row>
    <row r="560" spans="1:35" ht="13.5" x14ac:dyDescent="0.2">
      <c r="A560" s="677" t="s">
        <v>755</v>
      </c>
      <c r="B560" s="668"/>
      <c r="C560" s="666"/>
      <c r="D560" s="665"/>
      <c r="E560" s="665"/>
      <c r="F560" s="665"/>
      <c r="G560" s="665"/>
      <c r="H560" s="665"/>
      <c r="I560" s="665"/>
      <c r="J560" s="665"/>
      <c r="K560" s="665"/>
      <c r="L560" s="665"/>
      <c r="M560" s="665"/>
      <c r="N560" s="665"/>
      <c r="O560" s="667"/>
      <c r="P560" s="673"/>
      <c r="Q560" s="668"/>
      <c r="R560" s="666"/>
      <c r="S560" s="665"/>
      <c r="T560" s="665"/>
      <c r="U560" s="665"/>
      <c r="V560" s="665"/>
      <c r="W560" s="665"/>
      <c r="X560" s="665"/>
      <c r="Y560" s="665"/>
      <c r="Z560" s="665"/>
      <c r="AA560" s="665"/>
      <c r="AB560" s="665"/>
      <c r="AC560" s="665"/>
      <c r="AD560" s="667"/>
      <c r="AE560" s="673"/>
      <c r="AF560" s="667"/>
      <c r="AG560" s="673"/>
      <c r="AH560" s="572"/>
      <c r="AI560" s="673"/>
    </row>
    <row r="561" spans="1:35" ht="13.5" x14ac:dyDescent="0.2">
      <c r="A561" s="674" t="s">
        <v>13</v>
      </c>
      <c r="B561" s="668">
        <v>0</v>
      </c>
      <c r="C561" s="666">
        <v>0</v>
      </c>
      <c r="D561" s="665"/>
      <c r="E561" s="665"/>
      <c r="F561" s="665"/>
      <c r="G561" s="665"/>
      <c r="H561" s="665"/>
      <c r="I561" s="665"/>
      <c r="J561" s="665"/>
      <c r="K561" s="665"/>
      <c r="L561" s="666">
        <v>0</v>
      </c>
      <c r="M561" s="665"/>
      <c r="N561" s="665"/>
      <c r="O561" s="667"/>
      <c r="P561" s="673"/>
      <c r="Q561" s="668">
        <v>0</v>
      </c>
      <c r="R561" s="666">
        <v>0</v>
      </c>
      <c r="S561" s="665"/>
      <c r="T561" s="665"/>
      <c r="U561" s="665"/>
      <c r="V561" s="665"/>
      <c r="W561" s="665"/>
      <c r="X561" s="665"/>
      <c r="Y561" s="665"/>
      <c r="Z561" s="665"/>
      <c r="AA561" s="666">
        <v>0</v>
      </c>
      <c r="AB561" s="665"/>
      <c r="AC561" s="665"/>
      <c r="AD561" s="667"/>
      <c r="AE561" s="673"/>
      <c r="AF561" s="667"/>
      <c r="AG561" s="673"/>
      <c r="AH561" s="572"/>
      <c r="AI561" s="673"/>
    </row>
    <row r="562" spans="1:35" ht="13.5" x14ac:dyDescent="0.2">
      <c r="A562" s="674" t="s">
        <v>582</v>
      </c>
      <c r="B562" s="668">
        <v>0</v>
      </c>
      <c r="C562" s="666">
        <v>0</v>
      </c>
      <c r="D562" s="665"/>
      <c r="E562" s="665"/>
      <c r="F562" s="665"/>
      <c r="G562" s="665"/>
      <c r="H562" s="665"/>
      <c r="I562" s="665"/>
      <c r="J562" s="665"/>
      <c r="K562" s="665"/>
      <c r="L562" s="666">
        <v>0</v>
      </c>
      <c r="M562" s="665"/>
      <c r="N562" s="665"/>
      <c r="O562" s="667"/>
      <c r="P562" s="673"/>
      <c r="Q562" s="668">
        <v>0</v>
      </c>
      <c r="R562" s="666">
        <v>0</v>
      </c>
      <c r="S562" s="665"/>
      <c r="T562" s="665"/>
      <c r="U562" s="665"/>
      <c r="V562" s="665"/>
      <c r="W562" s="665"/>
      <c r="X562" s="665"/>
      <c r="Y562" s="665"/>
      <c r="Z562" s="665"/>
      <c r="AA562" s="666">
        <v>0</v>
      </c>
      <c r="AB562" s="665"/>
      <c r="AC562" s="665"/>
      <c r="AD562" s="667"/>
      <c r="AE562" s="673"/>
      <c r="AF562" s="667"/>
      <c r="AG562" s="673"/>
      <c r="AH562" s="572"/>
      <c r="AI562" s="673"/>
    </row>
    <row r="563" spans="1:35" ht="13.5" x14ac:dyDescent="0.2">
      <c r="A563" s="674" t="s">
        <v>583</v>
      </c>
      <c r="B563" s="668">
        <v>0</v>
      </c>
      <c r="C563" s="666">
        <v>0</v>
      </c>
      <c r="D563" s="665"/>
      <c r="E563" s="665"/>
      <c r="F563" s="665"/>
      <c r="G563" s="665"/>
      <c r="H563" s="665"/>
      <c r="I563" s="665"/>
      <c r="J563" s="665"/>
      <c r="K563" s="665"/>
      <c r="L563" s="666">
        <v>0</v>
      </c>
      <c r="M563" s="665"/>
      <c r="N563" s="665"/>
      <c r="O563" s="667"/>
      <c r="P563" s="673"/>
      <c r="Q563" s="668">
        <v>0</v>
      </c>
      <c r="R563" s="666">
        <v>0</v>
      </c>
      <c r="S563" s="665"/>
      <c r="T563" s="665"/>
      <c r="U563" s="665"/>
      <c r="V563" s="665"/>
      <c r="W563" s="665"/>
      <c r="X563" s="665"/>
      <c r="Y563" s="665"/>
      <c r="Z563" s="665"/>
      <c r="AA563" s="666">
        <v>0</v>
      </c>
      <c r="AB563" s="665"/>
      <c r="AC563" s="665"/>
      <c r="AD563" s="667"/>
      <c r="AE563" s="673"/>
      <c r="AF563" s="667"/>
      <c r="AG563" s="673"/>
      <c r="AH563" s="572"/>
      <c r="AI563" s="673"/>
    </row>
    <row r="564" spans="1:35" ht="13.5" x14ac:dyDescent="0.2">
      <c r="A564" s="674" t="s">
        <v>584</v>
      </c>
      <c r="B564" s="668">
        <v>0</v>
      </c>
      <c r="C564" s="666">
        <v>0</v>
      </c>
      <c r="D564" s="665"/>
      <c r="E564" s="665"/>
      <c r="F564" s="665"/>
      <c r="G564" s="665"/>
      <c r="H564" s="665"/>
      <c r="I564" s="665"/>
      <c r="J564" s="665"/>
      <c r="K564" s="665"/>
      <c r="L564" s="666">
        <v>0</v>
      </c>
      <c r="M564" s="665"/>
      <c r="N564" s="665"/>
      <c r="O564" s="667"/>
      <c r="P564" s="673"/>
      <c r="Q564" s="668">
        <v>0</v>
      </c>
      <c r="R564" s="666">
        <v>0</v>
      </c>
      <c r="S564" s="665"/>
      <c r="T564" s="665"/>
      <c r="U564" s="665"/>
      <c r="V564" s="665"/>
      <c r="W564" s="665"/>
      <c r="X564" s="665"/>
      <c r="Y564" s="665"/>
      <c r="Z564" s="665"/>
      <c r="AA564" s="666">
        <v>0</v>
      </c>
      <c r="AB564" s="665"/>
      <c r="AC564" s="665"/>
      <c r="AD564" s="667"/>
      <c r="AE564" s="673"/>
      <c r="AF564" s="667"/>
      <c r="AG564" s="673"/>
      <c r="AH564" s="572"/>
      <c r="AI564" s="673"/>
    </row>
    <row r="565" spans="1:35" ht="13.5" x14ac:dyDescent="0.2">
      <c r="A565" s="674" t="s">
        <v>14</v>
      </c>
      <c r="B565" s="668">
        <v>2</v>
      </c>
      <c r="C565" s="666">
        <v>2380</v>
      </c>
      <c r="D565" s="665"/>
      <c r="E565" s="665"/>
      <c r="F565" s="665"/>
      <c r="G565" s="665"/>
      <c r="H565" s="665"/>
      <c r="I565" s="666"/>
      <c r="J565" s="665">
        <v>433</v>
      </c>
      <c r="K565" s="665">
        <f>+C565+D565+E565+F565+G565+H565+I565+J565</f>
        <v>2813</v>
      </c>
      <c r="L565" s="666">
        <v>1000</v>
      </c>
      <c r="M565" s="666">
        <v>8700</v>
      </c>
      <c r="N565" s="665">
        <f>+L565+M565</f>
        <v>9700</v>
      </c>
      <c r="O565" s="667">
        <f>+(K565*12)+N565</f>
        <v>43456</v>
      </c>
      <c r="P565" s="673">
        <f>+O565*B565</f>
        <v>86912</v>
      </c>
      <c r="Q565" s="668">
        <v>2</v>
      </c>
      <c r="R565" s="666">
        <v>2380</v>
      </c>
      <c r="S565" s="665"/>
      <c r="T565" s="665"/>
      <c r="U565" s="665"/>
      <c r="V565" s="665"/>
      <c r="W565" s="666"/>
      <c r="X565" s="665"/>
      <c r="Y565" s="665">
        <v>550</v>
      </c>
      <c r="Z565" s="665">
        <f>+R565+S565+T565+U565+V565+W565+X565+Y565</f>
        <v>2930</v>
      </c>
      <c r="AA565" s="666">
        <v>1000</v>
      </c>
      <c r="AB565" s="665">
        <v>7500</v>
      </c>
      <c r="AC565" s="665">
        <f>+AA565+AB565</f>
        <v>8500</v>
      </c>
      <c r="AD565" s="667">
        <f>+(Z565*12)+AC565</f>
        <v>43660</v>
      </c>
      <c r="AE565" s="673">
        <f>+AD565*Q565</f>
        <v>87320</v>
      </c>
      <c r="AF565" s="665">
        <f>SUM(O565-AD565)</f>
        <v>-204</v>
      </c>
      <c r="AG565" s="665">
        <f>SUM(P565-AE565)</f>
        <v>-408</v>
      </c>
      <c r="AH565" s="572">
        <v>2</v>
      </c>
      <c r="AI565" s="673">
        <v>78229.16</v>
      </c>
    </row>
    <row r="566" spans="1:35" ht="13.5" x14ac:dyDescent="0.2">
      <c r="A566" s="674" t="s">
        <v>585</v>
      </c>
      <c r="B566" s="668">
        <v>3</v>
      </c>
      <c r="C566" s="666">
        <v>2324</v>
      </c>
      <c r="D566" s="665"/>
      <c r="E566" s="665"/>
      <c r="F566" s="665"/>
      <c r="G566" s="665"/>
      <c r="H566" s="665"/>
      <c r="I566" s="666"/>
      <c r="J566" s="665">
        <v>426</v>
      </c>
      <c r="K566" s="665">
        <f>+C566+D566+E566+F566+G566+H566+I566+J566</f>
        <v>2750</v>
      </c>
      <c r="L566" s="666">
        <v>1000</v>
      </c>
      <c r="M566" s="666">
        <v>8700</v>
      </c>
      <c r="N566" s="665">
        <f>+L566+M566</f>
        <v>9700</v>
      </c>
      <c r="O566" s="667">
        <f>+(K566*12)+N566</f>
        <v>42700</v>
      </c>
      <c r="P566" s="673">
        <f>+O566*B566</f>
        <v>128100</v>
      </c>
      <c r="Q566" s="668">
        <v>3</v>
      </c>
      <c r="R566" s="666">
        <v>2324</v>
      </c>
      <c r="S566" s="665"/>
      <c r="T566" s="665"/>
      <c r="U566" s="665"/>
      <c r="V566" s="665"/>
      <c r="W566" s="666"/>
      <c r="X566" s="665"/>
      <c r="Y566" s="665">
        <v>500</v>
      </c>
      <c r="Z566" s="665">
        <f>+R566+S566+T566+U566+V566+W566+X566+Y566</f>
        <v>2824</v>
      </c>
      <c r="AA566" s="666">
        <v>1000</v>
      </c>
      <c r="AB566" s="665">
        <v>7500</v>
      </c>
      <c r="AC566" s="665">
        <f>+AA566+AB566</f>
        <v>8500</v>
      </c>
      <c r="AD566" s="667">
        <f>+(Z566*12)+AC566</f>
        <v>42388</v>
      </c>
      <c r="AE566" s="673">
        <f>+AD566*Q566</f>
        <v>127164</v>
      </c>
      <c r="AF566" s="665">
        <f>SUM(O566-AD566)</f>
        <v>312</v>
      </c>
      <c r="AG566" s="665">
        <f>SUM(P566-AE566)</f>
        <v>936</v>
      </c>
      <c r="AH566" s="572">
        <v>3</v>
      </c>
      <c r="AI566" s="673">
        <v>119072.52</v>
      </c>
    </row>
    <row r="567" spans="1:35" ht="13.5" x14ac:dyDescent="0.2">
      <c r="A567" s="590"/>
      <c r="B567" s="670">
        <f t="shared" ref="B567:AI567" si="182">SUM(B561:B566)</f>
        <v>5</v>
      </c>
      <c r="C567" s="671">
        <f t="shared" si="182"/>
        <v>4704</v>
      </c>
      <c r="D567" s="671">
        <f t="shared" si="182"/>
        <v>0</v>
      </c>
      <c r="E567" s="671">
        <f t="shared" si="182"/>
        <v>0</v>
      </c>
      <c r="F567" s="671">
        <f t="shared" si="182"/>
        <v>0</v>
      </c>
      <c r="G567" s="671">
        <f t="shared" si="182"/>
        <v>0</v>
      </c>
      <c r="H567" s="671">
        <f t="shared" si="182"/>
        <v>0</v>
      </c>
      <c r="I567" s="671">
        <f t="shared" si="182"/>
        <v>0</v>
      </c>
      <c r="J567" s="671">
        <f t="shared" si="182"/>
        <v>859</v>
      </c>
      <c r="K567" s="671">
        <f t="shared" si="182"/>
        <v>5563</v>
      </c>
      <c r="L567" s="671">
        <f t="shared" si="182"/>
        <v>2000</v>
      </c>
      <c r="M567" s="671">
        <f t="shared" si="182"/>
        <v>17400</v>
      </c>
      <c r="N567" s="671">
        <f t="shared" si="182"/>
        <v>19400</v>
      </c>
      <c r="O567" s="672">
        <f t="shared" si="182"/>
        <v>86156</v>
      </c>
      <c r="P567" s="672">
        <f t="shared" si="182"/>
        <v>215012</v>
      </c>
      <c r="Q567" s="670">
        <f t="shared" si="182"/>
        <v>5</v>
      </c>
      <c r="R567" s="671">
        <f t="shared" si="182"/>
        <v>4704</v>
      </c>
      <c r="S567" s="671">
        <f t="shared" si="182"/>
        <v>0</v>
      </c>
      <c r="T567" s="671">
        <f t="shared" si="182"/>
        <v>0</v>
      </c>
      <c r="U567" s="671">
        <f t="shared" si="182"/>
        <v>0</v>
      </c>
      <c r="V567" s="671">
        <f t="shared" si="182"/>
        <v>0</v>
      </c>
      <c r="W567" s="671">
        <f t="shared" si="182"/>
        <v>0</v>
      </c>
      <c r="X567" s="671">
        <f t="shared" si="182"/>
        <v>0</v>
      </c>
      <c r="Y567" s="671">
        <f t="shared" si="182"/>
        <v>1050</v>
      </c>
      <c r="Z567" s="671">
        <f t="shared" si="182"/>
        <v>5754</v>
      </c>
      <c r="AA567" s="671">
        <f t="shared" si="182"/>
        <v>2000</v>
      </c>
      <c r="AB567" s="671">
        <f t="shared" si="182"/>
        <v>15000</v>
      </c>
      <c r="AC567" s="671">
        <f t="shared" si="182"/>
        <v>17000</v>
      </c>
      <c r="AD567" s="672">
        <f t="shared" si="182"/>
        <v>86048</v>
      </c>
      <c r="AE567" s="672">
        <f t="shared" si="182"/>
        <v>214484</v>
      </c>
      <c r="AF567" s="672">
        <f t="shared" si="182"/>
        <v>108</v>
      </c>
      <c r="AG567" s="672">
        <f t="shared" si="182"/>
        <v>528</v>
      </c>
      <c r="AH567" s="670">
        <f t="shared" si="182"/>
        <v>5</v>
      </c>
      <c r="AI567" s="672">
        <f t="shared" si="182"/>
        <v>197301.68</v>
      </c>
    </row>
    <row r="568" spans="1:35" ht="13.5" x14ac:dyDescent="0.2">
      <c r="A568" s="678" t="s">
        <v>780</v>
      </c>
      <c r="B568" s="668"/>
      <c r="C568" s="666"/>
      <c r="D568" s="665"/>
      <c r="E568" s="665"/>
      <c r="F568" s="665"/>
      <c r="G568" s="665"/>
      <c r="H568" s="665"/>
      <c r="I568" s="665"/>
      <c r="J568" s="665"/>
      <c r="K568" s="665"/>
      <c r="L568" s="665"/>
      <c r="M568" s="665"/>
      <c r="N568" s="665"/>
      <c r="O568" s="667"/>
      <c r="P568" s="673"/>
      <c r="Q568" s="668"/>
      <c r="R568" s="666"/>
      <c r="S568" s="665"/>
      <c r="T568" s="665"/>
      <c r="U568" s="665"/>
      <c r="V568" s="665"/>
      <c r="W568" s="665"/>
      <c r="X568" s="665"/>
      <c r="Y568" s="665"/>
      <c r="Z568" s="665"/>
      <c r="AA568" s="665"/>
      <c r="AB568" s="665"/>
      <c r="AC568" s="665"/>
      <c r="AD568" s="667"/>
      <c r="AE568" s="673"/>
      <c r="AF568" s="667"/>
      <c r="AG568" s="673"/>
      <c r="AH568" s="572"/>
      <c r="AI568" s="673"/>
    </row>
    <row r="569" spans="1:35" ht="13.5" x14ac:dyDescent="0.2">
      <c r="A569" s="674" t="s">
        <v>15</v>
      </c>
      <c r="B569" s="668">
        <v>27</v>
      </c>
      <c r="C569" s="666">
        <v>2145</v>
      </c>
      <c r="D569" s="665"/>
      <c r="E569" s="665"/>
      <c r="F569" s="665"/>
      <c r="G569" s="665"/>
      <c r="H569" s="665"/>
      <c r="I569" s="665">
        <v>158</v>
      </c>
      <c r="J569" s="665">
        <v>201</v>
      </c>
      <c r="K569" s="665">
        <f t="shared" ref="K569:K574" si="183">+C569+D569+E569+F569+G569+H569+I569+J569</f>
        <v>2504</v>
      </c>
      <c r="L569" s="666">
        <v>1000</v>
      </c>
      <c r="M569" s="666">
        <v>8700</v>
      </c>
      <c r="N569" s="665">
        <f t="shared" ref="N569:N574" si="184">+L569+M569</f>
        <v>9700</v>
      </c>
      <c r="O569" s="667">
        <f t="shared" ref="O569:O574" si="185">+(K569*12)+N569</f>
        <v>39748</v>
      </c>
      <c r="P569" s="673">
        <f t="shared" ref="P569:P574" si="186">+O569*B569</f>
        <v>1073196</v>
      </c>
      <c r="Q569" s="668">
        <v>27</v>
      </c>
      <c r="R569" s="666">
        <v>2145</v>
      </c>
      <c r="S569" s="665"/>
      <c r="T569" s="665"/>
      <c r="U569" s="665"/>
      <c r="V569" s="665"/>
      <c r="W569" s="665"/>
      <c r="X569" s="665">
        <v>158</v>
      </c>
      <c r="Y569" s="665">
        <v>550</v>
      </c>
      <c r="Z569" s="665">
        <f t="shared" ref="Z569:Z574" si="187">+R569+S569+T569+U569+V569+W569+X569+Y569</f>
        <v>2853</v>
      </c>
      <c r="AA569" s="666">
        <v>1000</v>
      </c>
      <c r="AB569" s="665">
        <v>7500</v>
      </c>
      <c r="AC569" s="665">
        <f t="shared" ref="AC569:AC574" si="188">+AA569+AB569</f>
        <v>8500</v>
      </c>
      <c r="AD569" s="667">
        <f t="shared" ref="AD569:AD574" si="189">+(Z569*12)+AC569</f>
        <v>42736</v>
      </c>
      <c r="AE569" s="673">
        <f t="shared" ref="AE569:AE574" si="190">+AD569*Q569</f>
        <v>1153872</v>
      </c>
      <c r="AF569" s="665">
        <f t="shared" ref="AF569:AG574" si="191">SUM(O569-AD569)</f>
        <v>-2988</v>
      </c>
      <c r="AG569" s="665">
        <f t="shared" si="191"/>
        <v>-80676</v>
      </c>
      <c r="AH569" s="668">
        <v>27</v>
      </c>
      <c r="AI569" s="673">
        <v>991170.36</v>
      </c>
    </row>
    <row r="570" spans="1:35" ht="13.5" x14ac:dyDescent="0.2">
      <c r="A570" s="674" t="s">
        <v>586</v>
      </c>
      <c r="B570" s="668">
        <v>14</v>
      </c>
      <c r="C570" s="666">
        <v>2127</v>
      </c>
      <c r="D570" s="665"/>
      <c r="E570" s="665"/>
      <c r="F570" s="665"/>
      <c r="G570" s="665"/>
      <c r="H570" s="665"/>
      <c r="I570" s="665"/>
      <c r="J570" s="665">
        <v>200</v>
      </c>
      <c r="K570" s="665">
        <f t="shared" si="183"/>
        <v>2327</v>
      </c>
      <c r="L570" s="666">
        <v>1000</v>
      </c>
      <c r="M570" s="666">
        <v>8700</v>
      </c>
      <c r="N570" s="665">
        <f t="shared" si="184"/>
        <v>9700</v>
      </c>
      <c r="O570" s="667">
        <f t="shared" si="185"/>
        <v>37624</v>
      </c>
      <c r="P570" s="673">
        <f t="shared" si="186"/>
        <v>526736</v>
      </c>
      <c r="Q570" s="668">
        <v>14</v>
      </c>
      <c r="R570" s="666">
        <v>2127</v>
      </c>
      <c r="S570" s="665"/>
      <c r="T570" s="665"/>
      <c r="U570" s="665"/>
      <c r="V570" s="665"/>
      <c r="W570" s="665"/>
      <c r="X570" s="665"/>
      <c r="Y570" s="665">
        <v>500</v>
      </c>
      <c r="Z570" s="665">
        <f t="shared" si="187"/>
        <v>2627</v>
      </c>
      <c r="AA570" s="666">
        <v>1000</v>
      </c>
      <c r="AB570" s="665">
        <v>7500</v>
      </c>
      <c r="AC570" s="665">
        <f t="shared" si="188"/>
        <v>8500</v>
      </c>
      <c r="AD570" s="667">
        <f t="shared" si="189"/>
        <v>40024</v>
      </c>
      <c r="AE570" s="673">
        <f t="shared" si="190"/>
        <v>560336</v>
      </c>
      <c r="AF570" s="665">
        <f t="shared" si="191"/>
        <v>-2400</v>
      </c>
      <c r="AG570" s="665">
        <f t="shared" si="191"/>
        <v>-33600</v>
      </c>
      <c r="AH570" s="668">
        <v>16</v>
      </c>
      <c r="AI570" s="673">
        <v>575822.43999999994</v>
      </c>
    </row>
    <row r="571" spans="1:35" ht="13.5" x14ac:dyDescent="0.2">
      <c r="A571" s="674" t="s">
        <v>587</v>
      </c>
      <c r="B571" s="668">
        <v>92</v>
      </c>
      <c r="C571" s="666">
        <v>2109</v>
      </c>
      <c r="D571" s="665"/>
      <c r="E571" s="665"/>
      <c r="F571" s="665"/>
      <c r="G571" s="665"/>
      <c r="H571" s="665"/>
      <c r="I571" s="665">
        <v>158</v>
      </c>
      <c r="J571" s="665">
        <v>131</v>
      </c>
      <c r="K571" s="665">
        <f t="shared" si="183"/>
        <v>2398</v>
      </c>
      <c r="L571" s="666">
        <v>1000</v>
      </c>
      <c r="M571" s="666">
        <v>8700</v>
      </c>
      <c r="N571" s="665">
        <f t="shared" si="184"/>
        <v>9700</v>
      </c>
      <c r="O571" s="667">
        <f t="shared" si="185"/>
        <v>38476</v>
      </c>
      <c r="P571" s="673">
        <f t="shared" si="186"/>
        <v>3539792</v>
      </c>
      <c r="Q571" s="668">
        <v>92</v>
      </c>
      <c r="R571" s="666">
        <v>2109</v>
      </c>
      <c r="S571" s="665"/>
      <c r="T571" s="665"/>
      <c r="U571" s="665"/>
      <c r="V571" s="665"/>
      <c r="W571" s="665"/>
      <c r="X571" s="665">
        <v>158</v>
      </c>
      <c r="Y571" s="665">
        <v>450</v>
      </c>
      <c r="Z571" s="665">
        <f t="shared" si="187"/>
        <v>2717</v>
      </c>
      <c r="AA571" s="666">
        <v>1000</v>
      </c>
      <c r="AB571" s="665">
        <v>7500</v>
      </c>
      <c r="AC571" s="665">
        <f t="shared" si="188"/>
        <v>8500</v>
      </c>
      <c r="AD571" s="667">
        <f t="shared" si="189"/>
        <v>41104</v>
      </c>
      <c r="AE571" s="673">
        <f t="shared" si="190"/>
        <v>3781568</v>
      </c>
      <c r="AF571" s="665">
        <f t="shared" si="191"/>
        <v>-2628</v>
      </c>
      <c r="AG571" s="665">
        <f t="shared" si="191"/>
        <v>-241776</v>
      </c>
      <c r="AH571" s="668">
        <v>95</v>
      </c>
      <c r="AI571" s="673">
        <v>3752901.48</v>
      </c>
    </row>
    <row r="572" spans="1:35" ht="13.5" x14ac:dyDescent="0.2">
      <c r="A572" s="674" t="s">
        <v>588</v>
      </c>
      <c r="B572" s="668">
        <v>4</v>
      </c>
      <c r="C572" s="666">
        <v>2091</v>
      </c>
      <c r="D572" s="665"/>
      <c r="E572" s="665"/>
      <c r="F572" s="665"/>
      <c r="G572" s="665"/>
      <c r="H572" s="665"/>
      <c r="I572" s="665">
        <v>158</v>
      </c>
      <c r="J572" s="665">
        <v>158</v>
      </c>
      <c r="K572" s="665">
        <f t="shared" si="183"/>
        <v>2407</v>
      </c>
      <c r="L572" s="666">
        <v>1000</v>
      </c>
      <c r="M572" s="666">
        <v>8700</v>
      </c>
      <c r="N572" s="665">
        <f t="shared" si="184"/>
        <v>9700</v>
      </c>
      <c r="O572" s="667">
        <f t="shared" si="185"/>
        <v>38584</v>
      </c>
      <c r="P572" s="673">
        <f t="shared" si="186"/>
        <v>154336</v>
      </c>
      <c r="Q572" s="668">
        <v>4</v>
      </c>
      <c r="R572" s="666">
        <v>2091</v>
      </c>
      <c r="S572" s="665"/>
      <c r="T572" s="665"/>
      <c r="U572" s="665"/>
      <c r="V572" s="665"/>
      <c r="W572" s="665"/>
      <c r="X572" s="665">
        <v>158</v>
      </c>
      <c r="Y572" s="665">
        <v>350</v>
      </c>
      <c r="Z572" s="665">
        <f t="shared" si="187"/>
        <v>2599</v>
      </c>
      <c r="AA572" s="666">
        <v>1000</v>
      </c>
      <c r="AB572" s="665">
        <v>7500</v>
      </c>
      <c r="AC572" s="665">
        <f t="shared" si="188"/>
        <v>8500</v>
      </c>
      <c r="AD572" s="667">
        <f t="shared" si="189"/>
        <v>39688</v>
      </c>
      <c r="AE572" s="673">
        <f t="shared" si="190"/>
        <v>158752</v>
      </c>
      <c r="AF572" s="665">
        <f t="shared" si="191"/>
        <v>-1104</v>
      </c>
      <c r="AG572" s="665">
        <f t="shared" si="191"/>
        <v>-4416</v>
      </c>
      <c r="AH572" s="668">
        <v>2</v>
      </c>
      <c r="AI572" s="673">
        <v>68232.08</v>
      </c>
    </row>
    <row r="573" spans="1:35" ht="13.5" x14ac:dyDescent="0.2">
      <c r="A573" s="674" t="s">
        <v>643</v>
      </c>
      <c r="B573" s="668">
        <v>4</v>
      </c>
      <c r="C573" s="666">
        <v>2078</v>
      </c>
      <c r="D573" s="665"/>
      <c r="E573" s="665"/>
      <c r="F573" s="665"/>
      <c r="G573" s="665"/>
      <c r="H573" s="665"/>
      <c r="I573" s="665">
        <v>150</v>
      </c>
      <c r="J573" s="665">
        <v>366</v>
      </c>
      <c r="K573" s="665">
        <f t="shared" si="183"/>
        <v>2594</v>
      </c>
      <c r="L573" s="666">
        <v>1000</v>
      </c>
      <c r="M573" s="666">
        <v>8700</v>
      </c>
      <c r="N573" s="665">
        <f t="shared" si="184"/>
        <v>9700</v>
      </c>
      <c r="O573" s="667">
        <f t="shared" si="185"/>
        <v>40828</v>
      </c>
      <c r="P573" s="673">
        <f t="shared" si="186"/>
        <v>163312</v>
      </c>
      <c r="Q573" s="668">
        <v>4</v>
      </c>
      <c r="R573" s="666">
        <v>2078</v>
      </c>
      <c r="S573" s="665"/>
      <c r="T573" s="665"/>
      <c r="U573" s="665"/>
      <c r="V573" s="665"/>
      <c r="W573" s="665"/>
      <c r="X573" s="665">
        <v>150</v>
      </c>
      <c r="Y573" s="665">
        <v>350</v>
      </c>
      <c r="Z573" s="665">
        <f t="shared" si="187"/>
        <v>2578</v>
      </c>
      <c r="AA573" s="666">
        <v>1000</v>
      </c>
      <c r="AB573" s="665">
        <v>7500</v>
      </c>
      <c r="AC573" s="665">
        <f t="shared" si="188"/>
        <v>8500</v>
      </c>
      <c r="AD573" s="667">
        <f t="shared" si="189"/>
        <v>39436</v>
      </c>
      <c r="AE573" s="673">
        <f t="shared" si="190"/>
        <v>157744</v>
      </c>
      <c r="AF573" s="665">
        <f t="shared" si="191"/>
        <v>1392</v>
      </c>
      <c r="AG573" s="665">
        <f t="shared" si="191"/>
        <v>5568</v>
      </c>
      <c r="AH573" s="668">
        <v>3</v>
      </c>
      <c r="AI573" s="673">
        <v>113648.76</v>
      </c>
    </row>
    <row r="574" spans="1:35" ht="13.5" x14ac:dyDescent="0.2">
      <c r="A574" s="674" t="s">
        <v>589</v>
      </c>
      <c r="B574" s="668">
        <v>45</v>
      </c>
      <c r="C574" s="666">
        <v>2068</v>
      </c>
      <c r="D574" s="665"/>
      <c r="E574" s="665"/>
      <c r="F574" s="665"/>
      <c r="G574" s="665"/>
      <c r="H574" s="665"/>
      <c r="I574" s="665">
        <v>150</v>
      </c>
      <c r="J574" s="665">
        <v>166.93</v>
      </c>
      <c r="K574" s="665">
        <f t="shared" si="183"/>
        <v>2384.9299999999998</v>
      </c>
      <c r="L574" s="666">
        <v>1000</v>
      </c>
      <c r="M574" s="666">
        <v>8700</v>
      </c>
      <c r="N574" s="665">
        <f t="shared" si="184"/>
        <v>9700</v>
      </c>
      <c r="O574" s="667">
        <f t="shared" si="185"/>
        <v>38319.159999999996</v>
      </c>
      <c r="P574" s="673">
        <f t="shared" si="186"/>
        <v>1724362.1999999997</v>
      </c>
      <c r="Q574" s="668">
        <v>45</v>
      </c>
      <c r="R574" s="666">
        <v>2068</v>
      </c>
      <c r="S574" s="665"/>
      <c r="T574" s="665"/>
      <c r="U574" s="665"/>
      <c r="V574" s="665"/>
      <c r="W574" s="665"/>
      <c r="X574" s="665">
        <v>150</v>
      </c>
      <c r="Y574" s="665">
        <v>350</v>
      </c>
      <c r="Z574" s="665">
        <f t="shared" si="187"/>
        <v>2568</v>
      </c>
      <c r="AA574" s="666">
        <v>1000</v>
      </c>
      <c r="AB574" s="665">
        <v>7500</v>
      </c>
      <c r="AC574" s="665">
        <f t="shared" si="188"/>
        <v>8500</v>
      </c>
      <c r="AD574" s="667">
        <f t="shared" si="189"/>
        <v>39316</v>
      </c>
      <c r="AE574" s="673">
        <f t="shared" si="190"/>
        <v>1769220</v>
      </c>
      <c r="AF574" s="665">
        <f t="shared" si="191"/>
        <v>-996.84000000000378</v>
      </c>
      <c r="AG574" s="665">
        <f t="shared" si="191"/>
        <v>-44857.800000000279</v>
      </c>
      <c r="AH574" s="668">
        <v>42</v>
      </c>
      <c r="AI574" s="673">
        <v>1623631.8</v>
      </c>
    </row>
    <row r="575" spans="1:35" ht="13.5" x14ac:dyDescent="0.2">
      <c r="A575" s="674"/>
      <c r="B575" s="670">
        <f t="shared" ref="B575:AI575" si="192">SUM(B569:B574)</f>
        <v>186</v>
      </c>
      <c r="C575" s="671">
        <f t="shared" si="192"/>
        <v>12618</v>
      </c>
      <c r="D575" s="671">
        <f t="shared" si="192"/>
        <v>0</v>
      </c>
      <c r="E575" s="671">
        <f t="shared" si="192"/>
        <v>0</v>
      </c>
      <c r="F575" s="671">
        <f t="shared" si="192"/>
        <v>0</v>
      </c>
      <c r="G575" s="671">
        <f t="shared" si="192"/>
        <v>0</v>
      </c>
      <c r="H575" s="671">
        <f t="shared" si="192"/>
        <v>0</v>
      </c>
      <c r="I575" s="671">
        <f t="shared" si="192"/>
        <v>774</v>
      </c>
      <c r="J575" s="671">
        <f t="shared" si="192"/>
        <v>1222.93</v>
      </c>
      <c r="K575" s="671">
        <f t="shared" si="192"/>
        <v>14614.93</v>
      </c>
      <c r="L575" s="671">
        <f t="shared" si="192"/>
        <v>6000</v>
      </c>
      <c r="M575" s="671">
        <f t="shared" si="192"/>
        <v>52200</v>
      </c>
      <c r="N575" s="671">
        <f t="shared" si="192"/>
        <v>58200</v>
      </c>
      <c r="O575" s="672">
        <f t="shared" si="192"/>
        <v>233579.16</v>
      </c>
      <c r="P575" s="672">
        <f t="shared" si="192"/>
        <v>7181734.1999999993</v>
      </c>
      <c r="Q575" s="670">
        <f t="shared" si="192"/>
        <v>186</v>
      </c>
      <c r="R575" s="671">
        <f t="shared" si="192"/>
        <v>12618</v>
      </c>
      <c r="S575" s="671">
        <f t="shared" si="192"/>
        <v>0</v>
      </c>
      <c r="T575" s="671">
        <f t="shared" si="192"/>
        <v>0</v>
      </c>
      <c r="U575" s="671">
        <f t="shared" si="192"/>
        <v>0</v>
      </c>
      <c r="V575" s="671">
        <f t="shared" si="192"/>
        <v>0</v>
      </c>
      <c r="W575" s="671">
        <f t="shared" si="192"/>
        <v>0</v>
      </c>
      <c r="X575" s="671">
        <f t="shared" si="192"/>
        <v>774</v>
      </c>
      <c r="Y575" s="671">
        <f t="shared" si="192"/>
        <v>2550</v>
      </c>
      <c r="Z575" s="671">
        <f t="shared" si="192"/>
        <v>15942</v>
      </c>
      <c r="AA575" s="671">
        <f t="shared" si="192"/>
        <v>6000</v>
      </c>
      <c r="AB575" s="671">
        <f t="shared" si="192"/>
        <v>45000</v>
      </c>
      <c r="AC575" s="671">
        <f t="shared" si="192"/>
        <v>51000</v>
      </c>
      <c r="AD575" s="672">
        <f t="shared" si="192"/>
        <v>242304</v>
      </c>
      <c r="AE575" s="672">
        <f t="shared" si="192"/>
        <v>7581492</v>
      </c>
      <c r="AF575" s="672">
        <f t="shared" si="192"/>
        <v>-8724.8400000000038</v>
      </c>
      <c r="AG575" s="672">
        <f t="shared" si="192"/>
        <v>-399757.80000000028</v>
      </c>
      <c r="AH575" s="670">
        <f t="shared" si="192"/>
        <v>185</v>
      </c>
      <c r="AI575" s="672">
        <f t="shared" si="192"/>
        <v>7125406.919999999</v>
      </c>
    </row>
    <row r="576" spans="1:35" ht="13.5" x14ac:dyDescent="0.2">
      <c r="A576" s="678" t="s">
        <v>781</v>
      </c>
      <c r="B576" s="668"/>
      <c r="C576" s="666"/>
      <c r="D576" s="665"/>
      <c r="E576" s="665"/>
      <c r="F576" s="665"/>
      <c r="G576" s="665"/>
      <c r="H576" s="665"/>
      <c r="I576" s="665"/>
      <c r="J576" s="665"/>
      <c r="K576" s="665"/>
      <c r="L576" s="665"/>
      <c r="M576" s="665"/>
      <c r="N576" s="665"/>
      <c r="O576" s="667"/>
      <c r="P576" s="673"/>
      <c r="Q576" s="668"/>
      <c r="R576" s="666"/>
      <c r="S576" s="665"/>
      <c r="T576" s="665"/>
      <c r="U576" s="665"/>
      <c r="V576" s="665"/>
      <c r="W576" s="665"/>
      <c r="X576" s="665"/>
      <c r="Y576" s="665"/>
      <c r="Z576" s="665"/>
      <c r="AA576" s="665"/>
      <c r="AB576" s="665"/>
      <c r="AC576" s="665"/>
      <c r="AD576" s="667"/>
      <c r="AE576" s="673"/>
      <c r="AF576" s="667"/>
      <c r="AG576" s="673"/>
      <c r="AH576" s="668"/>
      <c r="AI576" s="673"/>
    </row>
    <row r="577" spans="1:35" ht="13.5" x14ac:dyDescent="0.2">
      <c r="A577" s="674" t="s">
        <v>16</v>
      </c>
      <c r="B577" s="668">
        <v>0</v>
      </c>
      <c r="C577" s="666">
        <v>0</v>
      </c>
      <c r="D577" s="665"/>
      <c r="E577" s="665"/>
      <c r="F577" s="665"/>
      <c r="G577" s="665"/>
      <c r="H577" s="665"/>
      <c r="I577" s="665"/>
      <c r="J577" s="665"/>
      <c r="K577" s="666">
        <v>0</v>
      </c>
      <c r="L577" s="666">
        <v>0</v>
      </c>
      <c r="M577" s="665"/>
      <c r="N577" s="665"/>
      <c r="O577" s="667"/>
      <c r="P577" s="673"/>
      <c r="Q577" s="668">
        <v>0</v>
      </c>
      <c r="R577" s="666">
        <v>0</v>
      </c>
      <c r="S577" s="665"/>
      <c r="T577" s="665"/>
      <c r="U577" s="665"/>
      <c r="V577" s="665"/>
      <c r="W577" s="665"/>
      <c r="X577" s="665"/>
      <c r="Y577" s="665"/>
      <c r="Z577" s="666">
        <v>0</v>
      </c>
      <c r="AA577" s="666">
        <v>0</v>
      </c>
      <c r="AB577" s="665"/>
      <c r="AC577" s="665"/>
      <c r="AD577" s="667"/>
      <c r="AE577" s="673"/>
      <c r="AF577" s="667"/>
      <c r="AG577" s="673"/>
      <c r="AH577" s="668">
        <v>0</v>
      </c>
      <c r="AI577" s="673"/>
    </row>
    <row r="578" spans="1:35" ht="13.5" x14ac:dyDescent="0.2">
      <c r="A578" s="674" t="s">
        <v>590</v>
      </c>
      <c r="B578" s="668">
        <v>3</v>
      </c>
      <c r="C578" s="666">
        <v>2077</v>
      </c>
      <c r="D578" s="665"/>
      <c r="E578" s="665"/>
      <c r="F578" s="665"/>
      <c r="G578" s="665"/>
      <c r="H578" s="665"/>
      <c r="I578" s="665"/>
      <c r="J578" s="665">
        <v>200</v>
      </c>
      <c r="K578" s="665">
        <f>+C578+D578+E578+F578+G578+H578+I578+J578</f>
        <v>2277</v>
      </c>
      <c r="L578" s="666">
        <v>1000</v>
      </c>
      <c r="M578" s="666">
        <v>8700</v>
      </c>
      <c r="N578" s="665">
        <f>+L578+M578</f>
        <v>9700</v>
      </c>
      <c r="O578" s="667">
        <f>+(K578*12)+N578</f>
        <v>37024</v>
      </c>
      <c r="P578" s="673">
        <f>+O578*B578</f>
        <v>111072</v>
      </c>
      <c r="Q578" s="668">
        <v>3</v>
      </c>
      <c r="R578" s="666">
        <v>2077</v>
      </c>
      <c r="S578" s="665"/>
      <c r="T578" s="665"/>
      <c r="U578" s="665"/>
      <c r="V578" s="665"/>
      <c r="W578" s="665"/>
      <c r="X578" s="665"/>
      <c r="Y578" s="665">
        <v>550</v>
      </c>
      <c r="Z578" s="665">
        <f>+R578+S578+T578+U578+V578+W578+X578+Y578</f>
        <v>2627</v>
      </c>
      <c r="AA578" s="666">
        <v>1000</v>
      </c>
      <c r="AB578" s="665">
        <v>7500</v>
      </c>
      <c r="AC578" s="665">
        <f>+AA578+AB578</f>
        <v>8500</v>
      </c>
      <c r="AD578" s="667">
        <f>+(Z578*12)+AC578</f>
        <v>40024</v>
      </c>
      <c r="AE578" s="673">
        <f>+AD578*Q578</f>
        <v>120072</v>
      </c>
      <c r="AF578" s="665">
        <f t="shared" ref="AF578:AG580" si="193">SUM(O578-AD578)</f>
        <v>-3000</v>
      </c>
      <c r="AG578" s="665">
        <f t="shared" si="193"/>
        <v>-9000</v>
      </c>
      <c r="AH578" s="668">
        <v>3</v>
      </c>
      <c r="AI578" s="673">
        <v>108778.2</v>
      </c>
    </row>
    <row r="579" spans="1:35" ht="13.5" x14ac:dyDescent="0.2">
      <c r="A579" s="674" t="s">
        <v>591</v>
      </c>
      <c r="B579" s="668">
        <v>8</v>
      </c>
      <c r="C579" s="666">
        <v>2068</v>
      </c>
      <c r="D579" s="665"/>
      <c r="E579" s="665"/>
      <c r="F579" s="665"/>
      <c r="G579" s="665"/>
      <c r="H579" s="665"/>
      <c r="I579" s="665">
        <v>158</v>
      </c>
      <c r="J579" s="665">
        <v>198</v>
      </c>
      <c r="K579" s="665">
        <f>+C579+D579+E579+F579+G579+H579+I579+J579</f>
        <v>2424</v>
      </c>
      <c r="L579" s="666">
        <v>1000</v>
      </c>
      <c r="M579" s="666">
        <v>8700</v>
      </c>
      <c r="N579" s="665">
        <f>+L579+M579</f>
        <v>9700</v>
      </c>
      <c r="O579" s="667">
        <f>+(K579*12)+N579</f>
        <v>38788</v>
      </c>
      <c r="P579" s="673">
        <f>+O579*B579</f>
        <v>310304</v>
      </c>
      <c r="Q579" s="668">
        <v>8</v>
      </c>
      <c r="R579" s="666">
        <v>2068</v>
      </c>
      <c r="S579" s="665"/>
      <c r="T579" s="665"/>
      <c r="U579" s="665"/>
      <c r="V579" s="665"/>
      <c r="W579" s="665"/>
      <c r="X579" s="665">
        <v>158</v>
      </c>
      <c r="Y579" s="665">
        <v>530</v>
      </c>
      <c r="Z579" s="665">
        <f>+R579+S579+T579+U579+V579+W579+X579+Y579</f>
        <v>2756</v>
      </c>
      <c r="AA579" s="666">
        <v>1000</v>
      </c>
      <c r="AB579" s="665">
        <v>7500</v>
      </c>
      <c r="AC579" s="665">
        <f>+AA579+AB579</f>
        <v>8500</v>
      </c>
      <c r="AD579" s="667">
        <f>+(Z579*12)+AC579</f>
        <v>41572</v>
      </c>
      <c r="AE579" s="673">
        <f>+AD579*Q579</f>
        <v>332576</v>
      </c>
      <c r="AF579" s="665">
        <f t="shared" si="193"/>
        <v>-2784</v>
      </c>
      <c r="AG579" s="665">
        <f t="shared" si="193"/>
        <v>-22272</v>
      </c>
      <c r="AH579" s="668">
        <v>8</v>
      </c>
      <c r="AI579" s="673">
        <v>263294.24</v>
      </c>
    </row>
    <row r="580" spans="1:35" ht="13.5" x14ac:dyDescent="0.2">
      <c r="A580" s="674" t="s">
        <v>644</v>
      </c>
      <c r="B580" s="668">
        <v>16</v>
      </c>
      <c r="C580" s="666">
        <v>2059</v>
      </c>
      <c r="D580" s="665"/>
      <c r="E580" s="665"/>
      <c r="F580" s="665"/>
      <c r="G580" s="665"/>
      <c r="H580" s="665"/>
      <c r="I580" s="665">
        <v>158</v>
      </c>
      <c r="J580" s="665">
        <v>175</v>
      </c>
      <c r="K580" s="665">
        <f>+C580+D580+E580+F580+G580+H580+I580+J580</f>
        <v>2392</v>
      </c>
      <c r="L580" s="666">
        <v>1000</v>
      </c>
      <c r="M580" s="666">
        <v>8700</v>
      </c>
      <c r="N580" s="665">
        <f>+L580+M580</f>
        <v>9700</v>
      </c>
      <c r="O580" s="667">
        <f>+(K580*12)+N580</f>
        <v>38404</v>
      </c>
      <c r="P580" s="673">
        <f>+O580*B580</f>
        <v>614464</v>
      </c>
      <c r="Q580" s="668">
        <v>16</v>
      </c>
      <c r="R580" s="666">
        <v>2059</v>
      </c>
      <c r="S580" s="665"/>
      <c r="T580" s="665"/>
      <c r="U580" s="665"/>
      <c r="V580" s="665"/>
      <c r="W580" s="665"/>
      <c r="X580" s="665">
        <v>158</v>
      </c>
      <c r="Y580" s="665">
        <v>500</v>
      </c>
      <c r="Z580" s="665">
        <f>+R580+S580+T580+U580+V580+W580+X580+Y580</f>
        <v>2717</v>
      </c>
      <c r="AA580" s="666">
        <v>1000</v>
      </c>
      <c r="AB580" s="665">
        <v>7500</v>
      </c>
      <c r="AC580" s="665">
        <f>+AA580+AB580</f>
        <v>8500</v>
      </c>
      <c r="AD580" s="667">
        <f>+(Z580*12)+AC580</f>
        <v>41104</v>
      </c>
      <c r="AE580" s="673">
        <f>+AD580*Q580</f>
        <v>657664</v>
      </c>
      <c r="AF580" s="665">
        <f t="shared" si="193"/>
        <v>-2700</v>
      </c>
      <c r="AG580" s="665">
        <f t="shared" si="193"/>
        <v>-43200</v>
      </c>
      <c r="AH580" s="668">
        <v>18</v>
      </c>
      <c r="AI580" s="673">
        <v>586783.80000000005</v>
      </c>
    </row>
    <row r="581" spans="1:35" ht="13.5" x14ac:dyDescent="0.2">
      <c r="A581" s="674" t="s">
        <v>645</v>
      </c>
      <c r="B581" s="668">
        <v>0</v>
      </c>
      <c r="C581" s="666">
        <v>0</v>
      </c>
      <c r="D581" s="665"/>
      <c r="E581" s="665"/>
      <c r="F581" s="665"/>
      <c r="G581" s="665"/>
      <c r="H581" s="665"/>
      <c r="I581" s="665"/>
      <c r="J581" s="665"/>
      <c r="K581" s="665">
        <f>+C581+D581+E581+F581+G581+H581+I581+J581</f>
        <v>0</v>
      </c>
      <c r="L581" s="666"/>
      <c r="M581" s="665"/>
      <c r="N581" s="665"/>
      <c r="O581" s="667"/>
      <c r="P581" s="673"/>
      <c r="Q581" s="668">
        <v>0</v>
      </c>
      <c r="R581" s="666">
        <v>0</v>
      </c>
      <c r="S581" s="665"/>
      <c r="T581" s="665"/>
      <c r="U581" s="665"/>
      <c r="V581" s="665"/>
      <c r="W581" s="665"/>
      <c r="X581" s="665"/>
      <c r="Y581" s="665"/>
      <c r="Z581" s="665">
        <f>+R581+S581+T581+U581+V581+W581+X581+Y581</f>
        <v>0</v>
      </c>
      <c r="AA581" s="666"/>
      <c r="AB581" s="665"/>
      <c r="AC581" s="665"/>
      <c r="AD581" s="667"/>
      <c r="AE581" s="673"/>
      <c r="AF581" s="665"/>
      <c r="AG581" s="665"/>
      <c r="AH581" s="668">
        <v>0</v>
      </c>
      <c r="AI581" s="673"/>
    </row>
    <row r="582" spans="1:35" ht="13.5" x14ac:dyDescent="0.2">
      <c r="A582" s="674" t="s">
        <v>646</v>
      </c>
      <c r="B582" s="668">
        <v>7</v>
      </c>
      <c r="C582" s="666">
        <v>2041</v>
      </c>
      <c r="D582" s="665"/>
      <c r="E582" s="665"/>
      <c r="F582" s="665"/>
      <c r="G582" s="665"/>
      <c r="H582" s="665"/>
      <c r="I582" s="665">
        <v>158</v>
      </c>
      <c r="J582" s="665">
        <v>166</v>
      </c>
      <c r="K582" s="665">
        <f>+C582+D582+E582+F582+G582+H582+I582+J582</f>
        <v>2365</v>
      </c>
      <c r="L582" s="666">
        <v>1000</v>
      </c>
      <c r="M582" s="666">
        <v>8700</v>
      </c>
      <c r="N582" s="665">
        <f>+L582+M582</f>
        <v>9700</v>
      </c>
      <c r="O582" s="667">
        <f>+(K582*12)+N582</f>
        <v>38080</v>
      </c>
      <c r="P582" s="673">
        <f>+O582*B582</f>
        <v>266560</v>
      </c>
      <c r="Q582" s="668">
        <v>7</v>
      </c>
      <c r="R582" s="666">
        <v>2041</v>
      </c>
      <c r="S582" s="665"/>
      <c r="T582" s="665"/>
      <c r="U582" s="665"/>
      <c r="V582" s="665"/>
      <c r="W582" s="665"/>
      <c r="X582" s="665">
        <v>158</v>
      </c>
      <c r="Y582" s="665">
        <v>480</v>
      </c>
      <c r="Z582" s="665">
        <f>+R582+S582+T582+U582+V582+W582+X582+Y582</f>
        <v>2679</v>
      </c>
      <c r="AA582" s="666">
        <v>1000</v>
      </c>
      <c r="AB582" s="665">
        <v>7500</v>
      </c>
      <c r="AC582" s="665">
        <f>+AA582+AB582</f>
        <v>8500</v>
      </c>
      <c r="AD582" s="667">
        <f>+(Z582*12)+AC582</f>
        <v>40648</v>
      </c>
      <c r="AE582" s="673">
        <f>+AD582*Q582</f>
        <v>284536</v>
      </c>
      <c r="AF582" s="665">
        <f>SUM(O582-AD582)</f>
        <v>-2568</v>
      </c>
      <c r="AG582" s="665">
        <f>SUM(P582-AE582)</f>
        <v>-17976</v>
      </c>
      <c r="AH582" s="668">
        <v>5</v>
      </c>
      <c r="AI582" s="673">
        <v>159341.72</v>
      </c>
    </row>
    <row r="583" spans="1:35" ht="13.5" x14ac:dyDescent="0.2">
      <c r="A583" s="674"/>
      <c r="B583" s="670">
        <f t="shared" ref="B583:AI583" si="194">SUM(B577:B582)</f>
        <v>34</v>
      </c>
      <c r="C583" s="671">
        <f t="shared" si="194"/>
        <v>8245</v>
      </c>
      <c r="D583" s="671">
        <f t="shared" si="194"/>
        <v>0</v>
      </c>
      <c r="E583" s="671">
        <f t="shared" si="194"/>
        <v>0</v>
      </c>
      <c r="F583" s="671">
        <f t="shared" si="194"/>
        <v>0</v>
      </c>
      <c r="G583" s="671">
        <f t="shared" si="194"/>
        <v>0</v>
      </c>
      <c r="H583" s="671">
        <f t="shared" si="194"/>
        <v>0</v>
      </c>
      <c r="I583" s="671">
        <f t="shared" si="194"/>
        <v>474</v>
      </c>
      <c r="J583" s="671">
        <f t="shared" si="194"/>
        <v>739</v>
      </c>
      <c r="K583" s="671">
        <f t="shared" si="194"/>
        <v>9458</v>
      </c>
      <c r="L583" s="671">
        <f t="shared" si="194"/>
        <v>4000</v>
      </c>
      <c r="M583" s="671">
        <f t="shared" si="194"/>
        <v>34800</v>
      </c>
      <c r="N583" s="671">
        <f t="shared" si="194"/>
        <v>38800</v>
      </c>
      <c r="O583" s="672">
        <f t="shared" si="194"/>
        <v>152296</v>
      </c>
      <c r="P583" s="672">
        <f t="shared" si="194"/>
        <v>1302400</v>
      </c>
      <c r="Q583" s="670">
        <f t="shared" si="194"/>
        <v>34</v>
      </c>
      <c r="R583" s="671">
        <f t="shared" si="194"/>
        <v>8245</v>
      </c>
      <c r="S583" s="671">
        <f t="shared" si="194"/>
        <v>0</v>
      </c>
      <c r="T583" s="671">
        <f t="shared" si="194"/>
        <v>0</v>
      </c>
      <c r="U583" s="671">
        <f t="shared" si="194"/>
        <v>0</v>
      </c>
      <c r="V583" s="671">
        <f t="shared" si="194"/>
        <v>0</v>
      </c>
      <c r="W583" s="671">
        <f t="shared" si="194"/>
        <v>0</v>
      </c>
      <c r="X583" s="671">
        <f t="shared" si="194"/>
        <v>474</v>
      </c>
      <c r="Y583" s="671">
        <f t="shared" si="194"/>
        <v>2060</v>
      </c>
      <c r="Z583" s="671">
        <f t="shared" si="194"/>
        <v>10779</v>
      </c>
      <c r="AA583" s="671">
        <f t="shared" si="194"/>
        <v>4000</v>
      </c>
      <c r="AB583" s="671">
        <f t="shared" si="194"/>
        <v>30000</v>
      </c>
      <c r="AC583" s="671">
        <f t="shared" si="194"/>
        <v>34000</v>
      </c>
      <c r="AD583" s="672">
        <f t="shared" si="194"/>
        <v>163348</v>
      </c>
      <c r="AE583" s="672">
        <f t="shared" si="194"/>
        <v>1394848</v>
      </c>
      <c r="AF583" s="672">
        <f t="shared" si="194"/>
        <v>-11052</v>
      </c>
      <c r="AG583" s="672">
        <f t="shared" si="194"/>
        <v>-92448</v>
      </c>
      <c r="AH583" s="670">
        <f t="shared" si="194"/>
        <v>34</v>
      </c>
      <c r="AI583" s="672">
        <f t="shared" si="194"/>
        <v>1118197.96</v>
      </c>
    </row>
    <row r="584" spans="1:35" ht="13.5" x14ac:dyDescent="0.2">
      <c r="A584" s="678" t="s">
        <v>782</v>
      </c>
      <c r="B584" s="668"/>
      <c r="C584" s="666"/>
      <c r="D584" s="665"/>
      <c r="E584" s="665"/>
      <c r="F584" s="665"/>
      <c r="G584" s="665"/>
      <c r="H584" s="665"/>
      <c r="I584" s="665"/>
      <c r="J584" s="665"/>
      <c r="K584" s="665"/>
      <c r="L584" s="665"/>
      <c r="M584" s="665"/>
      <c r="N584" s="665"/>
      <c r="O584" s="667"/>
      <c r="P584" s="673"/>
      <c r="Q584" s="668"/>
      <c r="R584" s="666"/>
      <c r="S584" s="665"/>
      <c r="T584" s="665"/>
      <c r="U584" s="665"/>
      <c r="V584" s="665"/>
      <c r="W584" s="665"/>
      <c r="X584" s="679"/>
      <c r="Y584" s="680"/>
      <c r="Z584" s="665"/>
      <c r="AA584" s="665"/>
      <c r="AB584" s="665"/>
      <c r="AC584" s="665"/>
      <c r="AD584" s="667"/>
      <c r="AE584" s="673"/>
      <c r="AF584" s="667"/>
      <c r="AG584" s="673"/>
      <c r="AH584" s="572"/>
      <c r="AI584" s="673"/>
    </row>
    <row r="585" spans="1:35" ht="13.5" x14ac:dyDescent="0.2">
      <c r="A585" s="674" t="s">
        <v>737</v>
      </c>
      <c r="B585" s="668">
        <v>40</v>
      </c>
      <c r="C585" s="666">
        <v>5532</v>
      </c>
      <c r="D585" s="665"/>
      <c r="E585" s="665"/>
      <c r="F585" s="665"/>
      <c r="G585" s="665"/>
      <c r="H585" s="665"/>
      <c r="I585" s="665">
        <v>1390</v>
      </c>
      <c r="J585" s="665">
        <v>891</v>
      </c>
      <c r="K585" s="665">
        <f t="shared" ref="K585:K622" si="195">+C585+D585+E585+F585+G585+H585+I585+J585</f>
        <v>7813</v>
      </c>
      <c r="L585" s="666">
        <v>1000</v>
      </c>
      <c r="M585" s="666">
        <v>8700</v>
      </c>
      <c r="N585" s="665">
        <f t="shared" ref="N585:N596" si="196">+L585+M585</f>
        <v>9700</v>
      </c>
      <c r="O585" s="667">
        <f t="shared" ref="O585:O596" si="197">+(K585*12)+N585</f>
        <v>103456</v>
      </c>
      <c r="P585" s="673">
        <f t="shared" ref="P585:P596" si="198">+O585*B585</f>
        <v>4138240</v>
      </c>
      <c r="Q585" s="668">
        <v>40</v>
      </c>
      <c r="R585" s="666">
        <v>5532</v>
      </c>
      <c r="S585" s="665"/>
      <c r="T585" s="665"/>
      <c r="U585" s="665"/>
      <c r="V585" s="665"/>
      <c r="W585" s="665"/>
      <c r="X585" s="665">
        <v>1390</v>
      </c>
      <c r="Y585" s="665">
        <v>950</v>
      </c>
      <c r="Z585" s="665">
        <f t="shared" ref="Z585:Z622" si="199">+R585+S585+T585+U585+V585+W585+X585+Y585</f>
        <v>7872</v>
      </c>
      <c r="AA585" s="666">
        <v>1000</v>
      </c>
      <c r="AB585" s="665">
        <v>10100</v>
      </c>
      <c r="AC585" s="665">
        <f t="shared" ref="AC585:AC596" si="200">+AA585+AB585</f>
        <v>11100</v>
      </c>
      <c r="AD585" s="667">
        <f t="shared" ref="AD585:AD596" si="201">+(Z585*12)+AC585</f>
        <v>105564</v>
      </c>
      <c r="AE585" s="673">
        <f t="shared" ref="AE585:AE596" si="202">+AD585*Q585</f>
        <v>4222560</v>
      </c>
      <c r="AF585" s="665">
        <f t="shared" ref="AF585:AF596" si="203">SUM(O585-AD585)</f>
        <v>-2108</v>
      </c>
      <c r="AG585" s="665">
        <f t="shared" ref="AG585:AG596" si="204">SUM(P585-AE585)</f>
        <v>-84320</v>
      </c>
      <c r="AH585" s="668">
        <v>31</v>
      </c>
      <c r="AI585" s="673">
        <v>2978680.72</v>
      </c>
    </row>
    <row r="586" spans="1:35" ht="13.5" x14ac:dyDescent="0.2">
      <c r="A586" s="674" t="s">
        <v>736</v>
      </c>
      <c r="B586" s="668">
        <v>22</v>
      </c>
      <c r="C586" s="666">
        <v>5932</v>
      </c>
      <c r="D586" s="665"/>
      <c r="E586" s="665"/>
      <c r="F586" s="665"/>
      <c r="G586" s="665"/>
      <c r="H586" s="665"/>
      <c r="I586" s="665">
        <v>1400</v>
      </c>
      <c r="J586" s="665">
        <v>935</v>
      </c>
      <c r="K586" s="665">
        <f t="shared" si="195"/>
        <v>8267</v>
      </c>
      <c r="L586" s="666">
        <v>1000</v>
      </c>
      <c r="M586" s="666">
        <v>8700</v>
      </c>
      <c r="N586" s="665">
        <f t="shared" si="196"/>
        <v>9700</v>
      </c>
      <c r="O586" s="667">
        <f t="shared" si="197"/>
        <v>108904</v>
      </c>
      <c r="P586" s="673">
        <f t="shared" si="198"/>
        <v>2395888</v>
      </c>
      <c r="Q586" s="668">
        <v>22</v>
      </c>
      <c r="R586" s="666">
        <v>5932</v>
      </c>
      <c r="S586" s="665"/>
      <c r="T586" s="665"/>
      <c r="U586" s="665"/>
      <c r="V586" s="665"/>
      <c r="W586" s="665"/>
      <c r="X586" s="665">
        <v>1400</v>
      </c>
      <c r="Y586" s="665">
        <v>980</v>
      </c>
      <c r="Z586" s="665">
        <f t="shared" si="199"/>
        <v>8312</v>
      </c>
      <c r="AA586" s="666">
        <v>1000</v>
      </c>
      <c r="AB586" s="665">
        <v>10200</v>
      </c>
      <c r="AC586" s="665">
        <f t="shared" si="200"/>
        <v>11200</v>
      </c>
      <c r="AD586" s="667">
        <f t="shared" si="201"/>
        <v>110944</v>
      </c>
      <c r="AE586" s="673">
        <f t="shared" si="202"/>
        <v>2440768</v>
      </c>
      <c r="AF586" s="665">
        <f t="shared" si="203"/>
        <v>-2040</v>
      </c>
      <c r="AG586" s="665">
        <f t="shared" si="204"/>
        <v>-44880</v>
      </c>
      <c r="AH586" s="668">
        <v>25</v>
      </c>
      <c r="AI586" s="673">
        <v>2630874.16</v>
      </c>
    </row>
    <row r="587" spans="1:35" ht="13.5" x14ac:dyDescent="0.2">
      <c r="A587" s="674" t="s">
        <v>735</v>
      </c>
      <c r="B587" s="668">
        <v>5</v>
      </c>
      <c r="C587" s="666">
        <v>6336</v>
      </c>
      <c r="D587" s="665"/>
      <c r="E587" s="665"/>
      <c r="F587" s="665"/>
      <c r="G587" s="665"/>
      <c r="H587" s="665"/>
      <c r="I587" s="665">
        <v>1390</v>
      </c>
      <c r="J587" s="665">
        <v>990</v>
      </c>
      <c r="K587" s="665">
        <f t="shared" si="195"/>
        <v>8716</v>
      </c>
      <c r="L587" s="666">
        <v>1000</v>
      </c>
      <c r="M587" s="666">
        <v>8700</v>
      </c>
      <c r="N587" s="665">
        <f t="shared" si="196"/>
        <v>9700</v>
      </c>
      <c r="O587" s="667">
        <f t="shared" si="197"/>
        <v>114292</v>
      </c>
      <c r="P587" s="673">
        <f t="shared" si="198"/>
        <v>571460</v>
      </c>
      <c r="Q587" s="668">
        <v>5</v>
      </c>
      <c r="R587" s="666">
        <v>6336</v>
      </c>
      <c r="S587" s="665"/>
      <c r="T587" s="665"/>
      <c r="U587" s="665"/>
      <c r="V587" s="665"/>
      <c r="W587" s="665"/>
      <c r="X587" s="665">
        <v>1390</v>
      </c>
      <c r="Y587" s="665">
        <v>1000</v>
      </c>
      <c r="Z587" s="665">
        <f t="shared" si="199"/>
        <v>8726</v>
      </c>
      <c r="AA587" s="666">
        <v>1000</v>
      </c>
      <c r="AB587" s="665">
        <v>10300</v>
      </c>
      <c r="AC587" s="665">
        <f t="shared" si="200"/>
        <v>11300</v>
      </c>
      <c r="AD587" s="667">
        <f t="shared" si="201"/>
        <v>116012</v>
      </c>
      <c r="AE587" s="673">
        <f t="shared" si="202"/>
        <v>580060</v>
      </c>
      <c r="AF587" s="665">
        <f t="shared" si="203"/>
        <v>-1720</v>
      </c>
      <c r="AG587" s="665">
        <f t="shared" si="204"/>
        <v>-8600</v>
      </c>
      <c r="AH587" s="668">
        <v>7</v>
      </c>
      <c r="AI587" s="673">
        <v>774635.96</v>
      </c>
    </row>
    <row r="588" spans="1:35" ht="13.5" x14ac:dyDescent="0.2">
      <c r="A588" s="674" t="s">
        <v>734</v>
      </c>
      <c r="B588" s="668">
        <v>4</v>
      </c>
      <c r="C588" s="666">
        <v>6826</v>
      </c>
      <c r="D588" s="665"/>
      <c r="E588" s="665"/>
      <c r="F588" s="665"/>
      <c r="G588" s="665"/>
      <c r="H588" s="665"/>
      <c r="I588" s="665">
        <v>750</v>
      </c>
      <c r="J588" s="665">
        <v>945</v>
      </c>
      <c r="K588" s="665">
        <f t="shared" si="195"/>
        <v>8521</v>
      </c>
      <c r="L588" s="666">
        <v>1000</v>
      </c>
      <c r="M588" s="666">
        <v>8700</v>
      </c>
      <c r="N588" s="665">
        <f t="shared" si="196"/>
        <v>9700</v>
      </c>
      <c r="O588" s="667">
        <f t="shared" si="197"/>
        <v>111952</v>
      </c>
      <c r="P588" s="673">
        <f t="shared" si="198"/>
        <v>447808</v>
      </c>
      <c r="Q588" s="668">
        <v>4</v>
      </c>
      <c r="R588" s="666">
        <v>6826</v>
      </c>
      <c r="S588" s="665"/>
      <c r="T588" s="665"/>
      <c r="U588" s="665"/>
      <c r="V588" s="665"/>
      <c r="W588" s="665"/>
      <c r="X588" s="665">
        <v>750</v>
      </c>
      <c r="Y588" s="665">
        <v>1020</v>
      </c>
      <c r="Z588" s="665">
        <f t="shared" si="199"/>
        <v>8596</v>
      </c>
      <c r="AA588" s="666">
        <v>1000</v>
      </c>
      <c r="AB588" s="665">
        <v>10400</v>
      </c>
      <c r="AC588" s="665">
        <f t="shared" si="200"/>
        <v>11400</v>
      </c>
      <c r="AD588" s="667">
        <f t="shared" si="201"/>
        <v>114552</v>
      </c>
      <c r="AE588" s="673">
        <f t="shared" si="202"/>
        <v>458208</v>
      </c>
      <c r="AF588" s="665">
        <f t="shared" si="203"/>
        <v>-2600</v>
      </c>
      <c r="AG588" s="665">
        <f t="shared" si="204"/>
        <v>-10400</v>
      </c>
      <c r="AH588" s="668">
        <v>1</v>
      </c>
      <c r="AI588" s="673">
        <v>121243.24</v>
      </c>
    </row>
    <row r="589" spans="1:35" ht="13.5" x14ac:dyDescent="0.2">
      <c r="A589" s="674" t="s">
        <v>733</v>
      </c>
      <c r="B589" s="668">
        <v>12</v>
      </c>
      <c r="C589" s="666">
        <v>7266</v>
      </c>
      <c r="D589" s="665"/>
      <c r="E589" s="665"/>
      <c r="F589" s="665"/>
      <c r="G589" s="665"/>
      <c r="H589" s="665"/>
      <c r="I589" s="665">
        <v>750</v>
      </c>
      <c r="J589" s="665">
        <v>1000</v>
      </c>
      <c r="K589" s="665">
        <f t="shared" si="195"/>
        <v>9016</v>
      </c>
      <c r="L589" s="666">
        <v>1000</v>
      </c>
      <c r="M589" s="666">
        <v>8700</v>
      </c>
      <c r="N589" s="665">
        <f t="shared" si="196"/>
        <v>9700</v>
      </c>
      <c r="O589" s="667">
        <f t="shared" si="197"/>
        <v>117892</v>
      </c>
      <c r="P589" s="673">
        <f t="shared" si="198"/>
        <v>1414704</v>
      </c>
      <c r="Q589" s="668">
        <v>12</v>
      </c>
      <c r="R589" s="666">
        <v>7266</v>
      </c>
      <c r="S589" s="665"/>
      <c r="T589" s="665"/>
      <c r="U589" s="665"/>
      <c r="V589" s="665"/>
      <c r="W589" s="665"/>
      <c r="X589" s="665">
        <v>750</v>
      </c>
      <c r="Y589" s="665">
        <v>1050</v>
      </c>
      <c r="Z589" s="665">
        <f t="shared" si="199"/>
        <v>9066</v>
      </c>
      <c r="AA589" s="666">
        <v>1000</v>
      </c>
      <c r="AB589" s="665">
        <v>10500</v>
      </c>
      <c r="AC589" s="665">
        <f t="shared" si="200"/>
        <v>11500</v>
      </c>
      <c r="AD589" s="667">
        <f t="shared" si="201"/>
        <v>120292</v>
      </c>
      <c r="AE589" s="673">
        <f t="shared" si="202"/>
        <v>1443504</v>
      </c>
      <c r="AF589" s="665">
        <f t="shared" si="203"/>
        <v>-2400</v>
      </c>
      <c r="AG589" s="665">
        <f t="shared" si="204"/>
        <v>-28800</v>
      </c>
      <c r="AH589" s="668">
        <v>19</v>
      </c>
      <c r="AI589" s="673">
        <v>2384203.96</v>
      </c>
    </row>
    <row r="590" spans="1:35" ht="13.5" x14ac:dyDescent="0.2">
      <c r="A590" s="674" t="s">
        <v>769</v>
      </c>
      <c r="B590" s="668">
        <v>50</v>
      </c>
      <c r="C590" s="666">
        <v>3344</v>
      </c>
      <c r="D590" s="665"/>
      <c r="E590" s="665"/>
      <c r="F590" s="665"/>
      <c r="G590" s="665"/>
      <c r="H590" s="665"/>
      <c r="I590" s="665">
        <v>750</v>
      </c>
      <c r="J590" s="665">
        <v>705</v>
      </c>
      <c r="K590" s="665">
        <f t="shared" si="195"/>
        <v>4799</v>
      </c>
      <c r="L590" s="666">
        <v>1000</v>
      </c>
      <c r="M590" s="666">
        <v>8700</v>
      </c>
      <c r="N590" s="665">
        <f t="shared" si="196"/>
        <v>9700</v>
      </c>
      <c r="O590" s="667">
        <f t="shared" si="197"/>
        <v>67288</v>
      </c>
      <c r="P590" s="673">
        <f t="shared" si="198"/>
        <v>3364400</v>
      </c>
      <c r="Q590" s="668">
        <v>50</v>
      </c>
      <c r="R590" s="666">
        <v>3344</v>
      </c>
      <c r="S590" s="665"/>
      <c r="T590" s="665"/>
      <c r="U590" s="665"/>
      <c r="V590" s="665"/>
      <c r="W590" s="665"/>
      <c r="X590" s="665">
        <v>750</v>
      </c>
      <c r="Y590" s="665">
        <v>830</v>
      </c>
      <c r="Z590" s="665">
        <f t="shared" si="199"/>
        <v>4924</v>
      </c>
      <c r="AA590" s="666">
        <v>1000</v>
      </c>
      <c r="AB590" s="665">
        <v>9100</v>
      </c>
      <c r="AC590" s="665">
        <f t="shared" si="200"/>
        <v>10100</v>
      </c>
      <c r="AD590" s="667">
        <f t="shared" si="201"/>
        <v>69188</v>
      </c>
      <c r="AE590" s="673">
        <f t="shared" si="202"/>
        <v>3459400</v>
      </c>
      <c r="AF590" s="665">
        <f t="shared" si="203"/>
        <v>-1900</v>
      </c>
      <c r="AG590" s="665">
        <f t="shared" si="204"/>
        <v>-95000</v>
      </c>
      <c r="AH590" s="668">
        <v>48</v>
      </c>
      <c r="AI590" s="673">
        <v>2996238.64</v>
      </c>
    </row>
    <row r="591" spans="1:35" ht="13.5" x14ac:dyDescent="0.2">
      <c r="A591" s="674" t="s">
        <v>770</v>
      </c>
      <c r="B591" s="668">
        <v>12</v>
      </c>
      <c r="C591" s="666">
        <v>3660</v>
      </c>
      <c r="D591" s="665"/>
      <c r="E591" s="665"/>
      <c r="F591" s="665"/>
      <c r="G591" s="665"/>
      <c r="H591" s="665"/>
      <c r="I591" s="665">
        <v>750</v>
      </c>
      <c r="J591" s="665">
        <v>760</v>
      </c>
      <c r="K591" s="665">
        <f t="shared" si="195"/>
        <v>5170</v>
      </c>
      <c r="L591" s="666">
        <v>1000</v>
      </c>
      <c r="M591" s="666">
        <v>8700</v>
      </c>
      <c r="N591" s="665">
        <f t="shared" si="196"/>
        <v>9700</v>
      </c>
      <c r="O591" s="667">
        <f t="shared" si="197"/>
        <v>71740</v>
      </c>
      <c r="P591" s="673">
        <f t="shared" si="198"/>
        <v>860880</v>
      </c>
      <c r="Q591" s="668">
        <v>12</v>
      </c>
      <c r="R591" s="666">
        <v>3660</v>
      </c>
      <c r="S591" s="665"/>
      <c r="T591" s="665"/>
      <c r="U591" s="665"/>
      <c r="V591" s="665"/>
      <c r="W591" s="665"/>
      <c r="X591" s="665">
        <v>750</v>
      </c>
      <c r="Y591" s="665">
        <v>850</v>
      </c>
      <c r="Z591" s="665">
        <f t="shared" si="199"/>
        <v>5260</v>
      </c>
      <c r="AA591" s="666">
        <v>1000</v>
      </c>
      <c r="AB591" s="665">
        <v>9200</v>
      </c>
      <c r="AC591" s="665">
        <f t="shared" si="200"/>
        <v>10200</v>
      </c>
      <c r="AD591" s="667">
        <f t="shared" si="201"/>
        <v>73320</v>
      </c>
      <c r="AE591" s="673">
        <f t="shared" si="202"/>
        <v>879840</v>
      </c>
      <c r="AF591" s="665">
        <f t="shared" si="203"/>
        <v>-1580</v>
      </c>
      <c r="AG591" s="665">
        <f t="shared" si="204"/>
        <v>-18960</v>
      </c>
      <c r="AH591" s="668">
        <v>13</v>
      </c>
      <c r="AI591" s="673">
        <v>880614.16</v>
      </c>
    </row>
    <row r="592" spans="1:35" ht="13.5" x14ac:dyDescent="0.2">
      <c r="A592" s="674" t="s">
        <v>783</v>
      </c>
      <c r="B592" s="668">
        <v>5</v>
      </c>
      <c r="C592" s="666">
        <v>3900</v>
      </c>
      <c r="D592" s="665"/>
      <c r="E592" s="665"/>
      <c r="F592" s="665"/>
      <c r="G592" s="665"/>
      <c r="H592" s="665"/>
      <c r="I592" s="665">
        <v>750</v>
      </c>
      <c r="J592" s="665">
        <v>799</v>
      </c>
      <c r="K592" s="665">
        <f t="shared" si="195"/>
        <v>5449</v>
      </c>
      <c r="L592" s="666">
        <v>1000</v>
      </c>
      <c r="M592" s="666">
        <v>8700</v>
      </c>
      <c r="N592" s="665">
        <f t="shared" si="196"/>
        <v>9700</v>
      </c>
      <c r="O592" s="667">
        <f t="shared" si="197"/>
        <v>75088</v>
      </c>
      <c r="P592" s="673">
        <f t="shared" si="198"/>
        <v>375440</v>
      </c>
      <c r="Q592" s="668">
        <v>5</v>
      </c>
      <c r="R592" s="666">
        <v>3900</v>
      </c>
      <c r="S592" s="665"/>
      <c r="T592" s="665"/>
      <c r="U592" s="665"/>
      <c r="V592" s="665"/>
      <c r="W592" s="665"/>
      <c r="X592" s="665">
        <v>750</v>
      </c>
      <c r="Y592" s="665">
        <v>880</v>
      </c>
      <c r="Z592" s="665">
        <f t="shared" si="199"/>
        <v>5530</v>
      </c>
      <c r="AA592" s="666">
        <v>1000</v>
      </c>
      <c r="AB592" s="665">
        <v>9300</v>
      </c>
      <c r="AC592" s="665">
        <f t="shared" si="200"/>
        <v>10300</v>
      </c>
      <c r="AD592" s="667">
        <f t="shared" si="201"/>
        <v>76660</v>
      </c>
      <c r="AE592" s="673">
        <f t="shared" si="202"/>
        <v>383300</v>
      </c>
      <c r="AF592" s="665">
        <f t="shared" si="203"/>
        <v>-1572</v>
      </c>
      <c r="AG592" s="665">
        <f t="shared" si="204"/>
        <v>-7860</v>
      </c>
      <c r="AH592" s="668">
        <v>5</v>
      </c>
      <c r="AI592" s="673">
        <v>336335</v>
      </c>
    </row>
    <row r="593" spans="1:35" ht="13.5" x14ac:dyDescent="0.2">
      <c r="A593" s="674" t="s">
        <v>771</v>
      </c>
      <c r="B593" s="668">
        <v>6</v>
      </c>
      <c r="C593" s="666">
        <v>4158</v>
      </c>
      <c r="D593" s="665"/>
      <c r="E593" s="665"/>
      <c r="F593" s="665"/>
      <c r="G593" s="665"/>
      <c r="H593" s="665"/>
      <c r="I593" s="665">
        <v>750</v>
      </c>
      <c r="J593" s="665">
        <v>800</v>
      </c>
      <c r="K593" s="665">
        <f t="shared" si="195"/>
        <v>5708</v>
      </c>
      <c r="L593" s="666">
        <v>1000</v>
      </c>
      <c r="M593" s="666">
        <v>8700</v>
      </c>
      <c r="N593" s="665">
        <f t="shared" si="196"/>
        <v>9700</v>
      </c>
      <c r="O593" s="667">
        <f t="shared" si="197"/>
        <v>78196</v>
      </c>
      <c r="P593" s="673">
        <f t="shared" si="198"/>
        <v>469176</v>
      </c>
      <c r="Q593" s="668">
        <v>6</v>
      </c>
      <c r="R593" s="666">
        <v>4158</v>
      </c>
      <c r="S593" s="665"/>
      <c r="T593" s="665"/>
      <c r="U593" s="665"/>
      <c r="V593" s="665"/>
      <c r="W593" s="665"/>
      <c r="X593" s="665">
        <v>750</v>
      </c>
      <c r="Y593" s="665">
        <v>900</v>
      </c>
      <c r="Z593" s="665">
        <f t="shared" si="199"/>
        <v>5808</v>
      </c>
      <c r="AA593" s="666">
        <v>1000</v>
      </c>
      <c r="AB593" s="665">
        <v>9400</v>
      </c>
      <c r="AC593" s="665">
        <f t="shared" si="200"/>
        <v>10400</v>
      </c>
      <c r="AD593" s="667">
        <f t="shared" si="201"/>
        <v>80096</v>
      </c>
      <c r="AE593" s="673">
        <f t="shared" si="202"/>
        <v>480576</v>
      </c>
      <c r="AF593" s="665">
        <f t="shared" si="203"/>
        <v>-1900</v>
      </c>
      <c r="AG593" s="665">
        <f t="shared" si="204"/>
        <v>-11400</v>
      </c>
      <c r="AH593" s="668">
        <v>6</v>
      </c>
      <c r="AI593" s="673">
        <v>444062.28</v>
      </c>
    </row>
    <row r="594" spans="1:35" ht="13.5" x14ac:dyDescent="0.2">
      <c r="A594" s="674" t="s">
        <v>772</v>
      </c>
      <c r="B594" s="668">
        <v>36</v>
      </c>
      <c r="C594" s="666">
        <v>4471</v>
      </c>
      <c r="D594" s="665"/>
      <c r="E594" s="665"/>
      <c r="F594" s="665"/>
      <c r="G594" s="665"/>
      <c r="H594" s="665"/>
      <c r="I594" s="665">
        <v>750</v>
      </c>
      <c r="J594" s="665">
        <v>825</v>
      </c>
      <c r="K594" s="665">
        <f t="shared" si="195"/>
        <v>6046</v>
      </c>
      <c r="L594" s="666">
        <v>1000</v>
      </c>
      <c r="M594" s="666">
        <v>8700</v>
      </c>
      <c r="N594" s="665">
        <f t="shared" si="196"/>
        <v>9700</v>
      </c>
      <c r="O594" s="667">
        <f t="shared" si="197"/>
        <v>82252</v>
      </c>
      <c r="P594" s="673">
        <f t="shared" si="198"/>
        <v>2961072</v>
      </c>
      <c r="Q594" s="668">
        <v>36</v>
      </c>
      <c r="R594" s="666">
        <v>4471</v>
      </c>
      <c r="S594" s="665"/>
      <c r="T594" s="665"/>
      <c r="U594" s="665"/>
      <c r="V594" s="665"/>
      <c r="W594" s="665"/>
      <c r="X594" s="665">
        <v>750</v>
      </c>
      <c r="Y594" s="665">
        <v>920</v>
      </c>
      <c r="Z594" s="665">
        <f t="shared" si="199"/>
        <v>6141</v>
      </c>
      <c r="AA594" s="666">
        <v>1000</v>
      </c>
      <c r="AB594" s="665">
        <v>9500</v>
      </c>
      <c r="AC594" s="665">
        <f t="shared" si="200"/>
        <v>10500</v>
      </c>
      <c r="AD594" s="667">
        <f t="shared" si="201"/>
        <v>84192</v>
      </c>
      <c r="AE594" s="673">
        <f t="shared" si="202"/>
        <v>3030912</v>
      </c>
      <c r="AF594" s="665">
        <f t="shared" si="203"/>
        <v>-1940</v>
      </c>
      <c r="AG594" s="665">
        <f t="shared" si="204"/>
        <v>-69840</v>
      </c>
      <c r="AH594" s="668">
        <v>37</v>
      </c>
      <c r="AI594" s="673">
        <v>2984682.4</v>
      </c>
    </row>
    <row r="595" spans="1:35" ht="13.5" x14ac:dyDescent="0.2">
      <c r="A595" s="674" t="s">
        <v>784</v>
      </c>
      <c r="B595" s="668">
        <v>41</v>
      </c>
      <c r="C595" s="666">
        <v>3344</v>
      </c>
      <c r="D595" s="665"/>
      <c r="E595" s="665"/>
      <c r="F595" s="665"/>
      <c r="G595" s="665"/>
      <c r="H595" s="665"/>
      <c r="I595" s="665">
        <v>750</v>
      </c>
      <c r="J595" s="665">
        <v>500</v>
      </c>
      <c r="K595" s="665">
        <f t="shared" si="195"/>
        <v>4594</v>
      </c>
      <c r="L595" s="666">
        <v>1000</v>
      </c>
      <c r="M595" s="666">
        <v>8700</v>
      </c>
      <c r="N595" s="665">
        <f t="shared" si="196"/>
        <v>9700</v>
      </c>
      <c r="O595" s="667">
        <f t="shared" si="197"/>
        <v>64828</v>
      </c>
      <c r="P595" s="673">
        <f t="shared" si="198"/>
        <v>2657948</v>
      </c>
      <c r="Q595" s="668">
        <v>41</v>
      </c>
      <c r="R595" s="666">
        <v>3344</v>
      </c>
      <c r="S595" s="665"/>
      <c r="T595" s="665"/>
      <c r="U595" s="665"/>
      <c r="V595" s="665"/>
      <c r="W595" s="665"/>
      <c r="X595" s="665">
        <v>750</v>
      </c>
      <c r="Y595" s="665">
        <v>910</v>
      </c>
      <c r="Z595" s="665">
        <f t="shared" si="199"/>
        <v>5004</v>
      </c>
      <c r="AA595" s="666">
        <v>1000</v>
      </c>
      <c r="AB595" s="665">
        <v>9300</v>
      </c>
      <c r="AC595" s="665">
        <f t="shared" si="200"/>
        <v>10300</v>
      </c>
      <c r="AD595" s="667">
        <f t="shared" si="201"/>
        <v>70348</v>
      </c>
      <c r="AE595" s="673">
        <f t="shared" si="202"/>
        <v>2884268</v>
      </c>
      <c r="AF595" s="665">
        <f t="shared" si="203"/>
        <v>-5520</v>
      </c>
      <c r="AG595" s="665">
        <f t="shared" si="204"/>
        <v>-226320</v>
      </c>
      <c r="AH595" s="668">
        <v>42</v>
      </c>
      <c r="AI595" s="673">
        <v>2699155.68</v>
      </c>
    </row>
    <row r="596" spans="1:35" ht="13.5" x14ac:dyDescent="0.2">
      <c r="A596" s="674" t="s">
        <v>785</v>
      </c>
      <c r="B596" s="668">
        <v>13</v>
      </c>
      <c r="C596" s="666">
        <v>3660</v>
      </c>
      <c r="D596" s="665"/>
      <c r="E596" s="665"/>
      <c r="F596" s="665"/>
      <c r="G596" s="665"/>
      <c r="H596" s="665"/>
      <c r="I596" s="665">
        <v>600</v>
      </c>
      <c r="J596" s="665">
        <v>499</v>
      </c>
      <c r="K596" s="665">
        <f t="shared" si="195"/>
        <v>4759</v>
      </c>
      <c r="L596" s="666">
        <v>1000</v>
      </c>
      <c r="M596" s="666">
        <v>8700</v>
      </c>
      <c r="N596" s="665">
        <f t="shared" si="196"/>
        <v>9700</v>
      </c>
      <c r="O596" s="667">
        <f t="shared" si="197"/>
        <v>66808</v>
      </c>
      <c r="P596" s="673">
        <f t="shared" si="198"/>
        <v>868504</v>
      </c>
      <c r="Q596" s="668">
        <v>13</v>
      </c>
      <c r="R596" s="666">
        <v>3660</v>
      </c>
      <c r="S596" s="665"/>
      <c r="T596" s="665"/>
      <c r="U596" s="665"/>
      <c r="V596" s="665"/>
      <c r="W596" s="665"/>
      <c r="X596" s="665">
        <v>600</v>
      </c>
      <c r="Y596" s="665">
        <v>940</v>
      </c>
      <c r="Z596" s="665">
        <f t="shared" si="199"/>
        <v>5200</v>
      </c>
      <c r="AA596" s="666">
        <v>1000</v>
      </c>
      <c r="AB596" s="665">
        <v>9400</v>
      </c>
      <c r="AC596" s="665">
        <f t="shared" si="200"/>
        <v>10400</v>
      </c>
      <c r="AD596" s="667">
        <f t="shared" si="201"/>
        <v>72800</v>
      </c>
      <c r="AE596" s="673">
        <f t="shared" si="202"/>
        <v>946400</v>
      </c>
      <c r="AF596" s="665">
        <f t="shared" si="203"/>
        <v>-5992</v>
      </c>
      <c r="AG596" s="665">
        <f t="shared" si="204"/>
        <v>-77896</v>
      </c>
      <c r="AH596" s="668">
        <v>12</v>
      </c>
      <c r="AI596" s="673">
        <v>677386.04</v>
      </c>
    </row>
    <row r="597" spans="1:35" ht="13.5" x14ac:dyDescent="0.2">
      <c r="A597" s="674" t="s">
        <v>786</v>
      </c>
      <c r="B597" s="668">
        <v>0</v>
      </c>
      <c r="C597" s="666">
        <v>0</v>
      </c>
      <c r="D597" s="665"/>
      <c r="E597" s="665"/>
      <c r="F597" s="665"/>
      <c r="G597" s="665"/>
      <c r="H597" s="665"/>
      <c r="I597" s="665"/>
      <c r="J597" s="665"/>
      <c r="K597" s="665">
        <f t="shared" si="195"/>
        <v>0</v>
      </c>
      <c r="L597" s="666">
        <v>0</v>
      </c>
      <c r="M597" s="665"/>
      <c r="N597" s="665"/>
      <c r="O597" s="667"/>
      <c r="P597" s="673"/>
      <c r="Q597" s="668">
        <v>0</v>
      </c>
      <c r="R597" s="666">
        <v>0</v>
      </c>
      <c r="S597" s="665"/>
      <c r="T597" s="665"/>
      <c r="U597" s="665"/>
      <c r="V597" s="665"/>
      <c r="W597" s="665"/>
      <c r="X597" s="665"/>
      <c r="Y597" s="665"/>
      <c r="Z597" s="665">
        <f t="shared" si="199"/>
        <v>0</v>
      </c>
      <c r="AA597" s="666">
        <v>0</v>
      </c>
      <c r="AB597" s="665"/>
      <c r="AC597" s="665"/>
      <c r="AD597" s="667"/>
      <c r="AE597" s="673"/>
      <c r="AF597" s="665"/>
      <c r="AG597" s="665"/>
      <c r="AH597" s="668">
        <v>0</v>
      </c>
      <c r="AI597" s="673"/>
    </row>
    <row r="598" spans="1:35" ht="13.5" x14ac:dyDescent="0.2">
      <c r="A598" s="674" t="s">
        <v>787</v>
      </c>
      <c r="B598" s="668">
        <v>1</v>
      </c>
      <c r="C598" s="666">
        <v>4158</v>
      </c>
      <c r="D598" s="665"/>
      <c r="E598" s="665"/>
      <c r="F598" s="665"/>
      <c r="G598" s="665"/>
      <c r="H598" s="665"/>
      <c r="I598" s="665">
        <v>600</v>
      </c>
      <c r="J598" s="665">
        <v>890</v>
      </c>
      <c r="K598" s="665">
        <f t="shared" si="195"/>
        <v>5648</v>
      </c>
      <c r="L598" s="666">
        <v>1000</v>
      </c>
      <c r="M598" s="666">
        <v>8700</v>
      </c>
      <c r="N598" s="665">
        <f>+L598+M598</f>
        <v>9700</v>
      </c>
      <c r="O598" s="667">
        <f>+(K598*12)+N598</f>
        <v>77476</v>
      </c>
      <c r="P598" s="673">
        <f>+O598*B598</f>
        <v>77476</v>
      </c>
      <c r="Q598" s="668">
        <v>1</v>
      </c>
      <c r="R598" s="666">
        <v>4158</v>
      </c>
      <c r="S598" s="665"/>
      <c r="T598" s="665"/>
      <c r="U598" s="665"/>
      <c r="V598" s="665"/>
      <c r="W598" s="665"/>
      <c r="X598" s="665">
        <v>600</v>
      </c>
      <c r="Y598" s="665">
        <v>950</v>
      </c>
      <c r="Z598" s="665">
        <f t="shared" si="199"/>
        <v>5708</v>
      </c>
      <c r="AA598" s="666">
        <v>1000</v>
      </c>
      <c r="AB598" s="665">
        <v>9500</v>
      </c>
      <c r="AC598" s="665">
        <f>+AA598+AB598</f>
        <v>10500</v>
      </c>
      <c r="AD598" s="667">
        <f>+(Z598*12)+AC598</f>
        <v>78996</v>
      </c>
      <c r="AE598" s="673">
        <f>+AD598*Q598</f>
        <v>78996</v>
      </c>
      <c r="AF598" s="665">
        <f t="shared" ref="AF598:AG601" si="205">SUM(O598-AD598)</f>
        <v>-1520</v>
      </c>
      <c r="AG598" s="665">
        <f t="shared" si="205"/>
        <v>-1520</v>
      </c>
      <c r="AH598" s="668">
        <v>1</v>
      </c>
      <c r="AI598" s="673">
        <v>70265.679999999993</v>
      </c>
    </row>
    <row r="599" spans="1:35" ht="13.5" x14ac:dyDescent="0.2">
      <c r="A599" s="674" t="s">
        <v>788</v>
      </c>
      <c r="B599" s="668">
        <v>13</v>
      </c>
      <c r="C599" s="666">
        <v>4471</v>
      </c>
      <c r="D599" s="665"/>
      <c r="E599" s="665"/>
      <c r="F599" s="665"/>
      <c r="G599" s="665"/>
      <c r="H599" s="665"/>
      <c r="I599" s="665">
        <v>600</v>
      </c>
      <c r="J599" s="665">
        <v>1000</v>
      </c>
      <c r="K599" s="665">
        <f t="shared" si="195"/>
        <v>6071</v>
      </c>
      <c r="L599" s="666">
        <v>1000</v>
      </c>
      <c r="M599" s="666">
        <v>8700</v>
      </c>
      <c r="N599" s="665">
        <f>+L599+M599</f>
        <v>9700</v>
      </c>
      <c r="O599" s="667">
        <f>+(K599*12)+N599</f>
        <v>82552</v>
      </c>
      <c r="P599" s="673">
        <f>+O599*B599</f>
        <v>1073176</v>
      </c>
      <c r="Q599" s="668">
        <v>13</v>
      </c>
      <c r="R599" s="666">
        <v>4471</v>
      </c>
      <c r="S599" s="665"/>
      <c r="T599" s="665"/>
      <c r="U599" s="665"/>
      <c r="V599" s="665"/>
      <c r="W599" s="665"/>
      <c r="X599" s="665">
        <v>600</v>
      </c>
      <c r="Y599" s="665">
        <v>1000</v>
      </c>
      <c r="Z599" s="665">
        <f t="shared" si="199"/>
        <v>6071</v>
      </c>
      <c r="AA599" s="666">
        <v>1000</v>
      </c>
      <c r="AB599" s="665">
        <v>9500</v>
      </c>
      <c r="AC599" s="665">
        <f>+AA599+AB599</f>
        <v>10500</v>
      </c>
      <c r="AD599" s="667">
        <f>+(Z599*12)+AC599</f>
        <v>83352</v>
      </c>
      <c r="AE599" s="673">
        <f>+AD599*Q599</f>
        <v>1083576</v>
      </c>
      <c r="AF599" s="665">
        <f t="shared" si="205"/>
        <v>-800</v>
      </c>
      <c r="AG599" s="665">
        <f t="shared" si="205"/>
        <v>-10400</v>
      </c>
      <c r="AH599" s="668">
        <v>13</v>
      </c>
      <c r="AI599" s="673">
        <v>906934.84</v>
      </c>
    </row>
    <row r="600" spans="1:35" ht="13.5" x14ac:dyDescent="0.2">
      <c r="A600" s="674" t="s">
        <v>789</v>
      </c>
      <c r="B600" s="668">
        <v>10</v>
      </c>
      <c r="C600" s="666">
        <v>3344</v>
      </c>
      <c r="D600" s="665"/>
      <c r="E600" s="665"/>
      <c r="F600" s="665"/>
      <c r="G600" s="665"/>
      <c r="H600" s="665"/>
      <c r="I600" s="665">
        <v>463</v>
      </c>
      <c r="J600" s="665">
        <v>700</v>
      </c>
      <c r="K600" s="665">
        <f t="shared" si="195"/>
        <v>4507</v>
      </c>
      <c r="L600" s="666">
        <v>1000</v>
      </c>
      <c r="M600" s="666">
        <v>8700</v>
      </c>
      <c r="N600" s="665">
        <f>+L600+M600</f>
        <v>9700</v>
      </c>
      <c r="O600" s="667">
        <f>+(K600*12)+N600</f>
        <v>63784</v>
      </c>
      <c r="P600" s="673">
        <f>+O600*B600</f>
        <v>637840</v>
      </c>
      <c r="Q600" s="668">
        <v>10</v>
      </c>
      <c r="R600" s="666">
        <v>3344</v>
      </c>
      <c r="S600" s="665"/>
      <c r="T600" s="665"/>
      <c r="U600" s="665"/>
      <c r="V600" s="665"/>
      <c r="W600" s="665"/>
      <c r="X600" s="665">
        <v>500</v>
      </c>
      <c r="Y600" s="665">
        <v>950</v>
      </c>
      <c r="Z600" s="665">
        <f t="shared" si="199"/>
        <v>4794</v>
      </c>
      <c r="AA600" s="666">
        <v>1000</v>
      </c>
      <c r="AB600" s="665">
        <v>9400</v>
      </c>
      <c r="AC600" s="665">
        <f>+AA600+AB600</f>
        <v>10400</v>
      </c>
      <c r="AD600" s="667">
        <f>+(Z600*12)+AC600</f>
        <v>67928</v>
      </c>
      <c r="AE600" s="673">
        <f>+AD600*Q600</f>
        <v>679280</v>
      </c>
      <c r="AF600" s="665">
        <f t="shared" si="205"/>
        <v>-4144</v>
      </c>
      <c r="AG600" s="665">
        <f t="shared" si="205"/>
        <v>-41440</v>
      </c>
      <c r="AH600" s="668">
        <v>10</v>
      </c>
      <c r="AI600" s="673">
        <v>607517.36</v>
      </c>
    </row>
    <row r="601" spans="1:35" ht="13.5" x14ac:dyDescent="0.2">
      <c r="A601" s="674" t="s">
        <v>790</v>
      </c>
      <c r="B601" s="668">
        <v>2</v>
      </c>
      <c r="C601" s="666">
        <v>3660</v>
      </c>
      <c r="D601" s="665"/>
      <c r="E601" s="665"/>
      <c r="F601" s="665"/>
      <c r="G601" s="665"/>
      <c r="H601" s="665"/>
      <c r="I601" s="665">
        <v>500</v>
      </c>
      <c r="J601" s="665">
        <v>701</v>
      </c>
      <c r="K601" s="665">
        <f t="shared" si="195"/>
        <v>4861</v>
      </c>
      <c r="L601" s="666">
        <v>1000</v>
      </c>
      <c r="M601" s="666">
        <v>8700</v>
      </c>
      <c r="N601" s="665">
        <f>+L601+M601</f>
        <v>9700</v>
      </c>
      <c r="O601" s="667">
        <f>+(K601*12)+N601</f>
        <v>68032</v>
      </c>
      <c r="P601" s="673">
        <f>+O601*B601</f>
        <v>136064</v>
      </c>
      <c r="Q601" s="668">
        <v>2</v>
      </c>
      <c r="R601" s="666">
        <v>3660</v>
      </c>
      <c r="S601" s="665"/>
      <c r="T601" s="665"/>
      <c r="U601" s="665"/>
      <c r="V601" s="665"/>
      <c r="W601" s="665"/>
      <c r="X601" s="665">
        <v>500</v>
      </c>
      <c r="Y601" s="665">
        <v>900</v>
      </c>
      <c r="Z601" s="665">
        <f t="shared" si="199"/>
        <v>5060</v>
      </c>
      <c r="AA601" s="666">
        <v>1000</v>
      </c>
      <c r="AB601" s="665">
        <v>9400</v>
      </c>
      <c r="AC601" s="665">
        <f>+AA601+AB601</f>
        <v>10400</v>
      </c>
      <c r="AD601" s="667">
        <f>+(Z601*12)+AC601</f>
        <v>71120</v>
      </c>
      <c r="AE601" s="673">
        <f>+AD601*Q601</f>
        <v>142240</v>
      </c>
      <c r="AF601" s="665">
        <f t="shared" si="205"/>
        <v>-3088</v>
      </c>
      <c r="AG601" s="665">
        <f t="shared" si="205"/>
        <v>-6176</v>
      </c>
      <c r="AH601" s="668">
        <v>2</v>
      </c>
      <c r="AI601" s="673">
        <v>120119.84</v>
      </c>
    </row>
    <row r="602" spans="1:35" ht="13.5" x14ac:dyDescent="0.2">
      <c r="A602" s="674" t="s">
        <v>791</v>
      </c>
      <c r="B602" s="668">
        <v>0</v>
      </c>
      <c r="C602" s="666">
        <v>0</v>
      </c>
      <c r="D602" s="665"/>
      <c r="E602" s="665"/>
      <c r="F602" s="665"/>
      <c r="G602" s="665"/>
      <c r="H602" s="665"/>
      <c r="I602" s="665"/>
      <c r="J602" s="665"/>
      <c r="K602" s="665">
        <f t="shared" si="195"/>
        <v>0</v>
      </c>
      <c r="L602" s="666">
        <v>0</v>
      </c>
      <c r="M602" s="665"/>
      <c r="N602" s="665"/>
      <c r="O602" s="667"/>
      <c r="P602" s="673"/>
      <c r="Q602" s="668">
        <v>0</v>
      </c>
      <c r="R602" s="666">
        <v>0</v>
      </c>
      <c r="S602" s="665"/>
      <c r="T602" s="665"/>
      <c r="U602" s="665"/>
      <c r="V602" s="665"/>
      <c r="W602" s="665"/>
      <c r="X602" s="665"/>
      <c r="Y602" s="665"/>
      <c r="Z602" s="665">
        <f t="shared" si="199"/>
        <v>0</v>
      </c>
      <c r="AA602" s="666">
        <v>0</v>
      </c>
      <c r="AB602" s="665"/>
      <c r="AC602" s="665"/>
      <c r="AD602" s="667"/>
      <c r="AE602" s="673"/>
      <c r="AF602" s="665"/>
      <c r="AG602" s="665"/>
      <c r="AH602" s="668">
        <v>0</v>
      </c>
      <c r="AI602" s="673"/>
    </row>
    <row r="603" spans="1:35" ht="13.5" x14ac:dyDescent="0.2">
      <c r="A603" s="674" t="s">
        <v>792</v>
      </c>
      <c r="B603" s="668">
        <v>0</v>
      </c>
      <c r="C603" s="666">
        <v>0</v>
      </c>
      <c r="D603" s="665"/>
      <c r="E603" s="665"/>
      <c r="F603" s="665"/>
      <c r="G603" s="665"/>
      <c r="H603" s="665"/>
      <c r="I603" s="665"/>
      <c r="J603" s="665"/>
      <c r="K603" s="665">
        <f t="shared" si="195"/>
        <v>0</v>
      </c>
      <c r="L603" s="666">
        <v>0</v>
      </c>
      <c r="M603" s="665"/>
      <c r="N603" s="665"/>
      <c r="O603" s="667"/>
      <c r="P603" s="673"/>
      <c r="Q603" s="668">
        <v>0</v>
      </c>
      <c r="R603" s="666">
        <v>0</v>
      </c>
      <c r="S603" s="665"/>
      <c r="T603" s="665"/>
      <c r="U603" s="665"/>
      <c r="V603" s="665"/>
      <c r="W603" s="665"/>
      <c r="X603" s="665"/>
      <c r="Y603" s="665"/>
      <c r="Z603" s="665">
        <f t="shared" si="199"/>
        <v>0</v>
      </c>
      <c r="AA603" s="666">
        <v>0</v>
      </c>
      <c r="AB603" s="665"/>
      <c r="AC603" s="665"/>
      <c r="AD603" s="667"/>
      <c r="AE603" s="673"/>
      <c r="AF603" s="665"/>
      <c r="AG603" s="665"/>
      <c r="AH603" s="668">
        <v>0</v>
      </c>
      <c r="AI603" s="673"/>
    </row>
    <row r="604" spans="1:35" ht="13.5" x14ac:dyDescent="0.2">
      <c r="A604" s="674" t="s">
        <v>793</v>
      </c>
      <c r="B604" s="668">
        <v>3</v>
      </c>
      <c r="C604" s="666">
        <v>4471</v>
      </c>
      <c r="D604" s="665"/>
      <c r="E604" s="665"/>
      <c r="F604" s="665"/>
      <c r="G604" s="665"/>
      <c r="H604" s="665"/>
      <c r="I604" s="665">
        <v>600</v>
      </c>
      <c r="J604" s="665">
        <v>797.13</v>
      </c>
      <c r="K604" s="665">
        <f t="shared" si="195"/>
        <v>5868.13</v>
      </c>
      <c r="L604" s="666">
        <v>1000</v>
      </c>
      <c r="M604" s="666">
        <v>8700</v>
      </c>
      <c r="N604" s="665">
        <f>+L604+M604</f>
        <v>9700</v>
      </c>
      <c r="O604" s="667">
        <f>+(K604*12)+N604</f>
        <v>80117.56</v>
      </c>
      <c r="P604" s="673">
        <f>+O604*B604</f>
        <v>240352.68</v>
      </c>
      <c r="Q604" s="668">
        <v>3</v>
      </c>
      <c r="R604" s="666">
        <v>4471</v>
      </c>
      <c r="S604" s="665"/>
      <c r="T604" s="665"/>
      <c r="U604" s="665"/>
      <c r="V604" s="665"/>
      <c r="W604" s="665"/>
      <c r="X604" s="665">
        <v>600</v>
      </c>
      <c r="Y604" s="665">
        <v>850</v>
      </c>
      <c r="Z604" s="665">
        <f t="shared" si="199"/>
        <v>5921</v>
      </c>
      <c r="AA604" s="666">
        <v>1000</v>
      </c>
      <c r="AB604" s="665">
        <v>9400</v>
      </c>
      <c r="AC604" s="665">
        <f>+AA604+AB604</f>
        <v>10400</v>
      </c>
      <c r="AD604" s="667">
        <f>+(Z604*12)+AC604</f>
        <v>81452</v>
      </c>
      <c r="AE604" s="673">
        <f>+AD604*Q604</f>
        <v>244356</v>
      </c>
      <c r="AF604" s="665">
        <f>SUM(O604-AD604)</f>
        <v>-1334.4400000000023</v>
      </c>
      <c r="AG604" s="665">
        <f>SUM(P604-AE604)</f>
        <v>-4003.320000000007</v>
      </c>
      <c r="AH604" s="668">
        <v>3</v>
      </c>
      <c r="AI604" s="673">
        <v>223255.8</v>
      </c>
    </row>
    <row r="605" spans="1:35" ht="13.5" x14ac:dyDescent="0.2">
      <c r="A605" s="674" t="s">
        <v>794</v>
      </c>
      <c r="B605" s="668">
        <v>1</v>
      </c>
      <c r="C605" s="666">
        <v>3344</v>
      </c>
      <c r="D605" s="665"/>
      <c r="E605" s="665"/>
      <c r="F605" s="665"/>
      <c r="G605" s="665"/>
      <c r="H605" s="665"/>
      <c r="I605" s="665">
        <v>600</v>
      </c>
      <c r="J605" s="665">
        <v>790</v>
      </c>
      <c r="K605" s="665">
        <f t="shared" si="195"/>
        <v>4734</v>
      </c>
      <c r="L605" s="666">
        <v>1000</v>
      </c>
      <c r="M605" s="666">
        <v>8700</v>
      </c>
      <c r="N605" s="665">
        <f>+L605+M605</f>
        <v>9700</v>
      </c>
      <c r="O605" s="667">
        <f>+(K605*12)+N605</f>
        <v>66508</v>
      </c>
      <c r="P605" s="673">
        <f>+O605*B605</f>
        <v>66508</v>
      </c>
      <c r="Q605" s="668">
        <v>1</v>
      </c>
      <c r="R605" s="666">
        <v>3344</v>
      </c>
      <c r="S605" s="665"/>
      <c r="T605" s="665"/>
      <c r="U605" s="665"/>
      <c r="V605" s="665"/>
      <c r="W605" s="665"/>
      <c r="X605" s="665">
        <v>600</v>
      </c>
      <c r="Y605" s="665">
        <v>850</v>
      </c>
      <c r="Z605" s="665">
        <f t="shared" si="199"/>
        <v>4794</v>
      </c>
      <c r="AA605" s="666">
        <v>1000</v>
      </c>
      <c r="AB605" s="665">
        <v>9400</v>
      </c>
      <c r="AC605" s="665">
        <f>+AA605+AB605</f>
        <v>10400</v>
      </c>
      <c r="AD605" s="667">
        <f>+(Z605*12)+AC605</f>
        <v>67928</v>
      </c>
      <c r="AE605" s="673">
        <f>+AD605*Q605</f>
        <v>67928</v>
      </c>
      <c r="AF605" s="665">
        <f>SUM(O605-AD605)</f>
        <v>-1420</v>
      </c>
      <c r="AG605" s="665">
        <f>SUM(P605-AE605)</f>
        <v>-1420</v>
      </c>
      <c r="AH605" s="668">
        <v>1</v>
      </c>
      <c r="AI605" s="673">
        <v>50824.12</v>
      </c>
    </row>
    <row r="606" spans="1:35" ht="13.5" x14ac:dyDescent="0.2">
      <c r="A606" s="674" t="s">
        <v>795</v>
      </c>
      <c r="B606" s="668">
        <v>0</v>
      </c>
      <c r="C606" s="666">
        <v>0</v>
      </c>
      <c r="D606" s="665"/>
      <c r="E606" s="665"/>
      <c r="F606" s="665"/>
      <c r="G606" s="665"/>
      <c r="H606" s="665"/>
      <c r="I606" s="666"/>
      <c r="J606" s="665"/>
      <c r="K606" s="665">
        <f t="shared" si="195"/>
        <v>0</v>
      </c>
      <c r="L606" s="666">
        <v>0</v>
      </c>
      <c r="M606" s="665"/>
      <c r="N606" s="665"/>
      <c r="O606" s="667"/>
      <c r="P606" s="673"/>
      <c r="Q606" s="668">
        <v>0</v>
      </c>
      <c r="R606" s="666">
        <v>0</v>
      </c>
      <c r="S606" s="665"/>
      <c r="T606" s="665"/>
      <c r="U606" s="665"/>
      <c r="V606" s="665"/>
      <c r="W606" s="665"/>
      <c r="X606" s="666"/>
      <c r="Y606" s="665"/>
      <c r="Z606" s="665">
        <f t="shared" si="199"/>
        <v>0</v>
      </c>
      <c r="AA606" s="666">
        <v>0</v>
      </c>
      <c r="AB606" s="665"/>
      <c r="AC606" s="665"/>
      <c r="AD606" s="667"/>
      <c r="AE606" s="673"/>
      <c r="AF606" s="665"/>
      <c r="AG606" s="665"/>
      <c r="AH606" s="668">
        <v>0</v>
      </c>
      <c r="AI606" s="673"/>
    </row>
    <row r="607" spans="1:35" ht="13.5" x14ac:dyDescent="0.2">
      <c r="A607" s="674" t="s">
        <v>796</v>
      </c>
      <c r="B607" s="668">
        <v>0</v>
      </c>
      <c r="C607" s="666">
        <v>0</v>
      </c>
      <c r="D607" s="665"/>
      <c r="E607" s="665"/>
      <c r="F607" s="665"/>
      <c r="G607" s="665"/>
      <c r="H607" s="665"/>
      <c r="I607" s="666">
        <v>0</v>
      </c>
      <c r="J607" s="665"/>
      <c r="K607" s="665">
        <f t="shared" si="195"/>
        <v>0</v>
      </c>
      <c r="L607" s="666">
        <v>0</v>
      </c>
      <c r="M607" s="665"/>
      <c r="N607" s="665"/>
      <c r="O607" s="667"/>
      <c r="P607" s="673"/>
      <c r="Q607" s="668">
        <v>0</v>
      </c>
      <c r="R607" s="666">
        <v>0</v>
      </c>
      <c r="S607" s="665"/>
      <c r="T607" s="665"/>
      <c r="U607" s="665"/>
      <c r="V607" s="665"/>
      <c r="W607" s="665"/>
      <c r="X607" s="666">
        <v>0</v>
      </c>
      <c r="Y607" s="665"/>
      <c r="Z607" s="665">
        <f t="shared" si="199"/>
        <v>0</v>
      </c>
      <c r="AA607" s="666">
        <v>0</v>
      </c>
      <c r="AB607" s="665"/>
      <c r="AC607" s="665"/>
      <c r="AD607" s="667"/>
      <c r="AE607" s="673"/>
      <c r="AF607" s="665"/>
      <c r="AG607" s="665"/>
      <c r="AH607" s="668">
        <v>0</v>
      </c>
      <c r="AI607" s="673"/>
    </row>
    <row r="608" spans="1:35" ht="13.5" x14ac:dyDescent="0.2">
      <c r="A608" s="674" t="s">
        <v>797</v>
      </c>
      <c r="B608" s="668">
        <v>0</v>
      </c>
      <c r="C608" s="666">
        <v>0</v>
      </c>
      <c r="D608" s="665"/>
      <c r="E608" s="665"/>
      <c r="F608" s="665"/>
      <c r="G608" s="665"/>
      <c r="H608" s="665"/>
      <c r="I608" s="666">
        <v>0</v>
      </c>
      <c r="J608" s="665"/>
      <c r="K608" s="665">
        <f t="shared" si="195"/>
        <v>0</v>
      </c>
      <c r="L608" s="666">
        <v>0</v>
      </c>
      <c r="M608" s="665"/>
      <c r="N608" s="665"/>
      <c r="O608" s="667"/>
      <c r="P608" s="673"/>
      <c r="Q608" s="668">
        <v>0</v>
      </c>
      <c r="R608" s="666">
        <v>0</v>
      </c>
      <c r="S608" s="665"/>
      <c r="T608" s="665"/>
      <c r="U608" s="665"/>
      <c r="V608" s="665"/>
      <c r="W608" s="665"/>
      <c r="X608" s="666">
        <v>0</v>
      </c>
      <c r="Y608" s="665"/>
      <c r="Z608" s="665">
        <f t="shared" si="199"/>
        <v>0</v>
      </c>
      <c r="AA608" s="666">
        <v>0</v>
      </c>
      <c r="AB608" s="665"/>
      <c r="AC608" s="665"/>
      <c r="AD608" s="667"/>
      <c r="AE608" s="673"/>
      <c r="AF608" s="665"/>
      <c r="AG608" s="665"/>
      <c r="AH608" s="668">
        <v>0</v>
      </c>
      <c r="AI608" s="673"/>
    </row>
    <row r="609" spans="1:35" ht="13.5" x14ac:dyDescent="0.2">
      <c r="A609" s="674" t="s">
        <v>798</v>
      </c>
      <c r="B609" s="668">
        <v>0</v>
      </c>
      <c r="C609" s="666">
        <v>0</v>
      </c>
      <c r="D609" s="665"/>
      <c r="E609" s="665"/>
      <c r="F609" s="665"/>
      <c r="G609" s="665"/>
      <c r="H609" s="665"/>
      <c r="I609" s="666">
        <v>0</v>
      </c>
      <c r="J609" s="665"/>
      <c r="K609" s="665">
        <f t="shared" si="195"/>
        <v>0</v>
      </c>
      <c r="L609" s="666">
        <v>0</v>
      </c>
      <c r="M609" s="665"/>
      <c r="N609" s="665"/>
      <c r="O609" s="667"/>
      <c r="P609" s="673"/>
      <c r="Q609" s="668">
        <v>0</v>
      </c>
      <c r="R609" s="666">
        <v>0</v>
      </c>
      <c r="S609" s="665"/>
      <c r="T609" s="665"/>
      <c r="U609" s="665"/>
      <c r="V609" s="665"/>
      <c r="W609" s="665"/>
      <c r="X609" s="666">
        <v>0</v>
      </c>
      <c r="Y609" s="665"/>
      <c r="Z609" s="665">
        <f t="shared" si="199"/>
        <v>0</v>
      </c>
      <c r="AA609" s="666">
        <v>0</v>
      </c>
      <c r="AB609" s="665"/>
      <c r="AC609" s="665"/>
      <c r="AD609" s="667"/>
      <c r="AE609" s="673"/>
      <c r="AF609" s="665"/>
      <c r="AG609" s="665"/>
      <c r="AH609" s="668">
        <v>0</v>
      </c>
      <c r="AI609" s="673"/>
    </row>
    <row r="610" spans="1:35" ht="13.5" x14ac:dyDescent="0.2">
      <c r="A610" s="674" t="s">
        <v>799</v>
      </c>
      <c r="B610" s="668">
        <v>0</v>
      </c>
      <c r="C610" s="666">
        <v>0</v>
      </c>
      <c r="D610" s="665"/>
      <c r="E610" s="665"/>
      <c r="F610" s="665"/>
      <c r="G610" s="665"/>
      <c r="H610" s="665"/>
      <c r="I610" s="666">
        <v>0</v>
      </c>
      <c r="J610" s="665"/>
      <c r="K610" s="665">
        <f t="shared" si="195"/>
        <v>0</v>
      </c>
      <c r="L610" s="666">
        <v>0</v>
      </c>
      <c r="M610" s="665"/>
      <c r="N610" s="665"/>
      <c r="O610" s="667"/>
      <c r="P610" s="673"/>
      <c r="Q610" s="668">
        <v>0</v>
      </c>
      <c r="R610" s="666">
        <v>0</v>
      </c>
      <c r="S610" s="665"/>
      <c r="T610" s="665"/>
      <c r="U610" s="665"/>
      <c r="V610" s="665"/>
      <c r="W610" s="665"/>
      <c r="X610" s="666">
        <v>0</v>
      </c>
      <c r="Y610" s="665"/>
      <c r="Z610" s="665">
        <f t="shared" si="199"/>
        <v>0</v>
      </c>
      <c r="AA610" s="666">
        <v>0</v>
      </c>
      <c r="AB610" s="665"/>
      <c r="AC610" s="665"/>
      <c r="AD610" s="667"/>
      <c r="AE610" s="673"/>
      <c r="AF610" s="665"/>
      <c r="AG610" s="665"/>
      <c r="AH610" s="668">
        <v>0</v>
      </c>
      <c r="AI610" s="673"/>
    </row>
    <row r="611" spans="1:35" ht="13.5" x14ac:dyDescent="0.2">
      <c r="A611" s="674" t="s">
        <v>800</v>
      </c>
      <c r="B611" s="668">
        <v>0</v>
      </c>
      <c r="C611" s="666">
        <v>0</v>
      </c>
      <c r="D611" s="665"/>
      <c r="E611" s="665"/>
      <c r="F611" s="665"/>
      <c r="G611" s="665"/>
      <c r="H611" s="665"/>
      <c r="I611" s="666">
        <v>0</v>
      </c>
      <c r="J611" s="665"/>
      <c r="K611" s="665">
        <f t="shared" si="195"/>
        <v>0</v>
      </c>
      <c r="L611" s="666">
        <v>0</v>
      </c>
      <c r="M611" s="665"/>
      <c r="N611" s="665"/>
      <c r="O611" s="667"/>
      <c r="P611" s="673"/>
      <c r="Q611" s="668">
        <v>0</v>
      </c>
      <c r="R611" s="666">
        <v>0</v>
      </c>
      <c r="S611" s="665"/>
      <c r="T611" s="665"/>
      <c r="U611" s="665"/>
      <c r="V611" s="665"/>
      <c r="W611" s="665"/>
      <c r="X611" s="666">
        <v>0</v>
      </c>
      <c r="Y611" s="665"/>
      <c r="Z611" s="665">
        <f t="shared" si="199"/>
        <v>0</v>
      </c>
      <c r="AA611" s="666">
        <v>0</v>
      </c>
      <c r="AB611" s="665"/>
      <c r="AC611" s="665"/>
      <c r="AD611" s="667"/>
      <c r="AE611" s="673"/>
      <c r="AF611" s="665"/>
      <c r="AG611" s="665"/>
      <c r="AH611" s="668">
        <v>0</v>
      </c>
      <c r="AI611" s="673"/>
    </row>
    <row r="612" spans="1:35" ht="13.5" x14ac:dyDescent="0.2">
      <c r="A612" s="674" t="s">
        <v>801</v>
      </c>
      <c r="B612" s="668">
        <v>0</v>
      </c>
      <c r="C612" s="666">
        <v>0</v>
      </c>
      <c r="D612" s="665"/>
      <c r="E612" s="665"/>
      <c r="F612" s="665"/>
      <c r="G612" s="665"/>
      <c r="H612" s="665"/>
      <c r="I612" s="666">
        <v>0</v>
      </c>
      <c r="J612" s="665"/>
      <c r="K612" s="665">
        <f t="shared" si="195"/>
        <v>0</v>
      </c>
      <c r="L612" s="666">
        <v>0</v>
      </c>
      <c r="M612" s="665"/>
      <c r="N612" s="665"/>
      <c r="O612" s="667"/>
      <c r="P612" s="673"/>
      <c r="Q612" s="668">
        <v>0</v>
      </c>
      <c r="R612" s="666">
        <v>0</v>
      </c>
      <c r="S612" s="665"/>
      <c r="T612" s="665"/>
      <c r="U612" s="665"/>
      <c r="V612" s="665"/>
      <c r="W612" s="665"/>
      <c r="X612" s="666">
        <v>0</v>
      </c>
      <c r="Y612" s="665"/>
      <c r="Z612" s="665">
        <f t="shared" si="199"/>
        <v>0</v>
      </c>
      <c r="AA612" s="666">
        <v>0</v>
      </c>
      <c r="AB612" s="665"/>
      <c r="AC612" s="665"/>
      <c r="AD612" s="667"/>
      <c r="AE612" s="673"/>
      <c r="AF612" s="665"/>
      <c r="AG612" s="665"/>
      <c r="AH612" s="668">
        <v>0</v>
      </c>
      <c r="AI612" s="673"/>
    </row>
    <row r="613" spans="1:35" ht="13.5" x14ac:dyDescent="0.2">
      <c r="A613" s="674" t="s">
        <v>802</v>
      </c>
      <c r="B613" s="668">
        <v>4</v>
      </c>
      <c r="C613" s="666">
        <v>3344</v>
      </c>
      <c r="D613" s="665"/>
      <c r="E613" s="665"/>
      <c r="F613" s="665"/>
      <c r="G613" s="665"/>
      <c r="H613" s="665"/>
      <c r="I613" s="666">
        <v>600</v>
      </c>
      <c r="J613" s="665">
        <v>820</v>
      </c>
      <c r="K613" s="665">
        <f t="shared" si="195"/>
        <v>4764</v>
      </c>
      <c r="L613" s="666">
        <v>1000</v>
      </c>
      <c r="M613" s="666">
        <v>8700</v>
      </c>
      <c r="N613" s="665">
        <f>+L613+M613</f>
        <v>9700</v>
      </c>
      <c r="O613" s="667">
        <f>+(K613*12)+N613</f>
        <v>66868</v>
      </c>
      <c r="P613" s="673">
        <f>+O613*B613</f>
        <v>267472</v>
      </c>
      <c r="Q613" s="668">
        <v>4</v>
      </c>
      <c r="R613" s="666">
        <v>3344</v>
      </c>
      <c r="S613" s="665"/>
      <c r="T613" s="665"/>
      <c r="U613" s="665"/>
      <c r="V613" s="665"/>
      <c r="W613" s="665"/>
      <c r="X613" s="666">
        <v>600</v>
      </c>
      <c r="Y613" s="665">
        <v>820</v>
      </c>
      <c r="Z613" s="665">
        <f t="shared" si="199"/>
        <v>4764</v>
      </c>
      <c r="AA613" s="666">
        <v>1000</v>
      </c>
      <c r="AB613" s="665">
        <v>9400</v>
      </c>
      <c r="AC613" s="665">
        <f>+AA613+AB613</f>
        <v>10400</v>
      </c>
      <c r="AD613" s="667">
        <f>+(Z613*12)+AC613</f>
        <v>67568</v>
      </c>
      <c r="AE613" s="673">
        <f>+AD613*Q613</f>
        <v>270272</v>
      </c>
      <c r="AF613" s="665">
        <f t="shared" ref="AF613:AG615" si="206">SUM(O613-AD613)</f>
        <v>-700</v>
      </c>
      <c r="AG613" s="665">
        <f t="shared" si="206"/>
        <v>-2800</v>
      </c>
      <c r="AH613" s="668">
        <v>4</v>
      </c>
      <c r="AI613" s="673">
        <v>231994.32</v>
      </c>
    </row>
    <row r="614" spans="1:35" ht="13.5" x14ac:dyDescent="0.2">
      <c r="A614" s="674" t="s">
        <v>803</v>
      </c>
      <c r="B614" s="668">
        <v>0</v>
      </c>
      <c r="C614" s="666">
        <v>0</v>
      </c>
      <c r="D614" s="665"/>
      <c r="E614" s="665"/>
      <c r="F614" s="665"/>
      <c r="G614" s="665"/>
      <c r="H614" s="665"/>
      <c r="I614" s="666">
        <v>600</v>
      </c>
      <c r="J614" s="665">
        <v>820</v>
      </c>
      <c r="K614" s="665">
        <f t="shared" si="195"/>
        <v>1420</v>
      </c>
      <c r="L614" s="666">
        <v>0</v>
      </c>
      <c r="M614" s="666">
        <v>0</v>
      </c>
      <c r="N614" s="665"/>
      <c r="O614" s="667"/>
      <c r="P614" s="673"/>
      <c r="Q614" s="668">
        <v>0</v>
      </c>
      <c r="R614" s="666">
        <v>0</v>
      </c>
      <c r="S614" s="665"/>
      <c r="T614" s="665"/>
      <c r="U614" s="665"/>
      <c r="V614" s="665"/>
      <c r="W614" s="665"/>
      <c r="X614" s="666">
        <v>600</v>
      </c>
      <c r="Y614" s="665">
        <v>820</v>
      </c>
      <c r="Z614" s="665">
        <f t="shared" si="199"/>
        <v>1420</v>
      </c>
      <c r="AA614" s="666">
        <v>0</v>
      </c>
      <c r="AB614" s="665">
        <v>9400</v>
      </c>
      <c r="AC614" s="665"/>
      <c r="AD614" s="667"/>
      <c r="AE614" s="673"/>
      <c r="AF614" s="665">
        <f t="shared" si="206"/>
        <v>0</v>
      </c>
      <c r="AG614" s="665">
        <f t="shared" si="206"/>
        <v>0</v>
      </c>
      <c r="AH614" s="668">
        <v>0</v>
      </c>
      <c r="AI614" s="673"/>
    </row>
    <row r="615" spans="1:35" ht="13.5" x14ac:dyDescent="0.2">
      <c r="A615" s="674" t="s">
        <v>746</v>
      </c>
      <c r="B615" s="668">
        <v>2</v>
      </c>
      <c r="C615" s="666">
        <v>3344</v>
      </c>
      <c r="D615" s="665"/>
      <c r="E615" s="665"/>
      <c r="F615" s="665"/>
      <c r="G615" s="665"/>
      <c r="H615" s="665"/>
      <c r="I615" s="666">
        <v>600</v>
      </c>
      <c r="J615" s="665">
        <v>820</v>
      </c>
      <c r="K615" s="665">
        <f t="shared" si="195"/>
        <v>4764</v>
      </c>
      <c r="L615" s="666">
        <v>1000</v>
      </c>
      <c r="M615" s="666">
        <v>8700</v>
      </c>
      <c r="N615" s="665">
        <f>+L615+M615</f>
        <v>9700</v>
      </c>
      <c r="O615" s="667">
        <f>+(K615*12)+N615</f>
        <v>66868</v>
      </c>
      <c r="P615" s="673">
        <f>+O615*B615</f>
        <v>133736</v>
      </c>
      <c r="Q615" s="668">
        <v>2</v>
      </c>
      <c r="R615" s="666">
        <v>3344</v>
      </c>
      <c r="S615" s="665"/>
      <c r="T615" s="665"/>
      <c r="U615" s="665"/>
      <c r="V615" s="665"/>
      <c r="W615" s="665"/>
      <c r="X615" s="666">
        <v>536.5</v>
      </c>
      <c r="Y615" s="665">
        <v>820</v>
      </c>
      <c r="Z615" s="665">
        <f t="shared" si="199"/>
        <v>4700.5</v>
      </c>
      <c r="AA615" s="666">
        <v>1000</v>
      </c>
      <c r="AB615" s="665">
        <v>9400</v>
      </c>
      <c r="AC615" s="665">
        <f>+AA615+AB615</f>
        <v>10400</v>
      </c>
      <c r="AD615" s="667">
        <f>+(Z615*12)+AC615</f>
        <v>66806</v>
      </c>
      <c r="AE615" s="673">
        <f>+AD615*Q615</f>
        <v>133612</v>
      </c>
      <c r="AF615" s="665">
        <f t="shared" si="206"/>
        <v>62</v>
      </c>
      <c r="AG615" s="665">
        <f t="shared" si="206"/>
        <v>124</v>
      </c>
      <c r="AH615" s="668">
        <v>4</v>
      </c>
      <c r="AI615" s="673">
        <v>298747</v>
      </c>
    </row>
    <row r="616" spans="1:35" ht="13.5" x14ac:dyDescent="0.2">
      <c r="A616" s="674" t="s">
        <v>747</v>
      </c>
      <c r="B616" s="668">
        <v>0</v>
      </c>
      <c r="C616" s="666">
        <v>0</v>
      </c>
      <c r="D616" s="665"/>
      <c r="E616" s="665"/>
      <c r="F616" s="665"/>
      <c r="G616" s="665"/>
      <c r="H616" s="665"/>
      <c r="I616" s="666"/>
      <c r="J616" s="665"/>
      <c r="K616" s="665">
        <f t="shared" si="195"/>
        <v>0</v>
      </c>
      <c r="L616" s="666">
        <v>0</v>
      </c>
      <c r="M616" s="666"/>
      <c r="N616" s="665"/>
      <c r="O616" s="667"/>
      <c r="P616" s="673"/>
      <c r="Q616" s="668">
        <v>0</v>
      </c>
      <c r="R616" s="666">
        <v>0</v>
      </c>
      <c r="S616" s="665"/>
      <c r="T616" s="665"/>
      <c r="U616" s="665"/>
      <c r="V616" s="665"/>
      <c r="W616" s="665"/>
      <c r="X616" s="666"/>
      <c r="Y616" s="665"/>
      <c r="Z616" s="665">
        <f t="shared" si="199"/>
        <v>0</v>
      </c>
      <c r="AA616" s="666">
        <v>0</v>
      </c>
      <c r="AB616" s="665"/>
      <c r="AC616" s="665"/>
      <c r="AD616" s="667"/>
      <c r="AE616" s="673"/>
      <c r="AF616" s="665"/>
      <c r="AG616" s="665"/>
      <c r="AH616" s="668">
        <v>0</v>
      </c>
      <c r="AI616" s="673"/>
    </row>
    <row r="617" spans="1:35" ht="13.5" x14ac:dyDescent="0.2">
      <c r="A617" s="674" t="s">
        <v>748</v>
      </c>
      <c r="B617" s="668">
        <v>0</v>
      </c>
      <c r="C617" s="666">
        <v>0</v>
      </c>
      <c r="D617" s="665"/>
      <c r="E617" s="665"/>
      <c r="F617" s="665"/>
      <c r="G617" s="665"/>
      <c r="H617" s="665"/>
      <c r="I617" s="666">
        <v>0</v>
      </c>
      <c r="J617" s="665"/>
      <c r="K617" s="665">
        <f t="shared" si="195"/>
        <v>0</v>
      </c>
      <c r="L617" s="666">
        <v>0</v>
      </c>
      <c r="M617" s="666">
        <v>0</v>
      </c>
      <c r="N617" s="665"/>
      <c r="O617" s="667"/>
      <c r="P617" s="673"/>
      <c r="Q617" s="668">
        <v>0</v>
      </c>
      <c r="R617" s="666">
        <v>0</v>
      </c>
      <c r="S617" s="665"/>
      <c r="T617" s="665"/>
      <c r="U617" s="665"/>
      <c r="V617" s="665"/>
      <c r="W617" s="665"/>
      <c r="X617" s="666">
        <v>0</v>
      </c>
      <c r="Y617" s="665"/>
      <c r="Z617" s="665">
        <f t="shared" si="199"/>
        <v>0</v>
      </c>
      <c r="AA617" s="666">
        <v>0</v>
      </c>
      <c r="AB617" s="665"/>
      <c r="AC617" s="665"/>
      <c r="AD617" s="667"/>
      <c r="AE617" s="673"/>
      <c r="AF617" s="665"/>
      <c r="AG617" s="665"/>
      <c r="AH617" s="668">
        <v>0</v>
      </c>
      <c r="AI617" s="673"/>
    </row>
    <row r="618" spans="1:35" ht="13.5" x14ac:dyDescent="0.2">
      <c r="A618" s="674" t="s">
        <v>701</v>
      </c>
      <c r="B618" s="668">
        <v>1</v>
      </c>
      <c r="C618" s="666">
        <v>3344</v>
      </c>
      <c r="D618" s="665"/>
      <c r="E618" s="665"/>
      <c r="F618" s="665"/>
      <c r="G618" s="665"/>
      <c r="H618" s="665"/>
      <c r="I618" s="666">
        <v>400</v>
      </c>
      <c r="J618" s="665">
        <v>734.65</v>
      </c>
      <c r="K618" s="665">
        <f t="shared" si="195"/>
        <v>4478.6499999999996</v>
      </c>
      <c r="L618" s="666">
        <v>1000</v>
      </c>
      <c r="M618" s="666">
        <v>8700</v>
      </c>
      <c r="N618" s="665">
        <f>+L618+M618</f>
        <v>9700</v>
      </c>
      <c r="O618" s="667">
        <f>+(K618*12)+N618</f>
        <v>63443.799999999996</v>
      </c>
      <c r="P618" s="673">
        <f>+O618*B618</f>
        <v>63443.799999999996</v>
      </c>
      <c r="Q618" s="668">
        <v>1</v>
      </c>
      <c r="R618" s="666">
        <v>3344</v>
      </c>
      <c r="S618" s="665"/>
      <c r="T618" s="665"/>
      <c r="U618" s="665"/>
      <c r="V618" s="665"/>
      <c r="W618" s="665"/>
      <c r="X618" s="666">
        <v>450.1</v>
      </c>
      <c r="Y618" s="665">
        <v>734.6</v>
      </c>
      <c r="Z618" s="665">
        <f t="shared" si="199"/>
        <v>4528.7</v>
      </c>
      <c r="AA618" s="666">
        <v>1000</v>
      </c>
      <c r="AB618" s="665">
        <v>9400.2000000000007</v>
      </c>
      <c r="AC618" s="665">
        <f>+AA618+AB618</f>
        <v>10400.200000000001</v>
      </c>
      <c r="AD618" s="667">
        <f>+(Z618*12)+AC618</f>
        <v>64744.599999999991</v>
      </c>
      <c r="AE618" s="673">
        <f>+AD618*Q618</f>
        <v>64744.599999999991</v>
      </c>
      <c r="AF618" s="665">
        <f>SUM(O618-AD618)</f>
        <v>-1300.7999999999956</v>
      </c>
      <c r="AG618" s="665">
        <f>SUM(P618-AE618)</f>
        <v>-1300.7999999999956</v>
      </c>
      <c r="AH618" s="668">
        <v>1</v>
      </c>
      <c r="AI618" s="673">
        <v>59668.12</v>
      </c>
    </row>
    <row r="619" spans="1:35" ht="13.5" x14ac:dyDescent="0.2">
      <c r="A619" s="674" t="s">
        <v>702</v>
      </c>
      <c r="B619" s="668">
        <v>13</v>
      </c>
      <c r="C619" s="666">
        <v>3344</v>
      </c>
      <c r="D619" s="665"/>
      <c r="E619" s="665"/>
      <c r="F619" s="665"/>
      <c r="G619" s="665"/>
      <c r="H619" s="665"/>
      <c r="I619" s="666">
        <v>500</v>
      </c>
      <c r="J619" s="665">
        <v>734</v>
      </c>
      <c r="K619" s="665">
        <f t="shared" si="195"/>
        <v>4578</v>
      </c>
      <c r="L619" s="666">
        <v>1000</v>
      </c>
      <c r="M619" s="666">
        <v>8700</v>
      </c>
      <c r="N619" s="665">
        <f>+L619+M619</f>
        <v>9700</v>
      </c>
      <c r="O619" s="667">
        <f>+(K619*12)+N619</f>
        <v>64636</v>
      </c>
      <c r="P619" s="673">
        <f>+O619*B619</f>
        <v>840268</v>
      </c>
      <c r="Q619" s="668">
        <v>13</v>
      </c>
      <c r="R619" s="666">
        <v>3344</v>
      </c>
      <c r="S619" s="665"/>
      <c r="T619" s="665"/>
      <c r="U619" s="665"/>
      <c r="V619" s="665"/>
      <c r="W619" s="665"/>
      <c r="X619" s="666">
        <v>400</v>
      </c>
      <c r="Y619" s="665">
        <v>734</v>
      </c>
      <c r="Z619" s="665">
        <f t="shared" si="199"/>
        <v>4478</v>
      </c>
      <c r="AA619" s="666">
        <v>1000</v>
      </c>
      <c r="AB619" s="665">
        <v>9400</v>
      </c>
      <c r="AC619" s="665">
        <f>+AA619+AB619</f>
        <v>10400</v>
      </c>
      <c r="AD619" s="667">
        <f>+(Z619*12)+AC619</f>
        <v>64136</v>
      </c>
      <c r="AE619" s="673">
        <f>+AD619*Q619</f>
        <v>833768</v>
      </c>
      <c r="AF619" s="665">
        <f>SUM(O619-AD619)</f>
        <v>500</v>
      </c>
      <c r="AG619" s="665">
        <f>SUM(P619-AE619)</f>
        <v>6500</v>
      </c>
      <c r="AH619" s="668">
        <v>11</v>
      </c>
      <c r="AI619" s="673">
        <v>623485.72</v>
      </c>
    </row>
    <row r="620" spans="1:35" ht="13.5" x14ac:dyDescent="0.2">
      <c r="A620" s="674" t="s">
        <v>741</v>
      </c>
      <c r="B620" s="668">
        <v>0</v>
      </c>
      <c r="C620" s="666">
        <v>0</v>
      </c>
      <c r="D620" s="665"/>
      <c r="E620" s="665"/>
      <c r="F620" s="665"/>
      <c r="G620" s="665"/>
      <c r="H620" s="665"/>
      <c r="I620" s="666">
        <v>0</v>
      </c>
      <c r="J620" s="665">
        <v>0</v>
      </c>
      <c r="K620" s="665">
        <f t="shared" si="195"/>
        <v>0</v>
      </c>
      <c r="L620" s="666">
        <v>0</v>
      </c>
      <c r="M620" s="665"/>
      <c r="N620" s="665"/>
      <c r="O620" s="667"/>
      <c r="P620" s="673"/>
      <c r="Q620" s="668">
        <v>0</v>
      </c>
      <c r="R620" s="666">
        <v>0</v>
      </c>
      <c r="S620" s="665"/>
      <c r="T620" s="665"/>
      <c r="U620" s="665"/>
      <c r="V620" s="665"/>
      <c r="W620" s="665"/>
      <c r="X620" s="681"/>
      <c r="Y620" s="680"/>
      <c r="Z620" s="665">
        <f t="shared" si="199"/>
        <v>0</v>
      </c>
      <c r="AA620" s="666">
        <v>0</v>
      </c>
      <c r="AB620" s="665"/>
      <c r="AC620" s="665"/>
      <c r="AD620" s="667"/>
      <c r="AE620" s="673"/>
      <c r="AF620" s="665"/>
      <c r="AG620" s="665"/>
      <c r="AH620" s="668">
        <v>0</v>
      </c>
      <c r="AI620" s="673"/>
    </row>
    <row r="621" spans="1:35" ht="13.5" x14ac:dyDescent="0.2">
      <c r="A621" s="674" t="s">
        <v>742</v>
      </c>
      <c r="B621" s="668">
        <v>0</v>
      </c>
      <c r="C621" s="666">
        <v>0</v>
      </c>
      <c r="D621" s="665"/>
      <c r="E621" s="665"/>
      <c r="F621" s="665"/>
      <c r="G621" s="665"/>
      <c r="H621" s="665"/>
      <c r="I621" s="666">
        <v>0</v>
      </c>
      <c r="J621" s="665"/>
      <c r="K621" s="665">
        <f t="shared" si="195"/>
        <v>0</v>
      </c>
      <c r="L621" s="666">
        <v>0</v>
      </c>
      <c r="M621" s="665"/>
      <c r="N621" s="665"/>
      <c r="O621" s="667"/>
      <c r="P621" s="673"/>
      <c r="Q621" s="668">
        <v>0</v>
      </c>
      <c r="R621" s="666">
        <v>0</v>
      </c>
      <c r="S621" s="665"/>
      <c r="T621" s="665"/>
      <c r="U621" s="665"/>
      <c r="V621" s="665"/>
      <c r="W621" s="665"/>
      <c r="X621" s="681"/>
      <c r="Y621" s="680"/>
      <c r="Z621" s="665">
        <f t="shared" si="199"/>
        <v>0</v>
      </c>
      <c r="AA621" s="666">
        <v>0</v>
      </c>
      <c r="AB621" s="665"/>
      <c r="AC621" s="665"/>
      <c r="AD621" s="667"/>
      <c r="AE621" s="673"/>
      <c r="AF621" s="665"/>
      <c r="AG621" s="665"/>
      <c r="AH621" s="668">
        <v>0</v>
      </c>
      <c r="AI621" s="673"/>
    </row>
    <row r="622" spans="1:35" ht="13.5" x14ac:dyDescent="0.2">
      <c r="A622" s="674" t="s">
        <v>743</v>
      </c>
      <c r="B622" s="668">
        <v>0</v>
      </c>
      <c r="C622" s="666">
        <v>0</v>
      </c>
      <c r="D622" s="665"/>
      <c r="E622" s="665"/>
      <c r="F622" s="665"/>
      <c r="G622" s="665"/>
      <c r="H622" s="665"/>
      <c r="I622" s="666">
        <v>0</v>
      </c>
      <c r="J622" s="665"/>
      <c r="K622" s="665">
        <f t="shared" si="195"/>
        <v>0</v>
      </c>
      <c r="L622" s="666">
        <v>0</v>
      </c>
      <c r="M622" s="665"/>
      <c r="N622" s="665"/>
      <c r="O622" s="667"/>
      <c r="P622" s="673"/>
      <c r="Q622" s="668">
        <v>0</v>
      </c>
      <c r="R622" s="666">
        <v>0</v>
      </c>
      <c r="S622" s="665"/>
      <c r="T622" s="665"/>
      <c r="U622" s="665"/>
      <c r="V622" s="665"/>
      <c r="W622" s="665"/>
      <c r="X622" s="682"/>
      <c r="Y622" s="680"/>
      <c r="Z622" s="665">
        <f t="shared" si="199"/>
        <v>0</v>
      </c>
      <c r="AA622" s="666">
        <v>0</v>
      </c>
      <c r="AB622" s="665"/>
      <c r="AC622" s="665"/>
      <c r="AD622" s="667"/>
      <c r="AE622" s="673"/>
      <c r="AF622" s="665"/>
      <c r="AG622" s="665"/>
      <c r="AH622" s="668">
        <v>0</v>
      </c>
      <c r="AI622" s="673"/>
    </row>
    <row r="623" spans="1:35" ht="13.5" x14ac:dyDescent="0.2">
      <c r="A623" s="674"/>
      <c r="B623" s="683">
        <f>SUM(B584:B621)</f>
        <v>296</v>
      </c>
      <c r="C623" s="684">
        <f>SUM(C584:C622)</f>
        <v>95253</v>
      </c>
      <c r="D623" s="684">
        <v>53640.24</v>
      </c>
      <c r="E623" s="684">
        <f t="shared" ref="E623:P623" si="207">SUM(E584:E622)</f>
        <v>0</v>
      </c>
      <c r="F623" s="684">
        <f t="shared" si="207"/>
        <v>0</v>
      </c>
      <c r="G623" s="684">
        <f t="shared" si="207"/>
        <v>0</v>
      </c>
      <c r="H623" s="684">
        <f t="shared" si="207"/>
        <v>0</v>
      </c>
      <c r="I623" s="684">
        <f t="shared" si="207"/>
        <v>16843</v>
      </c>
      <c r="J623" s="684">
        <f t="shared" si="207"/>
        <v>18455.78</v>
      </c>
      <c r="K623" s="684">
        <f t="shared" si="207"/>
        <v>130551.78</v>
      </c>
      <c r="L623" s="684">
        <f t="shared" si="207"/>
        <v>22000</v>
      </c>
      <c r="M623" s="684">
        <f t="shared" si="207"/>
        <v>191400</v>
      </c>
      <c r="N623" s="684">
        <f t="shared" si="207"/>
        <v>213400</v>
      </c>
      <c r="O623" s="684">
        <f t="shared" si="207"/>
        <v>1762981.36</v>
      </c>
      <c r="P623" s="684">
        <f t="shared" si="207"/>
        <v>24061856.48</v>
      </c>
      <c r="Q623" s="683">
        <f>SUM(Q584:Q621)</f>
        <v>296</v>
      </c>
      <c r="R623" s="684">
        <f>SUM(R584:R622)</f>
        <v>95253</v>
      </c>
      <c r="S623" s="684">
        <v>53640.24</v>
      </c>
      <c r="T623" s="684">
        <f t="shared" ref="T623:AG623" si="208">SUM(T584:T622)</f>
        <v>0</v>
      </c>
      <c r="U623" s="684">
        <f t="shared" si="208"/>
        <v>0</v>
      </c>
      <c r="V623" s="684">
        <f t="shared" si="208"/>
        <v>0</v>
      </c>
      <c r="W623" s="684">
        <f t="shared" si="208"/>
        <v>0</v>
      </c>
      <c r="X623" s="684">
        <f t="shared" si="208"/>
        <v>16766.599999999999</v>
      </c>
      <c r="Y623" s="684">
        <f t="shared" si="208"/>
        <v>20658.599999999999</v>
      </c>
      <c r="Z623" s="684">
        <f t="shared" si="208"/>
        <v>132678.20000000001</v>
      </c>
      <c r="AA623" s="684">
        <f t="shared" si="208"/>
        <v>22000</v>
      </c>
      <c r="AB623" s="684">
        <f t="shared" si="208"/>
        <v>220300.2</v>
      </c>
      <c r="AC623" s="684">
        <f t="shared" si="208"/>
        <v>232900.2</v>
      </c>
      <c r="AD623" s="684">
        <f t="shared" si="208"/>
        <v>1807998.6</v>
      </c>
      <c r="AE623" s="684">
        <f t="shared" si="208"/>
        <v>24808568.600000001</v>
      </c>
      <c r="AF623" s="684">
        <f t="shared" si="208"/>
        <v>-45017.24</v>
      </c>
      <c r="AG623" s="684">
        <f t="shared" si="208"/>
        <v>-746712.12000000011</v>
      </c>
      <c r="AH623" s="683">
        <f>SUM(AH584:AH621)</f>
        <v>296</v>
      </c>
      <c r="AI623" s="684">
        <f>SUM(AI584:AI622)</f>
        <v>23100925.040000003</v>
      </c>
    </row>
    <row r="624" spans="1:35" ht="13.5" x14ac:dyDescent="0.2">
      <c r="A624" s="685" t="s">
        <v>0</v>
      </c>
      <c r="B624" s="683">
        <f>+B533+B541+B549+B557+B567+B575+B583+B623</f>
        <v>568</v>
      </c>
      <c r="C624" s="683">
        <f>+C533+C541+C549+C557+C567+C575+C583+C623</f>
        <v>138528.52000000002</v>
      </c>
      <c r="D624" s="686">
        <f ca="1">+D558</f>
        <v>19406.399999999998</v>
      </c>
      <c r="E624" s="683">
        <f t="shared" ref="E624:AH624" si="209">+E533+E541+E549+E557+E567+E575+E583+E623</f>
        <v>0</v>
      </c>
      <c r="F624" s="683">
        <f t="shared" si="209"/>
        <v>0</v>
      </c>
      <c r="G624" s="683">
        <f t="shared" si="209"/>
        <v>0</v>
      </c>
      <c r="H624" s="683">
        <f t="shared" si="209"/>
        <v>0</v>
      </c>
      <c r="I624" s="683">
        <f t="shared" si="209"/>
        <v>18091</v>
      </c>
      <c r="J624" s="683">
        <f t="shared" si="209"/>
        <v>21276.71</v>
      </c>
      <c r="K624" s="683">
        <f t="shared" si="209"/>
        <v>197348.16999999998</v>
      </c>
      <c r="L624" s="683">
        <f t="shared" si="209"/>
        <v>47000</v>
      </c>
      <c r="M624" s="683">
        <f t="shared" si="209"/>
        <v>315300</v>
      </c>
      <c r="N624" s="683">
        <f t="shared" si="209"/>
        <v>362300</v>
      </c>
      <c r="O624" s="683">
        <f t="shared" si="209"/>
        <v>2713438.04</v>
      </c>
      <c r="P624" s="683">
        <f t="shared" si="209"/>
        <v>34403336.079999998</v>
      </c>
      <c r="Q624" s="683">
        <f t="shared" si="209"/>
        <v>568</v>
      </c>
      <c r="R624" s="683">
        <f t="shared" si="209"/>
        <v>138528.52000000002</v>
      </c>
      <c r="S624" s="683">
        <f t="shared" ca="1" si="209"/>
        <v>1861008.9000000004</v>
      </c>
      <c r="T624" s="683">
        <f t="shared" si="209"/>
        <v>0</v>
      </c>
      <c r="U624" s="683">
        <f t="shared" si="209"/>
        <v>0</v>
      </c>
      <c r="V624" s="683">
        <f t="shared" si="209"/>
        <v>0</v>
      </c>
      <c r="W624" s="683">
        <f t="shared" si="209"/>
        <v>0</v>
      </c>
      <c r="X624" s="683">
        <f t="shared" si="209"/>
        <v>18014.599999999999</v>
      </c>
      <c r="Y624" s="683">
        <f t="shared" si="209"/>
        <v>26318.6</v>
      </c>
      <c r="Z624" s="683">
        <f t="shared" si="209"/>
        <v>202313.66</v>
      </c>
      <c r="AA624" s="683">
        <f t="shared" si="209"/>
        <v>47000</v>
      </c>
      <c r="AB624" s="683">
        <f t="shared" si="209"/>
        <v>310300.2</v>
      </c>
      <c r="AC624" s="683">
        <f t="shared" si="209"/>
        <v>347900.2</v>
      </c>
      <c r="AD624" s="683">
        <f t="shared" si="209"/>
        <v>2758624.12</v>
      </c>
      <c r="AE624" s="683">
        <f t="shared" si="209"/>
        <v>35571226</v>
      </c>
      <c r="AF624" s="683">
        <f t="shared" si="209"/>
        <v>-45186.080000000002</v>
      </c>
      <c r="AG624" s="683">
        <f t="shared" si="209"/>
        <v>-1167889.9200000004</v>
      </c>
      <c r="AH624" s="687">
        <f t="shared" si="209"/>
        <v>568</v>
      </c>
      <c r="AI624" s="687">
        <f>SUM(AI533+AI541+AI549+AI557+AI567+AI575+AI583+AI623)</f>
        <v>32921324.000000004</v>
      </c>
    </row>
    <row r="625" spans="1:35" x14ac:dyDescent="0.2">
      <c r="A625" s="234" t="s">
        <v>50</v>
      </c>
      <c r="B625" s="234"/>
      <c r="C625" s="234"/>
      <c r="D625" s="234">
        <v>707984</v>
      </c>
      <c r="E625" s="234">
        <v>58998.66</v>
      </c>
      <c r="F625" s="234"/>
      <c r="G625" s="234"/>
      <c r="H625" s="234"/>
      <c r="I625" s="234"/>
      <c r="J625" s="234"/>
      <c r="K625" s="234"/>
      <c r="L625" s="234"/>
      <c r="M625" s="234"/>
      <c r="N625" s="234"/>
      <c r="O625" s="234"/>
      <c r="P625" s="234"/>
      <c r="Q625" s="234"/>
      <c r="R625" s="234"/>
      <c r="S625" s="234"/>
      <c r="T625" s="234"/>
      <c r="U625" s="234"/>
      <c r="V625" s="234"/>
      <c r="W625" s="234"/>
      <c r="X625" s="234"/>
      <c r="Y625" s="234"/>
      <c r="Z625" s="234"/>
      <c r="AA625" s="234"/>
      <c r="AB625" s="234"/>
      <c r="AC625" s="234"/>
      <c r="AD625" s="234"/>
      <c r="AE625" s="234"/>
      <c r="AF625" s="234"/>
      <c r="AG625" s="234"/>
      <c r="AH625" s="234"/>
      <c r="AI625" s="234"/>
    </row>
    <row r="626" spans="1:35" x14ac:dyDescent="0.2">
      <c r="A626" s="234" t="s">
        <v>51</v>
      </c>
      <c r="B626" s="234" t="s">
        <v>143</v>
      </c>
      <c r="C626" s="234"/>
      <c r="D626" s="234"/>
      <c r="E626" s="234"/>
      <c r="F626" s="234"/>
      <c r="G626" s="234"/>
      <c r="H626" s="234"/>
      <c r="I626" s="234"/>
      <c r="J626" s="234"/>
      <c r="K626" s="234"/>
      <c r="L626" s="234"/>
      <c r="M626" s="234"/>
      <c r="N626" s="234"/>
      <c r="O626" s="234"/>
      <c r="P626" s="234">
        <v>34403336</v>
      </c>
      <c r="Q626" s="234"/>
      <c r="R626" s="234"/>
      <c r="S626" s="234"/>
      <c r="T626" s="234"/>
      <c r="U626" s="234"/>
      <c r="V626" s="234"/>
      <c r="W626" s="234"/>
      <c r="X626" s="234"/>
      <c r="Y626" s="234"/>
      <c r="Z626" s="234"/>
      <c r="AA626" s="234"/>
      <c r="AB626" s="234"/>
      <c r="AC626" s="234"/>
      <c r="AD626" s="234"/>
      <c r="AE626" s="496">
        <v>35571226</v>
      </c>
      <c r="AF626" s="234"/>
      <c r="AG626" s="496">
        <f>SUM(P626-AE626)</f>
        <v>-1167890</v>
      </c>
      <c r="AH626" s="234"/>
      <c r="AI626" s="688">
        <v>32921324</v>
      </c>
    </row>
    <row r="627" spans="1:35" x14ac:dyDescent="0.2">
      <c r="A627" s="234" t="s">
        <v>52</v>
      </c>
      <c r="B627" s="234" t="s">
        <v>53</v>
      </c>
      <c r="C627" s="234"/>
      <c r="D627" s="234"/>
      <c r="E627" s="234"/>
      <c r="F627" s="234"/>
      <c r="G627" s="234"/>
      <c r="H627" s="234"/>
      <c r="I627" s="234"/>
      <c r="J627" s="234"/>
      <c r="K627" s="234"/>
      <c r="L627" s="234"/>
      <c r="M627" s="234"/>
      <c r="N627" s="234"/>
      <c r="O627" s="234"/>
      <c r="P627" s="496">
        <f>SUM(P624-P626)</f>
        <v>7.9999998211860657E-2</v>
      </c>
      <c r="Q627" s="234"/>
      <c r="R627" s="234"/>
      <c r="S627" s="234"/>
      <c r="T627" s="234"/>
      <c r="U627" s="234"/>
      <c r="V627" s="234"/>
      <c r="W627" s="234"/>
      <c r="X627" s="234"/>
      <c r="Y627" s="234"/>
      <c r="Z627" s="234"/>
      <c r="AA627" s="234"/>
      <c r="AB627" s="234"/>
      <c r="AC627" s="234"/>
      <c r="AD627" s="234"/>
      <c r="AE627" s="689">
        <f>SUM(AE624-AE626)</f>
        <v>0</v>
      </c>
      <c r="AF627" s="234"/>
      <c r="AG627" s="234"/>
      <c r="AH627" s="234"/>
      <c r="AI627" s="689">
        <f>SUM(AI624-AI626)</f>
        <v>3.7252902984619141E-9</v>
      </c>
    </row>
    <row r="628" spans="1:35" x14ac:dyDescent="0.2">
      <c r="A628" s="234" t="s">
        <v>54</v>
      </c>
      <c r="B628" s="234" t="s">
        <v>55</v>
      </c>
      <c r="C628" s="234"/>
      <c r="D628" s="234"/>
      <c r="E628" s="234"/>
      <c r="F628" s="234"/>
      <c r="G628" s="234"/>
      <c r="H628" s="234"/>
      <c r="I628" s="234"/>
      <c r="J628" s="234"/>
      <c r="K628" s="234"/>
      <c r="L628" s="234"/>
      <c r="M628" s="234"/>
      <c r="N628" s="234"/>
      <c r="O628" s="234"/>
      <c r="P628" s="234"/>
      <c r="Q628" s="234"/>
      <c r="R628" s="234"/>
      <c r="S628" s="234"/>
      <c r="T628" s="234"/>
      <c r="U628" s="234"/>
      <c r="V628" s="234"/>
      <c r="W628" s="234"/>
      <c r="X628" s="234"/>
      <c r="Y628" s="234"/>
      <c r="Z628" s="234"/>
      <c r="AA628" s="234"/>
      <c r="AB628" s="234"/>
      <c r="AC628" s="234"/>
      <c r="AD628" s="234"/>
      <c r="AE628" s="234"/>
      <c r="AF628" s="234"/>
      <c r="AG628" s="234"/>
      <c r="AH628" s="234"/>
      <c r="AI628" s="234"/>
    </row>
    <row r="629" spans="1:35" x14ac:dyDescent="0.2">
      <c r="A629" s="234" t="s">
        <v>56</v>
      </c>
      <c r="B629" s="234" t="s">
        <v>57</v>
      </c>
      <c r="C629" s="234"/>
      <c r="D629" s="234"/>
      <c r="E629" s="234"/>
      <c r="F629" s="234"/>
      <c r="G629" s="234"/>
      <c r="H629" s="234"/>
      <c r="I629" s="234"/>
      <c r="J629" s="234"/>
      <c r="K629" s="234"/>
      <c r="L629" s="234"/>
      <c r="M629" s="234"/>
      <c r="N629" s="234"/>
      <c r="O629" s="234"/>
      <c r="P629" s="234"/>
      <c r="Q629" s="234"/>
      <c r="R629" s="234"/>
      <c r="S629" s="234"/>
      <c r="T629" s="234"/>
      <c r="U629" s="234"/>
      <c r="V629" s="234"/>
      <c r="W629" s="234"/>
      <c r="X629" s="234"/>
      <c r="Y629" s="234"/>
      <c r="Z629" s="234"/>
      <c r="AA629" s="234"/>
      <c r="AB629" s="234"/>
      <c r="AC629" s="234"/>
      <c r="AD629" s="234"/>
      <c r="AE629" s="234"/>
      <c r="AF629" s="234"/>
      <c r="AG629" s="234"/>
      <c r="AH629" s="234"/>
      <c r="AI629" s="234"/>
    </row>
    <row r="630" spans="1:35" x14ac:dyDescent="0.2">
      <c r="A630" s="234"/>
      <c r="B630" s="234" t="s">
        <v>58</v>
      </c>
      <c r="C630" s="234"/>
      <c r="D630" s="234"/>
      <c r="E630" s="234"/>
      <c r="F630" s="234"/>
      <c r="G630" s="234"/>
      <c r="H630" s="234"/>
      <c r="I630" s="234"/>
      <c r="J630" s="234"/>
      <c r="K630" s="234"/>
      <c r="L630" s="234"/>
      <c r="M630" s="234"/>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row>
    <row r="631" spans="1:35" x14ac:dyDescent="0.2">
      <c r="A631" s="234" t="s">
        <v>59</v>
      </c>
      <c r="B631" s="361" t="s">
        <v>619</v>
      </c>
      <c r="C631" s="234"/>
      <c r="D631" s="234"/>
      <c r="E631" s="234"/>
      <c r="F631" s="234"/>
      <c r="G631" s="234"/>
      <c r="H631" s="234"/>
      <c r="I631" s="234"/>
      <c r="J631" s="234"/>
      <c r="K631" s="234"/>
      <c r="L631" s="234"/>
      <c r="M631" s="234"/>
      <c r="N631" s="234"/>
      <c r="O631" s="234"/>
      <c r="P631" s="234"/>
      <c r="Q631" s="234"/>
      <c r="R631" s="234"/>
      <c r="S631" s="234"/>
      <c r="T631" s="234"/>
      <c r="U631" s="234"/>
      <c r="V631" s="234"/>
      <c r="W631" s="234"/>
      <c r="X631" s="234"/>
      <c r="Y631" s="234"/>
      <c r="Z631" s="234"/>
      <c r="AA631" s="234"/>
      <c r="AB631" s="234"/>
      <c r="AC631" s="234"/>
      <c r="AD631" s="234"/>
      <c r="AE631" s="234"/>
      <c r="AF631" s="234"/>
      <c r="AG631" s="234"/>
      <c r="AH631" s="234"/>
      <c r="AI631" s="234"/>
    </row>
    <row r="632" spans="1:35" x14ac:dyDescent="0.2">
      <c r="A632" s="234"/>
      <c r="B632" s="234" t="s">
        <v>60</v>
      </c>
      <c r="C632" s="234"/>
      <c r="D632" s="234"/>
      <c r="E632" s="234"/>
      <c r="F632" s="234"/>
      <c r="G632" s="234"/>
      <c r="H632" s="234"/>
      <c r="I632" s="234"/>
      <c r="J632" s="234"/>
      <c r="K632" s="234"/>
      <c r="L632" s="234"/>
      <c r="M632" s="234"/>
      <c r="N632" s="234"/>
      <c r="O632" s="234"/>
      <c r="P632" s="234"/>
      <c r="Q632" s="234"/>
      <c r="R632" s="234"/>
      <c r="S632" s="234"/>
      <c r="T632" s="234"/>
      <c r="U632" s="234"/>
      <c r="V632" s="234"/>
      <c r="W632" s="234"/>
      <c r="X632" s="234"/>
      <c r="Y632" s="234"/>
      <c r="Z632" s="234"/>
      <c r="AA632" s="234"/>
      <c r="AB632" s="234"/>
      <c r="AC632" s="234"/>
      <c r="AD632" s="234"/>
      <c r="AE632" s="234"/>
      <c r="AF632" s="234"/>
      <c r="AG632" s="234"/>
      <c r="AH632" s="234"/>
      <c r="AI632" s="234"/>
    </row>
    <row r="633" spans="1:35" x14ac:dyDescent="0.2">
      <c r="A633" s="234"/>
      <c r="B633" s="234" t="s">
        <v>61</v>
      </c>
      <c r="C633" s="234"/>
      <c r="D633" s="234"/>
      <c r="E633" s="234"/>
      <c r="F633" s="234"/>
      <c r="G633" s="234"/>
      <c r="H633" s="234"/>
      <c r="I633" s="234"/>
      <c r="J633" s="234"/>
      <c r="K633" s="234"/>
      <c r="L633" s="234"/>
      <c r="M633" s="234"/>
      <c r="N633" s="234"/>
      <c r="O633" s="234"/>
      <c r="P633" s="234"/>
      <c r="Q633" s="234"/>
      <c r="R633" s="234"/>
      <c r="S633" s="234"/>
      <c r="T633" s="234"/>
      <c r="U633" s="234"/>
      <c r="V633" s="234"/>
      <c r="W633" s="234"/>
      <c r="X633" s="234"/>
      <c r="Y633" s="234"/>
      <c r="Z633" s="234"/>
      <c r="AA633" s="234"/>
      <c r="AB633" s="234"/>
      <c r="AC633" s="234"/>
      <c r="AD633" s="234"/>
      <c r="AE633" s="234"/>
      <c r="AF633" s="234"/>
      <c r="AG633" s="234"/>
      <c r="AH633" s="234"/>
      <c r="AI633" s="234"/>
    </row>
    <row r="634" spans="1:35" x14ac:dyDescent="0.2">
      <c r="A634" s="234"/>
      <c r="B634" s="234" t="s">
        <v>62</v>
      </c>
      <c r="C634" s="234"/>
      <c r="D634" s="234"/>
      <c r="E634" s="234"/>
      <c r="F634" s="234"/>
      <c r="G634" s="234"/>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c r="AD634" s="234"/>
      <c r="AE634" s="234"/>
      <c r="AF634" s="234"/>
      <c r="AG634" s="234"/>
      <c r="AH634" s="234"/>
      <c r="AI634" s="234"/>
    </row>
    <row r="635" spans="1:35" x14ac:dyDescent="0.2">
      <c r="A635" s="234" t="s">
        <v>158</v>
      </c>
      <c r="B635" s="234" t="s">
        <v>159</v>
      </c>
      <c r="C635" s="234"/>
      <c r="D635" s="234"/>
      <c r="E635" s="234"/>
      <c r="F635" s="234"/>
      <c r="G635" s="234"/>
      <c r="H635" s="234"/>
      <c r="I635" s="234"/>
      <c r="J635" s="234"/>
      <c r="K635" s="234"/>
      <c r="L635" s="234"/>
      <c r="M635" s="234"/>
      <c r="N635" s="234"/>
      <c r="O635" s="234"/>
      <c r="P635" s="234"/>
      <c r="Q635" s="234"/>
      <c r="R635" s="234"/>
      <c r="S635" s="234"/>
      <c r="T635" s="234"/>
      <c r="U635" s="234"/>
      <c r="V635" s="234"/>
      <c r="W635" s="234"/>
      <c r="X635" s="234"/>
      <c r="Y635" s="234"/>
      <c r="Z635" s="234"/>
      <c r="AA635" s="234"/>
      <c r="AB635" s="234"/>
      <c r="AC635" s="234"/>
      <c r="AD635" s="234"/>
      <c r="AE635" s="234"/>
      <c r="AF635" s="234"/>
      <c r="AG635" s="234"/>
      <c r="AH635" s="234"/>
      <c r="AI635" s="234"/>
    </row>
    <row r="636" spans="1:35" x14ac:dyDescent="0.2">
      <c r="A636" s="234" t="s">
        <v>160</v>
      </c>
      <c r="B636" s="234" t="s">
        <v>139</v>
      </c>
      <c r="C636" s="234"/>
      <c r="D636" s="234"/>
      <c r="E636" s="234"/>
      <c r="F636" s="234"/>
      <c r="G636" s="234"/>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row>
    <row r="637" spans="1:35" x14ac:dyDescent="0.2">
      <c r="A637" s="234" t="s">
        <v>161</v>
      </c>
      <c r="B637" s="361" t="s">
        <v>620</v>
      </c>
      <c r="C637" s="234"/>
      <c r="D637" s="234"/>
      <c r="E637" s="234"/>
      <c r="F637" s="234"/>
      <c r="G637" s="234"/>
      <c r="H637" s="234"/>
      <c r="I637" s="234"/>
      <c r="J637" s="234"/>
      <c r="K637" s="234"/>
      <c r="L637" s="234"/>
      <c r="M637" s="234"/>
      <c r="N637" s="234"/>
      <c r="O637" s="234"/>
      <c r="P637" s="234"/>
      <c r="Q637" s="234"/>
      <c r="R637" s="234"/>
      <c r="S637" s="234"/>
      <c r="T637" s="234"/>
      <c r="U637" s="234"/>
      <c r="V637" s="234"/>
      <c r="W637" s="234"/>
      <c r="X637" s="234"/>
      <c r="Y637" s="234"/>
      <c r="Z637" s="234"/>
      <c r="AA637" s="234"/>
      <c r="AB637" s="234"/>
      <c r="AC637" s="234"/>
      <c r="AD637" s="234"/>
      <c r="AE637" s="234"/>
      <c r="AF637" s="234"/>
      <c r="AG637" s="234"/>
      <c r="AH637" s="234"/>
      <c r="AI637" s="234"/>
    </row>
    <row r="638" spans="1:35" x14ac:dyDescent="0.2">
      <c r="A638" s="234"/>
      <c r="B638" s="234" t="s">
        <v>60</v>
      </c>
      <c r="C638" s="234"/>
      <c r="D638" s="234"/>
      <c r="E638" s="234"/>
      <c r="F638" s="234"/>
      <c r="G638" s="234"/>
      <c r="H638" s="234"/>
      <c r="I638" s="234"/>
      <c r="J638" s="234"/>
      <c r="K638" s="234"/>
      <c r="L638" s="234"/>
      <c r="M638" s="234"/>
      <c r="N638" s="234"/>
      <c r="O638" s="234"/>
      <c r="P638" s="234"/>
      <c r="Q638" s="234"/>
      <c r="R638" s="234"/>
      <c r="S638" s="234"/>
      <c r="T638" s="234"/>
      <c r="U638" s="234"/>
      <c r="V638" s="234"/>
      <c r="W638" s="234"/>
      <c r="X638" s="234"/>
      <c r="Y638" s="234"/>
      <c r="Z638" s="234"/>
      <c r="AA638" s="234"/>
      <c r="AB638" s="234"/>
      <c r="AC638" s="234"/>
      <c r="AD638" s="234"/>
      <c r="AE638" s="234"/>
      <c r="AF638" s="234"/>
      <c r="AG638" s="234"/>
      <c r="AH638" s="234"/>
      <c r="AI638" s="234"/>
    </row>
    <row r="639" spans="1:35" x14ac:dyDescent="0.2">
      <c r="A639" s="234"/>
      <c r="B639" s="234" t="s">
        <v>61</v>
      </c>
      <c r="C639" s="234"/>
      <c r="D639" s="234"/>
      <c r="E639" s="234"/>
      <c r="F639" s="234"/>
      <c r="G639" s="234"/>
      <c r="H639" s="234"/>
      <c r="I639" s="234"/>
      <c r="J639" s="234"/>
      <c r="K639" s="234"/>
      <c r="L639" s="234"/>
      <c r="M639" s="234"/>
      <c r="N639" s="234"/>
      <c r="O639" s="234"/>
      <c r="P639" s="234"/>
      <c r="Q639" s="234"/>
      <c r="R639" s="234"/>
      <c r="S639" s="234"/>
      <c r="T639" s="234"/>
      <c r="U639" s="234"/>
      <c r="V639" s="234"/>
      <c r="W639" s="234"/>
      <c r="X639" s="234"/>
      <c r="Y639" s="234"/>
      <c r="Z639" s="234"/>
      <c r="AA639" s="234"/>
      <c r="AB639" s="234"/>
      <c r="AC639" s="234"/>
      <c r="AD639" s="234"/>
      <c r="AE639" s="234"/>
      <c r="AF639" s="234"/>
      <c r="AG639" s="234"/>
      <c r="AH639" s="234"/>
      <c r="AI639" s="234"/>
    </row>
    <row r="640" spans="1:35" x14ac:dyDescent="0.2">
      <c r="A640" s="234"/>
      <c r="B640" s="234" t="s">
        <v>102</v>
      </c>
      <c r="C640" s="234"/>
      <c r="D640" s="234"/>
      <c r="E640" s="234"/>
      <c r="F640" s="234"/>
      <c r="G640" s="234"/>
      <c r="H640" s="234"/>
      <c r="I640" s="234"/>
      <c r="J640" s="234"/>
      <c r="K640" s="234"/>
      <c r="L640" s="234"/>
      <c r="M640" s="234"/>
      <c r="N640" s="234"/>
      <c r="O640" s="234"/>
      <c r="P640" s="234"/>
      <c r="Q640" s="234"/>
      <c r="R640" s="234"/>
      <c r="S640" s="234"/>
      <c r="T640" s="234"/>
      <c r="U640" s="234"/>
      <c r="V640" s="234"/>
      <c r="W640" s="234"/>
      <c r="X640" s="234"/>
      <c r="Y640" s="234"/>
      <c r="Z640" s="234"/>
      <c r="AA640" s="234"/>
      <c r="AB640" s="234"/>
      <c r="AC640" s="234"/>
      <c r="AD640" s="234"/>
      <c r="AE640" s="234"/>
      <c r="AF640" s="234"/>
      <c r="AG640" s="234"/>
      <c r="AH640" s="234"/>
      <c r="AI640" s="234"/>
    </row>
    <row r="641" spans="1:35" x14ac:dyDescent="0.2">
      <c r="A641" s="234" t="s">
        <v>170</v>
      </c>
      <c r="B641" s="234" t="s">
        <v>171</v>
      </c>
      <c r="C641" s="234"/>
      <c r="D641" s="234"/>
      <c r="E641" s="234"/>
      <c r="F641" s="234"/>
      <c r="G641" s="234"/>
      <c r="H641" s="234"/>
      <c r="I641" s="234"/>
      <c r="J641" s="234"/>
      <c r="K641" s="234"/>
      <c r="L641" s="234"/>
      <c r="M641" s="234"/>
      <c r="N641" s="234"/>
      <c r="O641" s="234"/>
      <c r="P641" s="234"/>
      <c r="Q641" s="234"/>
      <c r="R641" s="234"/>
      <c r="S641" s="234"/>
      <c r="T641" s="234"/>
      <c r="U641" s="234"/>
      <c r="V641" s="234"/>
      <c r="W641" s="234"/>
      <c r="X641" s="234"/>
      <c r="Y641" s="234"/>
      <c r="Z641" s="234"/>
      <c r="AA641" s="234"/>
      <c r="AB641" s="234"/>
      <c r="AC641" s="234"/>
      <c r="AD641" s="234"/>
      <c r="AE641" s="234"/>
      <c r="AF641" s="234"/>
      <c r="AG641" s="234"/>
      <c r="AH641" s="234"/>
      <c r="AI641" s="234"/>
    </row>
    <row r="642" spans="1:35" x14ac:dyDescent="0.2">
      <c r="A642" s="234" t="s">
        <v>168</v>
      </c>
      <c r="B642" s="234" t="s">
        <v>164</v>
      </c>
      <c r="C642" s="234"/>
      <c r="D642" s="234"/>
      <c r="E642" s="234"/>
      <c r="F642" s="234"/>
      <c r="G642" s="234"/>
      <c r="H642" s="234"/>
      <c r="I642" s="234"/>
      <c r="J642" s="234"/>
      <c r="K642" s="234"/>
      <c r="L642" s="234"/>
      <c r="M642" s="234"/>
      <c r="N642" s="234"/>
      <c r="O642" s="234"/>
      <c r="P642" s="234"/>
      <c r="Q642" s="234"/>
      <c r="R642" s="234"/>
      <c r="S642" s="234"/>
      <c r="T642" s="234"/>
      <c r="U642" s="234"/>
      <c r="V642" s="234"/>
      <c r="W642" s="234"/>
      <c r="X642" s="234"/>
      <c r="Y642" s="234"/>
      <c r="Z642" s="234"/>
      <c r="AA642" s="234"/>
      <c r="AB642" s="234"/>
      <c r="AC642" s="234"/>
      <c r="AD642" s="234"/>
      <c r="AE642" s="234"/>
      <c r="AF642" s="234"/>
      <c r="AG642" s="234"/>
      <c r="AH642" s="234"/>
      <c r="AI642" s="234"/>
    </row>
    <row r="643" spans="1:35" x14ac:dyDescent="0.2">
      <c r="A643" s="234" t="s">
        <v>169</v>
      </c>
      <c r="B643" s="234" t="s">
        <v>172</v>
      </c>
      <c r="C643" s="234"/>
      <c r="D643" s="234"/>
      <c r="E643" s="234"/>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row>
    <row r="644" spans="1:35" x14ac:dyDescent="0.2">
      <c r="A644" s="234"/>
      <c r="B644" s="234"/>
      <c r="C644" s="234"/>
      <c r="D644" s="234"/>
      <c r="E644" s="234"/>
      <c r="F644" s="234"/>
      <c r="G644" s="234"/>
      <c r="H644" s="234"/>
      <c r="I644" s="234"/>
      <c r="J644" s="234"/>
      <c r="K644" s="234"/>
      <c r="L644" s="234"/>
      <c r="M644" s="234"/>
      <c r="N644" s="234"/>
      <c r="O644" s="234"/>
      <c r="P644" s="234"/>
      <c r="Q644" s="234"/>
      <c r="R644" s="234"/>
      <c r="S644" s="234"/>
      <c r="T644" s="234"/>
      <c r="U644" s="234"/>
      <c r="V644" s="234"/>
      <c r="W644" s="234"/>
      <c r="X644" s="234"/>
      <c r="Y644" s="234"/>
      <c r="Z644" s="234"/>
      <c r="AA644" s="234"/>
      <c r="AB644" s="234"/>
      <c r="AC644" s="234"/>
      <c r="AD644" s="234"/>
      <c r="AE644" s="234"/>
      <c r="AF644" s="234"/>
      <c r="AG644" s="234"/>
      <c r="AH644" s="234"/>
      <c r="AI644" s="234"/>
    </row>
    <row r="645" spans="1:35" x14ac:dyDescent="0.2">
      <c r="A645" s="234"/>
      <c r="B645" s="234"/>
      <c r="C645" s="234"/>
      <c r="D645" s="234"/>
      <c r="E645" s="234"/>
      <c r="F645" s="234"/>
      <c r="G645" s="234"/>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c r="AD645" s="234"/>
      <c r="AE645" s="234"/>
      <c r="AF645" s="234"/>
      <c r="AG645" s="234"/>
      <c r="AH645" s="234"/>
      <c r="AI645" s="234"/>
    </row>
    <row r="646" spans="1:35" x14ac:dyDescent="0.2">
      <c r="A646" s="690" t="s">
        <v>377</v>
      </c>
      <c r="B646" s="691"/>
      <c r="C646" s="691"/>
      <c r="D646" s="691"/>
      <c r="E646" s="691"/>
      <c r="F646" s="691"/>
      <c r="G646" s="691"/>
      <c r="H646" s="691"/>
      <c r="I646" s="691"/>
      <c r="J646" s="691"/>
      <c r="K646" s="691"/>
      <c r="L646" s="691"/>
      <c r="M646" s="691"/>
      <c r="N646" s="691"/>
      <c r="O646" s="691"/>
      <c r="P646" s="691"/>
      <c r="Q646" s="691"/>
      <c r="R646" s="691"/>
      <c r="S646" s="691"/>
      <c r="T646" s="691"/>
      <c r="U646" s="691"/>
      <c r="V646" s="691"/>
      <c r="W646" s="691"/>
      <c r="X646" s="691"/>
      <c r="Y646" s="691"/>
      <c r="Z646" s="691"/>
      <c r="AA646" s="691"/>
      <c r="AB646" s="691"/>
      <c r="AC646" s="691"/>
      <c r="AD646" s="691"/>
      <c r="AE646" s="691"/>
      <c r="AF646" s="691"/>
      <c r="AG646" s="691"/>
      <c r="AH646" s="691"/>
      <c r="AI646" s="691"/>
    </row>
    <row r="647" spans="1:35" x14ac:dyDescent="0.2">
      <c r="A647" s="692" t="s">
        <v>729</v>
      </c>
      <c r="B647" s="692"/>
      <c r="C647" s="692"/>
      <c r="D647" s="692"/>
      <c r="E647" s="692"/>
      <c r="F647" s="692"/>
      <c r="G647" s="692"/>
      <c r="H647" s="692"/>
      <c r="I647" s="692"/>
      <c r="J647" s="692"/>
      <c r="K647" s="692"/>
      <c r="L647" s="692"/>
      <c r="M647" s="692"/>
      <c r="N647" s="692"/>
      <c r="O647" s="692"/>
      <c r="P647" s="692"/>
      <c r="Q647" s="692"/>
      <c r="R647" s="692"/>
      <c r="S647" s="692"/>
      <c r="T647" s="692"/>
      <c r="U647" s="692"/>
      <c r="V647" s="692"/>
      <c r="W647" s="692"/>
      <c r="X647" s="692"/>
      <c r="Y647" s="692"/>
      <c r="Z647" s="692"/>
      <c r="AA647" s="692"/>
      <c r="AB647" s="692"/>
      <c r="AC647" s="692"/>
      <c r="AD647" s="692"/>
      <c r="AE647" s="691"/>
      <c r="AF647" s="691"/>
      <c r="AG647" s="691"/>
      <c r="AH647" s="691"/>
      <c r="AI647" s="691"/>
    </row>
    <row r="648" spans="1:35" ht="12.75" thickBot="1" x14ac:dyDescent="0.25">
      <c r="A648" s="690" t="s">
        <v>804</v>
      </c>
      <c r="B648" s="690"/>
      <c r="C648" s="690"/>
      <c r="D648" s="690"/>
      <c r="E648" s="690"/>
      <c r="F648" s="690"/>
      <c r="G648" s="690"/>
      <c r="H648" s="690"/>
      <c r="I648" s="690"/>
      <c r="J648" s="690"/>
      <c r="K648" s="690"/>
      <c r="L648" s="690"/>
      <c r="M648" s="690"/>
      <c r="N648" s="690"/>
      <c r="O648" s="690"/>
      <c r="P648" s="690"/>
      <c r="Q648" s="690"/>
      <c r="R648" s="690"/>
      <c r="S648" s="690"/>
      <c r="T648" s="690"/>
      <c r="U648" s="690"/>
      <c r="V648" s="690"/>
      <c r="W648" s="690"/>
      <c r="X648" s="690"/>
      <c r="Y648" s="690"/>
      <c r="Z648" s="690"/>
      <c r="AA648" s="690"/>
      <c r="AB648" s="690"/>
      <c r="AC648" s="690"/>
      <c r="AD648" s="690"/>
      <c r="AE648" s="690"/>
      <c r="AF648" s="690"/>
      <c r="AG648" s="690"/>
      <c r="AH648" s="690"/>
      <c r="AI648" s="690"/>
    </row>
    <row r="649" spans="1:35" ht="12.75" thickBot="1" x14ac:dyDescent="0.25">
      <c r="A649" s="1405" t="s">
        <v>42</v>
      </c>
      <c r="B649" s="1408" t="s">
        <v>356</v>
      </c>
      <c r="C649" s="1408"/>
      <c r="D649" s="1408"/>
      <c r="E649" s="1408"/>
      <c r="F649" s="1408"/>
      <c r="G649" s="1408"/>
      <c r="H649" s="1408"/>
      <c r="I649" s="1408"/>
      <c r="J649" s="1408"/>
      <c r="K649" s="1408"/>
      <c r="L649" s="1408"/>
      <c r="M649" s="1408"/>
      <c r="N649" s="1408"/>
      <c r="O649" s="1408"/>
      <c r="P649" s="1408"/>
      <c r="Q649" s="1409" t="s">
        <v>378</v>
      </c>
      <c r="R649" s="1408"/>
      <c r="S649" s="1408"/>
      <c r="T649" s="1408"/>
      <c r="U649" s="1408"/>
      <c r="V649" s="1408"/>
      <c r="W649" s="1408"/>
      <c r="X649" s="1408"/>
      <c r="Y649" s="1408"/>
      <c r="Z649" s="1408"/>
      <c r="AA649" s="1408"/>
      <c r="AB649" s="1408"/>
      <c r="AC649" s="1408"/>
      <c r="AD649" s="1408"/>
      <c r="AE649" s="1410"/>
      <c r="AF649" s="1411" t="s">
        <v>379</v>
      </c>
      <c r="AG649" s="1412"/>
      <c r="AH649" s="1411" t="s">
        <v>380</v>
      </c>
      <c r="AI649" s="1412"/>
    </row>
    <row r="650" spans="1:35" ht="137.25" x14ac:dyDescent="0.2">
      <c r="A650" s="1406"/>
      <c r="B650" s="693" t="s">
        <v>11</v>
      </c>
      <c r="C650" s="694" t="s">
        <v>130</v>
      </c>
      <c r="D650" s="695" t="s">
        <v>245</v>
      </c>
      <c r="E650" s="695" t="s">
        <v>132</v>
      </c>
      <c r="F650" s="695" t="s">
        <v>154</v>
      </c>
      <c r="G650" s="695" t="s">
        <v>155</v>
      </c>
      <c r="H650" s="695" t="s">
        <v>156</v>
      </c>
      <c r="I650" s="695" t="s">
        <v>157</v>
      </c>
      <c r="J650" s="695" t="s">
        <v>133</v>
      </c>
      <c r="K650" s="695" t="s">
        <v>134</v>
      </c>
      <c r="L650" s="695" t="s">
        <v>135</v>
      </c>
      <c r="M650" s="695" t="s">
        <v>153</v>
      </c>
      <c r="N650" s="696" t="s">
        <v>104</v>
      </c>
      <c r="O650" s="697" t="s">
        <v>138</v>
      </c>
      <c r="P650" s="698" t="s">
        <v>137</v>
      </c>
      <c r="Q650" s="693" t="s">
        <v>11</v>
      </c>
      <c r="R650" s="694" t="s">
        <v>130</v>
      </c>
      <c r="S650" s="695" t="s">
        <v>131</v>
      </c>
      <c r="T650" s="695" t="s">
        <v>132</v>
      </c>
      <c r="U650" s="695" t="s">
        <v>154</v>
      </c>
      <c r="V650" s="695" t="s">
        <v>155</v>
      </c>
      <c r="W650" s="695" t="s">
        <v>156</v>
      </c>
      <c r="X650" s="695" t="s">
        <v>157</v>
      </c>
      <c r="Y650" s="695" t="s">
        <v>133</v>
      </c>
      <c r="Z650" s="695" t="s">
        <v>134</v>
      </c>
      <c r="AA650" s="695" t="s">
        <v>135</v>
      </c>
      <c r="AB650" s="695" t="s">
        <v>153</v>
      </c>
      <c r="AC650" s="696" t="s">
        <v>104</v>
      </c>
      <c r="AD650" s="697" t="s">
        <v>138</v>
      </c>
      <c r="AE650" s="698" t="s">
        <v>425</v>
      </c>
      <c r="AF650" s="699" t="s">
        <v>142</v>
      </c>
      <c r="AG650" s="699" t="s">
        <v>141</v>
      </c>
      <c r="AH650" s="699" t="s">
        <v>11</v>
      </c>
      <c r="AI650" s="698" t="s">
        <v>426</v>
      </c>
    </row>
    <row r="651" spans="1:35" ht="12.75" thickBot="1" x14ac:dyDescent="0.25">
      <c r="A651" s="1407"/>
      <c r="B651" s="700" t="s">
        <v>43</v>
      </c>
      <c r="C651" s="701" t="s">
        <v>44</v>
      </c>
      <c r="D651" s="702" t="s">
        <v>45</v>
      </c>
      <c r="E651" s="702" t="s">
        <v>46</v>
      </c>
      <c r="F651" s="703" t="s">
        <v>47</v>
      </c>
      <c r="G651" s="703" t="s">
        <v>48</v>
      </c>
      <c r="H651" s="703" t="s">
        <v>63</v>
      </c>
      <c r="I651" s="703" t="s">
        <v>103</v>
      </c>
      <c r="J651" s="703" t="s">
        <v>136</v>
      </c>
      <c r="K651" s="703" t="s">
        <v>140</v>
      </c>
      <c r="L651" s="703" t="s">
        <v>162</v>
      </c>
      <c r="M651" s="703" t="s">
        <v>163</v>
      </c>
      <c r="N651" s="704" t="s">
        <v>165</v>
      </c>
      <c r="O651" s="705" t="s">
        <v>166</v>
      </c>
      <c r="P651" s="707" t="s">
        <v>167</v>
      </c>
      <c r="Q651" s="700" t="s">
        <v>43</v>
      </c>
      <c r="R651" s="701" t="s">
        <v>44</v>
      </c>
      <c r="S651" s="702" t="s">
        <v>45</v>
      </c>
      <c r="T651" s="702" t="s">
        <v>46</v>
      </c>
      <c r="U651" s="703" t="s">
        <v>47</v>
      </c>
      <c r="V651" s="703" t="s">
        <v>48</v>
      </c>
      <c r="W651" s="703" t="s">
        <v>63</v>
      </c>
      <c r="X651" s="703" t="s">
        <v>103</v>
      </c>
      <c r="Y651" s="703" t="s">
        <v>136</v>
      </c>
      <c r="Z651" s="703" t="s">
        <v>140</v>
      </c>
      <c r="AA651" s="703" t="s">
        <v>162</v>
      </c>
      <c r="AB651" s="703" t="s">
        <v>163</v>
      </c>
      <c r="AC651" s="704" t="s">
        <v>165</v>
      </c>
      <c r="AD651" s="705" t="s">
        <v>166</v>
      </c>
      <c r="AE651" s="707" t="s">
        <v>167</v>
      </c>
      <c r="AF651" s="706"/>
      <c r="AG651" s="700"/>
      <c r="AH651" s="706"/>
      <c r="AI651" s="700"/>
    </row>
    <row r="652" spans="1:35" ht="12.75" x14ac:dyDescent="0.2">
      <c r="A652" s="233" t="s">
        <v>805</v>
      </c>
      <c r="B652" s="708"/>
      <c r="C652" s="709"/>
      <c r="D652" s="709"/>
      <c r="E652" s="709"/>
      <c r="F652" s="709"/>
      <c r="G652" s="709"/>
      <c r="H652" s="709"/>
      <c r="I652" s="709"/>
      <c r="J652" s="709"/>
      <c r="K652" s="709"/>
      <c r="L652" s="709"/>
      <c r="M652" s="709"/>
      <c r="N652" s="537"/>
      <c r="O652" s="710"/>
      <c r="P652" s="711"/>
      <c r="Q652" s="708"/>
      <c r="R652" s="709"/>
      <c r="S652" s="709"/>
      <c r="T652" s="709"/>
      <c r="U652" s="709"/>
      <c r="V652" s="709"/>
      <c r="W652" s="709"/>
      <c r="X652" s="709"/>
      <c r="Y652" s="709"/>
      <c r="Z652" s="709"/>
      <c r="AA652" s="709"/>
      <c r="AB652" s="709"/>
      <c r="AC652" s="537"/>
      <c r="AD652" s="710"/>
      <c r="AE652" s="711"/>
      <c r="AF652" s="711"/>
      <c r="AG652" s="708"/>
      <c r="AH652" s="711"/>
      <c r="AI652" s="708"/>
    </row>
    <row r="653" spans="1:35" x14ac:dyDescent="0.2">
      <c r="A653" s="712"/>
      <c r="B653" s="712"/>
      <c r="C653" s="712"/>
      <c r="D653" s="712"/>
      <c r="E653" s="712"/>
      <c r="F653" s="712"/>
      <c r="G653" s="712"/>
      <c r="H653" s="712"/>
      <c r="I653" s="712"/>
      <c r="J653" s="712"/>
      <c r="K653" s="712"/>
      <c r="L653" s="712"/>
      <c r="M653" s="712"/>
      <c r="N653" s="234"/>
      <c r="O653" s="712"/>
      <c r="P653" s="234"/>
      <c r="Q653" s="712"/>
      <c r="R653" s="712"/>
      <c r="S653" s="712"/>
      <c r="T653" s="712"/>
      <c r="U653" s="712"/>
      <c r="V653" s="712"/>
      <c r="W653" s="712"/>
      <c r="X653" s="712"/>
      <c r="Y653" s="712"/>
      <c r="Z653" s="712"/>
      <c r="AA653" s="712"/>
      <c r="AB653" s="712"/>
      <c r="AC653" s="712"/>
      <c r="AD653" s="712"/>
      <c r="AE653" s="712"/>
      <c r="AF653" s="712"/>
      <c r="AG653" s="712"/>
      <c r="AH653" s="712"/>
      <c r="AI653" s="712"/>
    </row>
    <row r="654" spans="1:35" x14ac:dyDescent="0.2">
      <c r="A654" s="713" t="s">
        <v>49</v>
      </c>
      <c r="B654" s="712"/>
      <c r="C654" s="712"/>
      <c r="D654" s="712"/>
      <c r="E654" s="712"/>
      <c r="F654" s="712"/>
      <c r="G654" s="712"/>
      <c r="H654" s="712"/>
      <c r="I654" s="712"/>
      <c r="J654" s="712"/>
      <c r="K654" s="712"/>
      <c r="L654" s="712"/>
      <c r="M654" s="712"/>
      <c r="N654" s="234"/>
      <c r="O654" s="712"/>
      <c r="P654" s="234"/>
      <c r="Q654" s="712"/>
      <c r="R654" s="712"/>
      <c r="S654" s="712"/>
      <c r="T654" s="712"/>
      <c r="U654" s="712"/>
      <c r="V654" s="712"/>
      <c r="W654" s="712"/>
      <c r="X654" s="712"/>
      <c r="Y654" s="712"/>
      <c r="Z654" s="712"/>
      <c r="AA654" s="712"/>
      <c r="AB654" s="712"/>
      <c r="AC654" s="234"/>
      <c r="AD654" s="712"/>
      <c r="AE654" s="712"/>
      <c r="AF654" s="712"/>
      <c r="AG654" s="712"/>
      <c r="AH654" s="712"/>
      <c r="AI654" s="712"/>
    </row>
    <row r="655" spans="1:35" x14ac:dyDescent="0.2">
      <c r="A655" s="713" t="s">
        <v>7</v>
      </c>
      <c r="B655" s="545">
        <v>6</v>
      </c>
      <c r="C655" s="545">
        <v>2063.9299999999998</v>
      </c>
      <c r="D655" s="545">
        <v>4869</v>
      </c>
      <c r="E655" s="545">
        <v>0</v>
      </c>
      <c r="F655" s="545">
        <v>0</v>
      </c>
      <c r="G655" s="545">
        <v>0</v>
      </c>
      <c r="H655" s="545">
        <v>0</v>
      </c>
      <c r="I655" s="545">
        <v>0</v>
      </c>
      <c r="J655" s="545">
        <v>0</v>
      </c>
      <c r="K655" s="545">
        <v>6932.93</v>
      </c>
      <c r="L655" s="545">
        <v>6000</v>
      </c>
      <c r="M655" s="545">
        <v>0</v>
      </c>
      <c r="N655" s="545">
        <v>6000</v>
      </c>
      <c r="O655" s="545">
        <v>12932.93</v>
      </c>
      <c r="P655" s="545">
        <v>41264.65</v>
      </c>
      <c r="Q655" s="545">
        <v>6</v>
      </c>
      <c r="R655" s="545">
        <v>2063.9299999999998</v>
      </c>
      <c r="S655" s="545">
        <v>4869</v>
      </c>
      <c r="T655" s="545">
        <v>0</v>
      </c>
      <c r="U655" s="545">
        <v>0</v>
      </c>
      <c r="V655" s="545">
        <v>0</v>
      </c>
      <c r="W655" s="545">
        <v>0</v>
      </c>
      <c r="X655" s="545">
        <v>0</v>
      </c>
      <c r="Y655" s="545">
        <v>0</v>
      </c>
      <c r="Z655" s="545">
        <v>6932.93</v>
      </c>
      <c r="AA655" s="545">
        <v>6000</v>
      </c>
      <c r="AB655" s="545">
        <v>0</v>
      </c>
      <c r="AC655" s="545">
        <v>6000</v>
      </c>
      <c r="AD655" s="545">
        <v>12932.93</v>
      </c>
      <c r="AE655" s="545">
        <v>41264.65</v>
      </c>
      <c r="AF655" s="545">
        <v>0</v>
      </c>
      <c r="AG655" s="545">
        <v>0</v>
      </c>
      <c r="AH655" s="545">
        <v>6</v>
      </c>
      <c r="AI655" s="545">
        <v>6</v>
      </c>
    </row>
    <row r="656" spans="1:35" x14ac:dyDescent="0.2">
      <c r="A656" s="714" t="s">
        <v>3</v>
      </c>
      <c r="B656" s="712"/>
      <c r="C656" s="712"/>
      <c r="D656" s="712"/>
      <c r="E656" s="712"/>
      <c r="F656" s="712"/>
      <c r="G656" s="712"/>
      <c r="H656" s="712"/>
      <c r="I656" s="712"/>
      <c r="J656" s="712"/>
      <c r="K656" s="715">
        <v>0</v>
      </c>
      <c r="L656" s="715">
        <v>0</v>
      </c>
      <c r="M656" s="712"/>
      <c r="N656" s="716">
        <v>0</v>
      </c>
      <c r="O656" s="715">
        <v>0</v>
      </c>
      <c r="P656" s="715">
        <v>0</v>
      </c>
      <c r="Q656" s="712"/>
      <c r="R656" s="712"/>
      <c r="S656" s="712"/>
      <c r="T656" s="712"/>
      <c r="U656" s="712"/>
      <c r="V656" s="712"/>
      <c r="W656" s="712"/>
      <c r="X656" s="712"/>
      <c r="Y656" s="712"/>
      <c r="Z656" s="715">
        <v>0</v>
      </c>
      <c r="AA656" s="715">
        <v>0</v>
      </c>
      <c r="AB656" s="712"/>
      <c r="AC656" s="716">
        <v>0</v>
      </c>
      <c r="AD656" s="715">
        <v>0</v>
      </c>
      <c r="AE656" s="715">
        <v>0</v>
      </c>
      <c r="AF656" s="715">
        <v>0</v>
      </c>
      <c r="AG656" s="715">
        <v>0</v>
      </c>
      <c r="AH656" s="712"/>
      <c r="AI656" s="712"/>
    </row>
    <row r="657" spans="1:35" x14ac:dyDescent="0.2">
      <c r="A657" s="714" t="s">
        <v>577</v>
      </c>
      <c r="B657" s="712"/>
      <c r="C657" s="712"/>
      <c r="D657" s="712"/>
      <c r="E657" s="712"/>
      <c r="F657" s="712"/>
      <c r="G657" s="712"/>
      <c r="H657" s="712"/>
      <c r="I657" s="712"/>
      <c r="J657" s="712"/>
      <c r="K657" s="715">
        <v>0</v>
      </c>
      <c r="L657" s="715">
        <v>0</v>
      </c>
      <c r="M657" s="712"/>
      <c r="N657" s="716">
        <v>0</v>
      </c>
      <c r="O657" s="715">
        <v>0</v>
      </c>
      <c r="P657" s="715">
        <v>0</v>
      </c>
      <c r="Q657" s="712"/>
      <c r="R657" s="712"/>
      <c r="S657" s="712"/>
      <c r="T657" s="712"/>
      <c r="U657" s="712"/>
      <c r="V657" s="712"/>
      <c r="W657" s="712"/>
      <c r="X657" s="712"/>
      <c r="Y657" s="712"/>
      <c r="Z657" s="715">
        <v>0</v>
      </c>
      <c r="AA657" s="715">
        <v>0</v>
      </c>
      <c r="AB657" s="712"/>
      <c r="AC657" s="716">
        <v>0</v>
      </c>
      <c r="AD657" s="715">
        <v>0</v>
      </c>
      <c r="AE657" s="715">
        <v>0</v>
      </c>
      <c r="AF657" s="715">
        <v>0</v>
      </c>
      <c r="AG657" s="715">
        <v>0</v>
      </c>
      <c r="AH657" s="712"/>
      <c r="AI657" s="712"/>
    </row>
    <row r="658" spans="1:35" x14ac:dyDescent="0.2">
      <c r="A658" s="714" t="s">
        <v>642</v>
      </c>
      <c r="B658" s="712"/>
      <c r="C658" s="712"/>
      <c r="D658" s="712"/>
      <c r="E658" s="712"/>
      <c r="F658" s="712"/>
      <c r="G658" s="712"/>
      <c r="H658" s="712"/>
      <c r="I658" s="712"/>
      <c r="J658" s="712"/>
      <c r="K658" s="715">
        <v>0</v>
      </c>
      <c r="L658" s="715">
        <v>0</v>
      </c>
      <c r="M658" s="712"/>
      <c r="N658" s="716">
        <v>0</v>
      </c>
      <c r="O658" s="715">
        <v>0</v>
      </c>
      <c r="P658" s="715">
        <v>0</v>
      </c>
      <c r="Q658" s="712"/>
      <c r="R658" s="712"/>
      <c r="S658" s="712"/>
      <c r="T658" s="712"/>
      <c r="U658" s="712"/>
      <c r="V658" s="712"/>
      <c r="W658" s="712"/>
      <c r="X658" s="712"/>
      <c r="Y658" s="712"/>
      <c r="Z658" s="715">
        <v>0</v>
      </c>
      <c r="AA658" s="715">
        <v>0</v>
      </c>
      <c r="AB658" s="712"/>
      <c r="AC658" s="716">
        <v>0</v>
      </c>
      <c r="AD658" s="715">
        <v>0</v>
      </c>
      <c r="AE658" s="715">
        <v>0</v>
      </c>
      <c r="AF658" s="715">
        <v>0</v>
      </c>
      <c r="AG658" s="715">
        <v>0</v>
      </c>
      <c r="AH658" s="712"/>
      <c r="AI658" s="712"/>
    </row>
    <row r="659" spans="1:35" x14ac:dyDescent="0.2">
      <c r="A659" s="714" t="s">
        <v>578</v>
      </c>
      <c r="B659" s="712"/>
      <c r="C659" s="712"/>
      <c r="D659" s="712"/>
      <c r="E659" s="712"/>
      <c r="F659" s="712"/>
      <c r="G659" s="712"/>
      <c r="H659" s="712"/>
      <c r="I659" s="712"/>
      <c r="J659" s="712"/>
      <c r="K659" s="715">
        <v>0</v>
      </c>
      <c r="L659" s="715">
        <v>0</v>
      </c>
      <c r="M659" s="712"/>
      <c r="N659" s="716">
        <v>0</v>
      </c>
      <c r="O659" s="715">
        <v>0</v>
      </c>
      <c r="P659" s="715">
        <v>0</v>
      </c>
      <c r="Q659" s="712"/>
      <c r="R659" s="712"/>
      <c r="S659" s="712"/>
      <c r="T659" s="712"/>
      <c r="U659" s="712"/>
      <c r="V659" s="712"/>
      <c r="W659" s="712"/>
      <c r="X659" s="712"/>
      <c r="Y659" s="712"/>
      <c r="Z659" s="715">
        <v>0</v>
      </c>
      <c r="AA659" s="715">
        <v>0</v>
      </c>
      <c r="AB659" s="712"/>
      <c r="AC659" s="716">
        <v>0</v>
      </c>
      <c r="AD659" s="715">
        <v>0</v>
      </c>
      <c r="AE659" s="715">
        <v>0</v>
      </c>
      <c r="AF659" s="715">
        <v>0</v>
      </c>
      <c r="AG659" s="715">
        <v>0</v>
      </c>
      <c r="AH659" s="712"/>
      <c r="AI659" s="712"/>
    </row>
    <row r="660" spans="1:35" x14ac:dyDescent="0.2">
      <c r="A660" s="714" t="s">
        <v>579</v>
      </c>
      <c r="B660" s="715">
        <v>1</v>
      </c>
      <c r="C660" s="715">
        <v>1350</v>
      </c>
      <c r="D660" s="715">
        <v>3500</v>
      </c>
      <c r="E660" s="712"/>
      <c r="F660" s="712"/>
      <c r="G660" s="712"/>
      <c r="H660" s="712"/>
      <c r="I660" s="712"/>
      <c r="J660" s="712"/>
      <c r="K660" s="715">
        <v>4850</v>
      </c>
      <c r="L660" s="715">
        <v>1000</v>
      </c>
      <c r="M660" s="712"/>
      <c r="N660" s="716">
        <v>1000</v>
      </c>
      <c r="O660" s="715">
        <v>5850</v>
      </c>
      <c r="P660" s="715">
        <v>5850</v>
      </c>
      <c r="Q660" s="715">
        <v>1</v>
      </c>
      <c r="R660" s="715">
        <v>1350</v>
      </c>
      <c r="S660" s="715">
        <v>3500</v>
      </c>
      <c r="T660" s="712"/>
      <c r="U660" s="712"/>
      <c r="V660" s="712"/>
      <c r="W660" s="712"/>
      <c r="X660" s="712"/>
      <c r="Y660" s="712"/>
      <c r="Z660" s="715">
        <v>4850</v>
      </c>
      <c r="AA660" s="715">
        <v>1000</v>
      </c>
      <c r="AB660" s="712"/>
      <c r="AC660" s="716">
        <v>1000</v>
      </c>
      <c r="AD660" s="715">
        <v>5850</v>
      </c>
      <c r="AE660" s="715">
        <v>5850</v>
      </c>
      <c r="AF660" s="715">
        <v>0</v>
      </c>
      <c r="AG660" s="715">
        <v>0</v>
      </c>
      <c r="AH660" s="715">
        <v>1</v>
      </c>
      <c r="AI660" s="715">
        <v>1</v>
      </c>
    </row>
    <row r="661" spans="1:35" x14ac:dyDescent="0.2">
      <c r="A661" s="714" t="s">
        <v>580</v>
      </c>
      <c r="B661" s="712"/>
      <c r="C661" s="712"/>
      <c r="D661" s="712"/>
      <c r="E661" s="712"/>
      <c r="F661" s="712"/>
      <c r="G661" s="712"/>
      <c r="H661" s="712"/>
      <c r="I661" s="712"/>
      <c r="J661" s="712"/>
      <c r="K661" s="715">
        <v>0</v>
      </c>
      <c r="L661" s="715">
        <v>0</v>
      </c>
      <c r="M661" s="712"/>
      <c r="N661" s="716">
        <v>0</v>
      </c>
      <c r="O661" s="715">
        <v>0</v>
      </c>
      <c r="P661" s="715">
        <v>0</v>
      </c>
      <c r="Q661" s="712"/>
      <c r="R661" s="712"/>
      <c r="S661" s="712"/>
      <c r="T661" s="712"/>
      <c r="U661" s="712"/>
      <c r="V661" s="712"/>
      <c r="W661" s="712"/>
      <c r="X661" s="712"/>
      <c r="Y661" s="712"/>
      <c r="Z661" s="715">
        <v>0</v>
      </c>
      <c r="AA661" s="715">
        <v>0</v>
      </c>
      <c r="AB661" s="712"/>
      <c r="AC661" s="716">
        <v>0</v>
      </c>
      <c r="AD661" s="715">
        <v>0</v>
      </c>
      <c r="AE661" s="715">
        <v>0</v>
      </c>
      <c r="AF661" s="715">
        <v>0</v>
      </c>
      <c r="AG661" s="715">
        <v>0</v>
      </c>
      <c r="AH661" s="712"/>
      <c r="AI661" s="712"/>
    </row>
    <row r="662" spans="1:35" x14ac:dyDescent="0.2">
      <c r="A662" s="714" t="s">
        <v>581</v>
      </c>
      <c r="B662" s="712"/>
      <c r="C662" s="712"/>
      <c r="D662" s="712"/>
      <c r="E662" s="712"/>
      <c r="F662" s="712"/>
      <c r="G662" s="712"/>
      <c r="H662" s="712"/>
      <c r="I662" s="712"/>
      <c r="J662" s="712"/>
      <c r="K662" s="715">
        <v>0</v>
      </c>
      <c r="L662" s="715">
        <v>0</v>
      </c>
      <c r="M662" s="712"/>
      <c r="N662" s="716">
        <v>0</v>
      </c>
      <c r="O662" s="715">
        <v>0</v>
      </c>
      <c r="P662" s="715">
        <v>0</v>
      </c>
      <c r="Q662" s="712"/>
      <c r="R662" s="712"/>
      <c r="S662" s="712"/>
      <c r="T662" s="712"/>
      <c r="U662" s="712"/>
      <c r="V662" s="712"/>
      <c r="W662" s="712"/>
      <c r="X662" s="712"/>
      <c r="Y662" s="712"/>
      <c r="Z662" s="715">
        <v>0</v>
      </c>
      <c r="AA662" s="715">
        <v>0</v>
      </c>
      <c r="AB662" s="712"/>
      <c r="AC662" s="716">
        <v>0</v>
      </c>
      <c r="AD662" s="715">
        <v>0</v>
      </c>
      <c r="AE662" s="715">
        <v>0</v>
      </c>
      <c r="AF662" s="715">
        <v>0</v>
      </c>
      <c r="AG662" s="715">
        <v>0</v>
      </c>
      <c r="AH662" s="712"/>
      <c r="AI662" s="712"/>
    </row>
    <row r="663" spans="1:35" x14ac:dyDescent="0.2">
      <c r="A663" s="714" t="s">
        <v>12</v>
      </c>
      <c r="B663" s="715">
        <v>5</v>
      </c>
      <c r="C663" s="715">
        <v>713.93</v>
      </c>
      <c r="D663" s="715">
        <v>1369</v>
      </c>
      <c r="E663" s="712"/>
      <c r="F663" s="712"/>
      <c r="G663" s="712"/>
      <c r="H663" s="712"/>
      <c r="I663" s="712"/>
      <c r="J663" s="712"/>
      <c r="K663" s="715">
        <v>2082.9299999999998</v>
      </c>
      <c r="L663" s="715">
        <v>5000</v>
      </c>
      <c r="M663" s="712"/>
      <c r="N663" s="716">
        <v>5000</v>
      </c>
      <c r="O663" s="715">
        <v>7082.93</v>
      </c>
      <c r="P663" s="715">
        <v>35414.65</v>
      </c>
      <c r="Q663" s="715">
        <v>5</v>
      </c>
      <c r="R663" s="715">
        <v>713.93</v>
      </c>
      <c r="S663" s="715">
        <v>1369</v>
      </c>
      <c r="T663" s="712"/>
      <c r="U663" s="712"/>
      <c r="V663" s="712"/>
      <c r="W663" s="712"/>
      <c r="X663" s="712"/>
      <c r="Y663" s="712"/>
      <c r="Z663" s="715">
        <v>2082.9299999999998</v>
      </c>
      <c r="AA663" s="715">
        <v>5000</v>
      </c>
      <c r="AB663" s="712"/>
      <c r="AC663" s="716">
        <v>5000</v>
      </c>
      <c r="AD663" s="715">
        <v>7082.93</v>
      </c>
      <c r="AE663" s="715">
        <v>35414.65</v>
      </c>
      <c r="AF663" s="715">
        <v>0</v>
      </c>
      <c r="AG663" s="715">
        <v>0</v>
      </c>
      <c r="AH663" s="715">
        <v>5</v>
      </c>
      <c r="AI663" s="715">
        <v>5</v>
      </c>
    </row>
    <row r="664" spans="1:35" x14ac:dyDescent="0.2">
      <c r="A664" s="713" t="s">
        <v>4</v>
      </c>
      <c r="B664" s="545">
        <v>3</v>
      </c>
      <c r="C664" s="545">
        <v>1199.81</v>
      </c>
      <c r="D664" s="545">
        <v>2420</v>
      </c>
      <c r="E664" s="545">
        <v>0</v>
      </c>
      <c r="F664" s="545">
        <v>0</v>
      </c>
      <c r="G664" s="545">
        <v>0</v>
      </c>
      <c r="H664" s="545">
        <v>0</v>
      </c>
      <c r="I664" s="545">
        <v>0</v>
      </c>
      <c r="J664" s="545">
        <v>0</v>
      </c>
      <c r="K664" s="545">
        <v>3619.81</v>
      </c>
      <c r="L664" s="545">
        <v>3000</v>
      </c>
      <c r="M664" s="545">
        <v>0</v>
      </c>
      <c r="N664" s="545">
        <v>3000</v>
      </c>
      <c r="O664" s="545">
        <v>6619.81</v>
      </c>
      <c r="P664" s="545">
        <v>10405.74</v>
      </c>
      <c r="Q664" s="545">
        <v>3</v>
      </c>
      <c r="R664" s="545">
        <v>1199.81</v>
      </c>
      <c r="S664" s="545">
        <v>2420</v>
      </c>
      <c r="T664" s="545">
        <v>0</v>
      </c>
      <c r="U664" s="545">
        <v>0</v>
      </c>
      <c r="V664" s="545">
        <v>0</v>
      </c>
      <c r="W664" s="545">
        <v>0</v>
      </c>
      <c r="X664" s="545">
        <v>0</v>
      </c>
      <c r="Y664" s="545">
        <v>0</v>
      </c>
      <c r="Z664" s="545">
        <v>3619.81</v>
      </c>
      <c r="AA664" s="545">
        <v>3000</v>
      </c>
      <c r="AB664" s="545">
        <v>0</v>
      </c>
      <c r="AC664" s="545">
        <v>3000</v>
      </c>
      <c r="AD664" s="545">
        <v>6619.81</v>
      </c>
      <c r="AE664" s="545">
        <v>10405.74</v>
      </c>
      <c r="AF664" s="545">
        <v>0</v>
      </c>
      <c r="AG664" s="545">
        <v>0</v>
      </c>
      <c r="AH664" s="545">
        <v>3</v>
      </c>
      <c r="AI664" s="545">
        <v>3</v>
      </c>
    </row>
    <row r="665" spans="1:35" x14ac:dyDescent="0.2">
      <c r="A665" s="714" t="s">
        <v>13</v>
      </c>
      <c r="B665" s="712"/>
      <c r="C665" s="712"/>
      <c r="D665" s="712"/>
      <c r="E665" s="712"/>
      <c r="F665" s="712"/>
      <c r="G665" s="712"/>
      <c r="H665" s="712"/>
      <c r="I665" s="712"/>
      <c r="J665" s="712"/>
      <c r="K665" s="715">
        <v>0</v>
      </c>
      <c r="L665" s="715">
        <v>0</v>
      </c>
      <c r="M665" s="712"/>
      <c r="N665" s="716">
        <v>0</v>
      </c>
      <c r="O665" s="715">
        <v>0</v>
      </c>
      <c r="P665" s="715">
        <v>0</v>
      </c>
      <c r="Q665" s="712"/>
      <c r="R665" s="712"/>
      <c r="S665" s="712"/>
      <c r="T665" s="712"/>
      <c r="U665" s="712"/>
      <c r="V665" s="712"/>
      <c r="W665" s="712"/>
      <c r="X665" s="712"/>
      <c r="Y665" s="712"/>
      <c r="Z665" s="715">
        <v>0</v>
      </c>
      <c r="AA665" s="715">
        <v>0</v>
      </c>
      <c r="AB665" s="712"/>
      <c r="AC665" s="716">
        <v>0</v>
      </c>
      <c r="AD665" s="715">
        <v>0</v>
      </c>
      <c r="AE665" s="715">
        <v>0</v>
      </c>
      <c r="AF665" s="715">
        <v>0</v>
      </c>
      <c r="AG665" s="715">
        <v>0</v>
      </c>
      <c r="AH665" s="712"/>
      <c r="AI665" s="712"/>
    </row>
    <row r="666" spans="1:35" x14ac:dyDescent="0.2">
      <c r="A666" s="714" t="s">
        <v>582</v>
      </c>
      <c r="B666" s="712"/>
      <c r="C666" s="712"/>
      <c r="D666" s="712"/>
      <c r="E666" s="712"/>
      <c r="F666" s="712"/>
      <c r="G666" s="712"/>
      <c r="H666" s="712"/>
      <c r="I666" s="712"/>
      <c r="J666" s="712"/>
      <c r="K666" s="715">
        <v>0</v>
      </c>
      <c r="L666" s="715">
        <v>0</v>
      </c>
      <c r="M666" s="712"/>
      <c r="N666" s="716">
        <v>0</v>
      </c>
      <c r="O666" s="715">
        <v>0</v>
      </c>
      <c r="P666" s="715">
        <v>0</v>
      </c>
      <c r="Q666" s="712"/>
      <c r="R666" s="712"/>
      <c r="S666" s="712"/>
      <c r="T666" s="712"/>
      <c r="U666" s="712"/>
      <c r="V666" s="712"/>
      <c r="W666" s="712"/>
      <c r="X666" s="712"/>
      <c r="Y666" s="712"/>
      <c r="Z666" s="715">
        <v>0</v>
      </c>
      <c r="AA666" s="715">
        <v>0</v>
      </c>
      <c r="AB666" s="712"/>
      <c r="AC666" s="716">
        <v>0</v>
      </c>
      <c r="AD666" s="715">
        <v>0</v>
      </c>
      <c r="AE666" s="715">
        <v>0</v>
      </c>
      <c r="AF666" s="715">
        <v>0</v>
      </c>
      <c r="AG666" s="715">
        <v>0</v>
      </c>
      <c r="AH666" s="712"/>
      <c r="AI666" s="712"/>
    </row>
    <row r="667" spans="1:35" x14ac:dyDescent="0.2">
      <c r="A667" s="714" t="s">
        <v>583</v>
      </c>
      <c r="B667" s="712"/>
      <c r="C667" s="712"/>
      <c r="D667" s="712"/>
      <c r="E667" s="712"/>
      <c r="F667" s="712"/>
      <c r="G667" s="712"/>
      <c r="H667" s="712"/>
      <c r="I667" s="712"/>
      <c r="J667" s="712"/>
      <c r="K667" s="715">
        <v>0</v>
      </c>
      <c r="L667" s="715">
        <v>0</v>
      </c>
      <c r="M667" s="712"/>
      <c r="N667" s="716">
        <v>0</v>
      </c>
      <c r="O667" s="715">
        <v>0</v>
      </c>
      <c r="P667" s="715">
        <v>0</v>
      </c>
      <c r="Q667" s="712"/>
      <c r="R667" s="712"/>
      <c r="S667" s="712"/>
      <c r="T667" s="712"/>
      <c r="U667" s="712"/>
      <c r="V667" s="712"/>
      <c r="W667" s="712"/>
      <c r="X667" s="712"/>
      <c r="Y667" s="712"/>
      <c r="Z667" s="715">
        <v>0</v>
      </c>
      <c r="AA667" s="715">
        <v>0</v>
      </c>
      <c r="AB667" s="712"/>
      <c r="AC667" s="716">
        <v>0</v>
      </c>
      <c r="AD667" s="715">
        <v>0</v>
      </c>
      <c r="AE667" s="715">
        <v>0</v>
      </c>
      <c r="AF667" s="715">
        <v>0</v>
      </c>
      <c r="AG667" s="715">
        <v>0</v>
      </c>
      <c r="AH667" s="712"/>
      <c r="AI667" s="712"/>
    </row>
    <row r="668" spans="1:35" x14ac:dyDescent="0.2">
      <c r="A668" s="714" t="s">
        <v>584</v>
      </c>
      <c r="B668" s="715">
        <v>1</v>
      </c>
      <c r="C668" s="715">
        <v>623.88</v>
      </c>
      <c r="D668" s="715">
        <v>1210</v>
      </c>
      <c r="E668" s="712"/>
      <c r="F668" s="712"/>
      <c r="G668" s="712"/>
      <c r="H668" s="712"/>
      <c r="I668" s="712"/>
      <c r="J668" s="712"/>
      <c r="K668" s="715">
        <v>1833.88</v>
      </c>
      <c r="L668" s="715">
        <v>1000</v>
      </c>
      <c r="M668" s="712"/>
      <c r="N668" s="716">
        <v>1000</v>
      </c>
      <c r="O668" s="715">
        <v>2833.88</v>
      </c>
      <c r="P668" s="715">
        <v>2833.88</v>
      </c>
      <c r="Q668" s="715">
        <v>1</v>
      </c>
      <c r="R668" s="715">
        <v>623.88</v>
      </c>
      <c r="S668" s="715">
        <v>1210</v>
      </c>
      <c r="T668" s="712"/>
      <c r="U668" s="712"/>
      <c r="V668" s="712"/>
      <c r="W668" s="712"/>
      <c r="X668" s="712"/>
      <c r="Y668" s="712"/>
      <c r="Z668" s="715">
        <v>1833.88</v>
      </c>
      <c r="AA668" s="715">
        <v>1000</v>
      </c>
      <c r="AB668" s="712"/>
      <c r="AC668" s="716">
        <v>1000</v>
      </c>
      <c r="AD668" s="715">
        <v>2833.88</v>
      </c>
      <c r="AE668" s="715">
        <v>2833.88</v>
      </c>
      <c r="AF668" s="715">
        <v>0</v>
      </c>
      <c r="AG668" s="715">
        <v>0</v>
      </c>
      <c r="AH668" s="715">
        <v>1</v>
      </c>
      <c r="AI668" s="715">
        <v>1</v>
      </c>
    </row>
    <row r="669" spans="1:35" x14ac:dyDescent="0.2">
      <c r="A669" s="714" t="s">
        <v>14</v>
      </c>
      <c r="B669" s="712"/>
      <c r="C669" s="712"/>
      <c r="D669" s="712"/>
      <c r="E669" s="712"/>
      <c r="F669" s="712"/>
      <c r="G669" s="712"/>
      <c r="H669" s="712"/>
      <c r="I669" s="712"/>
      <c r="J669" s="712"/>
      <c r="K669" s="715">
        <v>0</v>
      </c>
      <c r="L669" s="715">
        <v>0</v>
      </c>
      <c r="M669" s="712"/>
      <c r="N669" s="716">
        <v>0</v>
      </c>
      <c r="O669" s="715">
        <v>0</v>
      </c>
      <c r="P669" s="715">
        <v>0</v>
      </c>
      <c r="Q669" s="712"/>
      <c r="R669" s="712"/>
      <c r="S669" s="712"/>
      <c r="T669" s="712"/>
      <c r="U669" s="712"/>
      <c r="V669" s="712"/>
      <c r="W669" s="712"/>
      <c r="X669" s="712"/>
      <c r="Y669" s="712"/>
      <c r="Z669" s="715">
        <v>0</v>
      </c>
      <c r="AA669" s="715">
        <v>0</v>
      </c>
      <c r="AB669" s="712"/>
      <c r="AC669" s="716">
        <v>0</v>
      </c>
      <c r="AD669" s="715">
        <v>0</v>
      </c>
      <c r="AE669" s="715">
        <v>0</v>
      </c>
      <c r="AF669" s="715">
        <v>0</v>
      </c>
      <c r="AG669" s="715">
        <v>0</v>
      </c>
      <c r="AH669" s="712"/>
      <c r="AI669" s="712"/>
    </row>
    <row r="670" spans="1:35" x14ac:dyDescent="0.2">
      <c r="A670" s="714" t="s">
        <v>585</v>
      </c>
      <c r="B670" s="715">
        <v>2</v>
      </c>
      <c r="C670" s="715">
        <v>575.92999999999995</v>
      </c>
      <c r="D670" s="715">
        <v>1210</v>
      </c>
      <c r="E670" s="712"/>
      <c r="F670" s="712"/>
      <c r="G670" s="712"/>
      <c r="H670" s="712"/>
      <c r="I670" s="712"/>
      <c r="J670" s="712"/>
      <c r="K670" s="715">
        <v>1785.93</v>
      </c>
      <c r="L670" s="715">
        <v>2000</v>
      </c>
      <c r="M670" s="712"/>
      <c r="N670" s="716">
        <v>2000</v>
      </c>
      <c r="O670" s="715">
        <v>3785.93</v>
      </c>
      <c r="P670" s="715">
        <v>7571.86</v>
      </c>
      <c r="Q670" s="715">
        <v>2</v>
      </c>
      <c r="R670" s="715">
        <v>575.92999999999995</v>
      </c>
      <c r="S670" s="715">
        <v>1210</v>
      </c>
      <c r="T670" s="712"/>
      <c r="U670" s="712"/>
      <c r="V670" s="712"/>
      <c r="W670" s="712"/>
      <c r="X670" s="712"/>
      <c r="Y670" s="712"/>
      <c r="Z670" s="715">
        <v>1785.93</v>
      </c>
      <c r="AA670" s="715">
        <v>2000</v>
      </c>
      <c r="AB670" s="712"/>
      <c r="AC670" s="716">
        <v>2000</v>
      </c>
      <c r="AD670" s="715">
        <v>3785.93</v>
      </c>
      <c r="AE670" s="715">
        <v>7571.86</v>
      </c>
      <c r="AF670" s="715">
        <v>0</v>
      </c>
      <c r="AG670" s="715">
        <v>0</v>
      </c>
      <c r="AH670" s="715">
        <v>2</v>
      </c>
      <c r="AI670" s="715">
        <v>2</v>
      </c>
    </row>
    <row r="671" spans="1:35" x14ac:dyDescent="0.2">
      <c r="A671" s="713" t="s">
        <v>5</v>
      </c>
      <c r="B671" s="545">
        <v>17</v>
      </c>
      <c r="C671" s="545">
        <v>2249.46</v>
      </c>
      <c r="D671" s="545">
        <v>4840</v>
      </c>
      <c r="E671" s="545">
        <v>0</v>
      </c>
      <c r="F671" s="545">
        <v>0</v>
      </c>
      <c r="G671" s="545">
        <v>0</v>
      </c>
      <c r="H671" s="545">
        <v>0</v>
      </c>
      <c r="I671" s="545">
        <v>0</v>
      </c>
      <c r="J671" s="545">
        <v>0</v>
      </c>
      <c r="K671" s="545">
        <v>7089.46</v>
      </c>
      <c r="L671" s="545">
        <v>17000</v>
      </c>
      <c r="M671" s="545">
        <v>0</v>
      </c>
      <c r="N671" s="545">
        <v>17000</v>
      </c>
      <c r="O671" s="545">
        <v>24089.46</v>
      </c>
      <c r="P671" s="545">
        <v>107118.5</v>
      </c>
      <c r="Q671" s="545">
        <v>17</v>
      </c>
      <c r="R671" s="545">
        <v>2249.46</v>
      </c>
      <c r="S671" s="545">
        <v>4840</v>
      </c>
      <c r="T671" s="545">
        <v>0</v>
      </c>
      <c r="U671" s="545">
        <v>0</v>
      </c>
      <c r="V671" s="545">
        <v>0</v>
      </c>
      <c r="W671" s="545">
        <v>0</v>
      </c>
      <c r="X671" s="545">
        <v>0</v>
      </c>
      <c r="Y671" s="545">
        <v>0</v>
      </c>
      <c r="Z671" s="545">
        <v>7089.46</v>
      </c>
      <c r="AA671" s="545">
        <v>17000</v>
      </c>
      <c r="AB671" s="545">
        <v>0</v>
      </c>
      <c r="AC671" s="545">
        <v>17000</v>
      </c>
      <c r="AD671" s="545">
        <v>24089.46</v>
      </c>
      <c r="AE671" s="545">
        <v>107118.5</v>
      </c>
      <c r="AF671" s="545">
        <v>0</v>
      </c>
      <c r="AG671" s="545">
        <v>0</v>
      </c>
      <c r="AH671" s="545">
        <v>17</v>
      </c>
      <c r="AI671" s="545">
        <v>17</v>
      </c>
    </row>
    <row r="672" spans="1:35" x14ac:dyDescent="0.2">
      <c r="A672" s="714" t="s">
        <v>15</v>
      </c>
      <c r="B672" s="715">
        <v>4</v>
      </c>
      <c r="C672" s="715">
        <v>574.92999999999995</v>
      </c>
      <c r="D672" s="715">
        <v>1210</v>
      </c>
      <c r="E672" s="712"/>
      <c r="F672" s="712"/>
      <c r="G672" s="712"/>
      <c r="H672" s="712"/>
      <c r="I672" s="712"/>
      <c r="J672" s="712"/>
      <c r="K672" s="715">
        <v>1784.93</v>
      </c>
      <c r="L672" s="715">
        <v>4000</v>
      </c>
      <c r="M672" s="712"/>
      <c r="N672" s="716">
        <v>4000</v>
      </c>
      <c r="O672" s="715">
        <v>5784.93</v>
      </c>
      <c r="P672" s="715">
        <v>23139.72</v>
      </c>
      <c r="Q672" s="715">
        <v>4</v>
      </c>
      <c r="R672" s="715">
        <v>574.92999999999995</v>
      </c>
      <c r="S672" s="715">
        <v>1210</v>
      </c>
      <c r="T672" s="712"/>
      <c r="U672" s="712"/>
      <c r="V672" s="712"/>
      <c r="W672" s="712"/>
      <c r="X672" s="712"/>
      <c r="Y672" s="712"/>
      <c r="Z672" s="715">
        <v>1784.93</v>
      </c>
      <c r="AA672" s="715">
        <v>4000</v>
      </c>
      <c r="AB672" s="712"/>
      <c r="AC672" s="716">
        <v>4000</v>
      </c>
      <c r="AD672" s="715">
        <v>5784.93</v>
      </c>
      <c r="AE672" s="715">
        <v>23139.72</v>
      </c>
      <c r="AF672" s="715">
        <v>0</v>
      </c>
      <c r="AG672" s="715">
        <v>0</v>
      </c>
      <c r="AH672" s="715">
        <v>4</v>
      </c>
      <c r="AI672" s="715">
        <v>4</v>
      </c>
    </row>
    <row r="673" spans="1:35" x14ac:dyDescent="0.2">
      <c r="A673" s="714" t="s">
        <v>586</v>
      </c>
      <c r="B673" s="715">
        <v>4</v>
      </c>
      <c r="C673" s="715">
        <v>567.16999999999996</v>
      </c>
      <c r="D673" s="715">
        <v>1210</v>
      </c>
      <c r="E673" s="712"/>
      <c r="F673" s="712"/>
      <c r="G673" s="712"/>
      <c r="H673" s="712"/>
      <c r="I673" s="712"/>
      <c r="J673" s="712"/>
      <c r="K673" s="715">
        <v>1777.17</v>
      </c>
      <c r="L673" s="715">
        <v>4000</v>
      </c>
      <c r="M673" s="712"/>
      <c r="N673" s="716">
        <v>4000</v>
      </c>
      <c r="O673" s="715">
        <v>5777.17</v>
      </c>
      <c r="P673" s="715">
        <v>23108.68</v>
      </c>
      <c r="Q673" s="715">
        <v>4</v>
      </c>
      <c r="R673" s="715">
        <v>567.16999999999996</v>
      </c>
      <c r="S673" s="715">
        <v>1210</v>
      </c>
      <c r="T673" s="712"/>
      <c r="U673" s="712"/>
      <c r="V673" s="712"/>
      <c r="W673" s="712"/>
      <c r="X673" s="712"/>
      <c r="Y673" s="712"/>
      <c r="Z673" s="715">
        <v>1777.17</v>
      </c>
      <c r="AA673" s="715">
        <v>4000</v>
      </c>
      <c r="AB673" s="712"/>
      <c r="AC673" s="716">
        <v>4000</v>
      </c>
      <c r="AD673" s="715">
        <v>5777.17</v>
      </c>
      <c r="AE673" s="715">
        <v>23108.68</v>
      </c>
      <c r="AF673" s="715">
        <v>0</v>
      </c>
      <c r="AG673" s="715">
        <v>0</v>
      </c>
      <c r="AH673" s="715">
        <v>4</v>
      </c>
      <c r="AI673" s="715">
        <v>4</v>
      </c>
    </row>
    <row r="674" spans="1:35" x14ac:dyDescent="0.2">
      <c r="A674" s="714" t="s">
        <v>587</v>
      </c>
      <c r="B674" s="712"/>
      <c r="C674" s="712"/>
      <c r="D674" s="712"/>
      <c r="E674" s="712"/>
      <c r="F674" s="712"/>
      <c r="G674" s="712"/>
      <c r="H674" s="712"/>
      <c r="I674" s="712"/>
      <c r="J674" s="712"/>
      <c r="K674" s="715">
        <v>0</v>
      </c>
      <c r="L674" s="715">
        <v>0</v>
      </c>
      <c r="M674" s="712"/>
      <c r="N674" s="716">
        <v>0</v>
      </c>
      <c r="O674" s="715">
        <v>0</v>
      </c>
      <c r="P674" s="715">
        <v>0</v>
      </c>
      <c r="Q674" s="712"/>
      <c r="R674" s="712"/>
      <c r="S674" s="712"/>
      <c r="T674" s="712"/>
      <c r="U674" s="712"/>
      <c r="V674" s="712"/>
      <c r="W674" s="712"/>
      <c r="X674" s="712"/>
      <c r="Y674" s="712"/>
      <c r="Z674" s="715">
        <v>0</v>
      </c>
      <c r="AA674" s="715">
        <v>0</v>
      </c>
      <c r="AB674" s="712"/>
      <c r="AC674" s="716">
        <v>0</v>
      </c>
      <c r="AD674" s="715">
        <v>0</v>
      </c>
      <c r="AE674" s="715">
        <v>0</v>
      </c>
      <c r="AF674" s="715">
        <v>0</v>
      </c>
      <c r="AG674" s="715">
        <v>0</v>
      </c>
      <c r="AH674" s="712"/>
      <c r="AI674" s="712"/>
    </row>
    <row r="675" spans="1:35" x14ac:dyDescent="0.2">
      <c r="A675" s="714" t="s">
        <v>588</v>
      </c>
      <c r="B675" s="715">
        <v>3</v>
      </c>
      <c r="C675" s="715">
        <v>554.67999999999995</v>
      </c>
      <c r="D675" s="715">
        <v>1210</v>
      </c>
      <c r="E675" s="712"/>
      <c r="F675" s="712"/>
      <c r="G675" s="712"/>
      <c r="H675" s="712"/>
      <c r="I675" s="712"/>
      <c r="J675" s="712"/>
      <c r="K675" s="715">
        <v>1764.68</v>
      </c>
      <c r="L675" s="715">
        <v>3000</v>
      </c>
      <c r="M675" s="712"/>
      <c r="N675" s="716">
        <v>3000</v>
      </c>
      <c r="O675" s="715">
        <v>4764.68</v>
      </c>
      <c r="P675" s="715">
        <v>14294.04</v>
      </c>
      <c r="Q675" s="715">
        <v>3</v>
      </c>
      <c r="R675" s="715">
        <v>554.67999999999995</v>
      </c>
      <c r="S675" s="715">
        <v>1210</v>
      </c>
      <c r="T675" s="712"/>
      <c r="U675" s="712"/>
      <c r="V675" s="712"/>
      <c r="W675" s="712"/>
      <c r="X675" s="712"/>
      <c r="Y675" s="712"/>
      <c r="Z675" s="715">
        <v>1764.68</v>
      </c>
      <c r="AA675" s="715">
        <v>3000</v>
      </c>
      <c r="AB675" s="712"/>
      <c r="AC675" s="716">
        <v>3000</v>
      </c>
      <c r="AD675" s="715">
        <v>4764.68</v>
      </c>
      <c r="AE675" s="715">
        <v>14294.04</v>
      </c>
      <c r="AF675" s="715">
        <v>0</v>
      </c>
      <c r="AG675" s="715">
        <v>0</v>
      </c>
      <c r="AH675" s="715">
        <v>3</v>
      </c>
      <c r="AI675" s="715">
        <v>3</v>
      </c>
    </row>
    <row r="676" spans="1:35" x14ac:dyDescent="0.2">
      <c r="A676" s="714" t="s">
        <v>643</v>
      </c>
      <c r="B676" s="712"/>
      <c r="C676" s="712"/>
      <c r="D676" s="712"/>
      <c r="E676" s="712"/>
      <c r="F676" s="712"/>
      <c r="G676" s="712"/>
      <c r="H676" s="712"/>
      <c r="I676" s="712"/>
      <c r="J676" s="712"/>
      <c r="K676" s="715">
        <v>0</v>
      </c>
      <c r="L676" s="715">
        <v>0</v>
      </c>
      <c r="M676" s="712"/>
      <c r="N676" s="716">
        <v>0</v>
      </c>
      <c r="O676" s="715">
        <v>0</v>
      </c>
      <c r="P676" s="715">
        <v>0</v>
      </c>
      <c r="Q676" s="712"/>
      <c r="R676" s="712"/>
      <c r="S676" s="712"/>
      <c r="T676" s="712"/>
      <c r="U676" s="712"/>
      <c r="V676" s="712"/>
      <c r="W676" s="712"/>
      <c r="X676" s="712"/>
      <c r="Y676" s="712"/>
      <c r="Z676" s="715">
        <v>0</v>
      </c>
      <c r="AA676" s="715">
        <v>0</v>
      </c>
      <c r="AB676" s="712"/>
      <c r="AC676" s="716">
        <v>0</v>
      </c>
      <c r="AD676" s="715">
        <v>0</v>
      </c>
      <c r="AE676" s="715">
        <v>0</v>
      </c>
      <c r="AF676" s="715">
        <v>0</v>
      </c>
      <c r="AG676" s="715">
        <v>0</v>
      </c>
      <c r="AH676" s="712"/>
      <c r="AI676" s="712"/>
    </row>
    <row r="677" spans="1:35" x14ac:dyDescent="0.2">
      <c r="A677" s="714" t="s">
        <v>589</v>
      </c>
      <c r="B677" s="715">
        <v>6</v>
      </c>
      <c r="C677" s="715">
        <v>552.67999999999995</v>
      </c>
      <c r="D677" s="715">
        <v>1210</v>
      </c>
      <c r="E677" s="712"/>
      <c r="F677" s="712"/>
      <c r="G677" s="712"/>
      <c r="H677" s="712"/>
      <c r="I677" s="712"/>
      <c r="J677" s="712"/>
      <c r="K677" s="715">
        <v>1762.68</v>
      </c>
      <c r="L677" s="715">
        <v>6000</v>
      </c>
      <c r="M677" s="712"/>
      <c r="N677" s="716">
        <v>6000</v>
      </c>
      <c r="O677" s="715">
        <v>7762.68</v>
      </c>
      <c r="P677" s="715">
        <v>46576.08</v>
      </c>
      <c r="Q677" s="715">
        <v>6</v>
      </c>
      <c r="R677" s="715">
        <v>552.67999999999995</v>
      </c>
      <c r="S677" s="715">
        <v>1210</v>
      </c>
      <c r="T677" s="712"/>
      <c r="U677" s="712"/>
      <c r="V677" s="712"/>
      <c r="W677" s="712"/>
      <c r="X677" s="712"/>
      <c r="Y677" s="712"/>
      <c r="Z677" s="715">
        <v>1762.68</v>
      </c>
      <c r="AA677" s="715">
        <v>6000</v>
      </c>
      <c r="AB677" s="712"/>
      <c r="AC677" s="716">
        <v>6000</v>
      </c>
      <c r="AD677" s="715">
        <v>7762.68</v>
      </c>
      <c r="AE677" s="715">
        <v>46576.08</v>
      </c>
      <c r="AF677" s="715">
        <v>0</v>
      </c>
      <c r="AG677" s="715">
        <v>0</v>
      </c>
      <c r="AH677" s="715">
        <v>6</v>
      </c>
      <c r="AI677" s="715">
        <v>6</v>
      </c>
    </row>
    <row r="678" spans="1:35" x14ac:dyDescent="0.2">
      <c r="A678" s="713" t="s">
        <v>6</v>
      </c>
      <c r="B678" s="545">
        <v>2</v>
      </c>
      <c r="C678" s="545">
        <v>536.12</v>
      </c>
      <c r="D678" s="545">
        <v>1210</v>
      </c>
      <c r="E678" s="545">
        <v>0</v>
      </c>
      <c r="F678" s="545">
        <v>0</v>
      </c>
      <c r="G678" s="545">
        <v>0</v>
      </c>
      <c r="H678" s="545">
        <v>0</v>
      </c>
      <c r="I678" s="545">
        <v>0</v>
      </c>
      <c r="J678" s="545">
        <v>0</v>
      </c>
      <c r="K678" s="545">
        <v>1746.12</v>
      </c>
      <c r="L678" s="545">
        <v>2000</v>
      </c>
      <c r="M678" s="545">
        <v>0</v>
      </c>
      <c r="N678" s="545">
        <v>2000</v>
      </c>
      <c r="O678" s="545">
        <v>3746.12</v>
      </c>
      <c r="P678" s="545">
        <v>7492.24</v>
      </c>
      <c r="Q678" s="545">
        <v>2</v>
      </c>
      <c r="R678" s="545">
        <v>536.12</v>
      </c>
      <c r="S678" s="545">
        <v>1210</v>
      </c>
      <c r="T678" s="545">
        <v>0</v>
      </c>
      <c r="U678" s="545">
        <v>0</v>
      </c>
      <c r="V678" s="545">
        <v>0</v>
      </c>
      <c r="W678" s="545">
        <v>0</v>
      </c>
      <c r="X678" s="545">
        <v>0</v>
      </c>
      <c r="Y678" s="545">
        <v>0</v>
      </c>
      <c r="Z678" s="545">
        <v>1746.12</v>
      </c>
      <c r="AA678" s="545">
        <v>2000</v>
      </c>
      <c r="AB678" s="545">
        <v>0</v>
      </c>
      <c r="AC678" s="545">
        <v>2000</v>
      </c>
      <c r="AD678" s="545">
        <v>3746.12</v>
      </c>
      <c r="AE678" s="545">
        <v>7492.24</v>
      </c>
      <c r="AF678" s="545">
        <v>0</v>
      </c>
      <c r="AG678" s="545">
        <v>0</v>
      </c>
      <c r="AH678" s="545">
        <v>2</v>
      </c>
      <c r="AI678" s="545">
        <v>2</v>
      </c>
    </row>
    <row r="679" spans="1:35" x14ac:dyDescent="0.2">
      <c r="A679" s="714" t="s">
        <v>16</v>
      </c>
      <c r="B679" s="712"/>
      <c r="C679" s="712"/>
      <c r="D679" s="712"/>
      <c r="E679" s="712"/>
      <c r="F679" s="712"/>
      <c r="G679" s="712"/>
      <c r="H679" s="712"/>
      <c r="I679" s="712"/>
      <c r="J679" s="712"/>
      <c r="K679" s="715">
        <v>0</v>
      </c>
      <c r="L679" s="715">
        <v>0</v>
      </c>
      <c r="M679" s="712"/>
      <c r="N679" s="716">
        <v>0</v>
      </c>
      <c r="O679" s="715">
        <v>0</v>
      </c>
      <c r="P679" s="715">
        <v>0</v>
      </c>
      <c r="Q679" s="712"/>
      <c r="R679" s="712"/>
      <c r="S679" s="712"/>
      <c r="T679" s="712"/>
      <c r="U679" s="712"/>
      <c r="V679" s="712"/>
      <c r="W679" s="712"/>
      <c r="X679" s="712"/>
      <c r="Y679" s="712"/>
      <c r="Z679" s="715">
        <v>0</v>
      </c>
      <c r="AA679" s="715">
        <v>0</v>
      </c>
      <c r="AB679" s="712"/>
      <c r="AC679" s="716">
        <v>0</v>
      </c>
      <c r="AD679" s="715">
        <v>0</v>
      </c>
      <c r="AE679" s="715">
        <v>0</v>
      </c>
      <c r="AF679" s="715">
        <v>0</v>
      </c>
      <c r="AG679" s="715">
        <v>0</v>
      </c>
      <c r="AH679" s="712"/>
      <c r="AI679" s="712"/>
    </row>
    <row r="680" spans="1:35" x14ac:dyDescent="0.2">
      <c r="A680" s="714" t="s">
        <v>590</v>
      </c>
      <c r="B680" s="712"/>
      <c r="C680" s="712"/>
      <c r="D680" s="712"/>
      <c r="E680" s="712"/>
      <c r="F680" s="712"/>
      <c r="G680" s="712"/>
      <c r="H680" s="712"/>
      <c r="I680" s="712"/>
      <c r="J680" s="712"/>
      <c r="K680" s="715">
        <v>0</v>
      </c>
      <c r="L680" s="715">
        <v>0</v>
      </c>
      <c r="M680" s="712"/>
      <c r="N680" s="716">
        <v>0</v>
      </c>
      <c r="O680" s="715">
        <v>0</v>
      </c>
      <c r="P680" s="715">
        <v>0</v>
      </c>
      <c r="Q680" s="712"/>
      <c r="R680" s="712"/>
      <c r="S680" s="712"/>
      <c r="T680" s="712"/>
      <c r="U680" s="712"/>
      <c r="V680" s="712"/>
      <c r="W680" s="712"/>
      <c r="X680" s="712"/>
      <c r="Y680" s="712"/>
      <c r="Z680" s="715">
        <v>0</v>
      </c>
      <c r="AA680" s="715">
        <v>0</v>
      </c>
      <c r="AB680" s="712"/>
      <c r="AC680" s="716">
        <v>0</v>
      </c>
      <c r="AD680" s="715">
        <v>0</v>
      </c>
      <c r="AE680" s="715">
        <v>0</v>
      </c>
      <c r="AF680" s="715">
        <v>0</v>
      </c>
      <c r="AG680" s="715">
        <v>0</v>
      </c>
      <c r="AH680" s="712"/>
      <c r="AI680" s="712"/>
    </row>
    <row r="681" spans="1:35" x14ac:dyDescent="0.2">
      <c r="A681" s="714" t="s">
        <v>591</v>
      </c>
      <c r="B681" s="715">
        <v>2</v>
      </c>
      <c r="C681" s="715">
        <v>536.12</v>
      </c>
      <c r="D681" s="715">
        <v>1210</v>
      </c>
      <c r="E681" s="712"/>
      <c r="F681" s="712"/>
      <c r="G681" s="712"/>
      <c r="H681" s="712"/>
      <c r="I681" s="712"/>
      <c r="J681" s="712"/>
      <c r="K681" s="715">
        <v>1746.12</v>
      </c>
      <c r="L681" s="715">
        <v>2000</v>
      </c>
      <c r="M681" s="712"/>
      <c r="N681" s="716">
        <v>2000</v>
      </c>
      <c r="O681" s="715">
        <v>3746.12</v>
      </c>
      <c r="P681" s="715">
        <v>7492.24</v>
      </c>
      <c r="Q681" s="715">
        <v>2</v>
      </c>
      <c r="R681" s="715">
        <v>536.12</v>
      </c>
      <c r="S681" s="715">
        <v>1210</v>
      </c>
      <c r="T681" s="712"/>
      <c r="U681" s="712"/>
      <c r="V681" s="712"/>
      <c r="W681" s="712"/>
      <c r="X681" s="712"/>
      <c r="Y681" s="712"/>
      <c r="Z681" s="715">
        <v>1746.12</v>
      </c>
      <c r="AA681" s="715">
        <v>2000</v>
      </c>
      <c r="AB681" s="712"/>
      <c r="AC681" s="716">
        <v>2000</v>
      </c>
      <c r="AD681" s="715">
        <v>3746.12</v>
      </c>
      <c r="AE681" s="715">
        <v>7492.24</v>
      </c>
      <c r="AF681" s="715">
        <v>0</v>
      </c>
      <c r="AG681" s="715">
        <v>0</v>
      </c>
      <c r="AH681" s="715">
        <v>2</v>
      </c>
      <c r="AI681" s="715">
        <v>2</v>
      </c>
    </row>
    <row r="682" spans="1:35" x14ac:dyDescent="0.2">
      <c r="A682" s="714" t="s">
        <v>644</v>
      </c>
      <c r="B682" s="712"/>
      <c r="C682" s="712"/>
      <c r="D682" s="712"/>
      <c r="E682" s="712"/>
      <c r="F682" s="712"/>
      <c r="G682" s="712"/>
      <c r="H682" s="712"/>
      <c r="I682" s="712"/>
      <c r="J682" s="712"/>
      <c r="K682" s="715">
        <v>0</v>
      </c>
      <c r="L682" s="715">
        <v>0</v>
      </c>
      <c r="M682" s="712"/>
      <c r="N682" s="716">
        <v>0</v>
      </c>
      <c r="O682" s="715">
        <v>0</v>
      </c>
      <c r="P682" s="715">
        <v>0</v>
      </c>
      <c r="Q682" s="712"/>
      <c r="R682" s="712"/>
      <c r="S682" s="712"/>
      <c r="T682" s="712"/>
      <c r="U682" s="712"/>
      <c r="V682" s="712"/>
      <c r="W682" s="712"/>
      <c r="X682" s="712"/>
      <c r="Y682" s="712"/>
      <c r="Z682" s="715">
        <v>0</v>
      </c>
      <c r="AA682" s="715">
        <v>0</v>
      </c>
      <c r="AB682" s="712"/>
      <c r="AC682" s="716">
        <v>0</v>
      </c>
      <c r="AD682" s="715">
        <v>0</v>
      </c>
      <c r="AE682" s="715">
        <v>0</v>
      </c>
      <c r="AF682" s="715">
        <v>0</v>
      </c>
      <c r="AG682" s="715">
        <v>0</v>
      </c>
      <c r="AH682" s="712"/>
      <c r="AI682" s="712"/>
    </row>
    <row r="683" spans="1:35" x14ac:dyDescent="0.2">
      <c r="A683" s="714" t="s">
        <v>645</v>
      </c>
      <c r="B683" s="712"/>
      <c r="C683" s="712"/>
      <c r="D683" s="712"/>
      <c r="E683" s="712"/>
      <c r="F683" s="712"/>
      <c r="G683" s="712"/>
      <c r="H683" s="712"/>
      <c r="I683" s="712"/>
      <c r="J683" s="712"/>
      <c r="K683" s="715">
        <v>0</v>
      </c>
      <c r="L683" s="715">
        <v>0</v>
      </c>
      <c r="M683" s="712"/>
      <c r="N683" s="716">
        <v>0</v>
      </c>
      <c r="O683" s="715">
        <v>0</v>
      </c>
      <c r="P683" s="715">
        <v>0</v>
      </c>
      <c r="Q683" s="712"/>
      <c r="R683" s="712"/>
      <c r="S683" s="712"/>
      <c r="T683" s="712"/>
      <c r="U683" s="712"/>
      <c r="V683" s="712"/>
      <c r="W683" s="712"/>
      <c r="X683" s="712"/>
      <c r="Y683" s="712"/>
      <c r="Z683" s="715">
        <v>0</v>
      </c>
      <c r="AA683" s="715">
        <v>0</v>
      </c>
      <c r="AB683" s="712"/>
      <c r="AC683" s="716">
        <v>0</v>
      </c>
      <c r="AD683" s="715">
        <v>0</v>
      </c>
      <c r="AE683" s="715">
        <v>0</v>
      </c>
      <c r="AF683" s="715">
        <v>0</v>
      </c>
      <c r="AG683" s="715">
        <v>0</v>
      </c>
      <c r="AH683" s="712"/>
      <c r="AI683" s="712"/>
    </row>
    <row r="684" spans="1:35" x14ac:dyDescent="0.2">
      <c r="A684" s="714" t="s">
        <v>646</v>
      </c>
      <c r="B684" s="712"/>
      <c r="C684" s="712"/>
      <c r="D684" s="712"/>
      <c r="E684" s="712"/>
      <c r="F684" s="712"/>
      <c r="G684" s="712"/>
      <c r="H684" s="712"/>
      <c r="I684" s="712"/>
      <c r="J684" s="712"/>
      <c r="K684" s="715">
        <v>0</v>
      </c>
      <c r="L684" s="715">
        <v>0</v>
      </c>
      <c r="M684" s="712"/>
      <c r="N684" s="716">
        <v>0</v>
      </c>
      <c r="O684" s="715">
        <v>0</v>
      </c>
      <c r="P684" s="715">
        <v>0</v>
      </c>
      <c r="Q684" s="712"/>
      <c r="R684" s="712"/>
      <c r="S684" s="712"/>
      <c r="T684" s="712"/>
      <c r="U684" s="712"/>
      <c r="V684" s="712"/>
      <c r="W684" s="712"/>
      <c r="X684" s="712"/>
      <c r="Y684" s="712"/>
      <c r="Z684" s="715">
        <v>0</v>
      </c>
      <c r="AA684" s="715">
        <v>0</v>
      </c>
      <c r="AB684" s="712"/>
      <c r="AC684" s="716">
        <v>0</v>
      </c>
      <c r="AD684" s="715">
        <v>0</v>
      </c>
      <c r="AE684" s="715">
        <v>0</v>
      </c>
      <c r="AF684" s="715">
        <v>0</v>
      </c>
      <c r="AG684" s="715">
        <v>0</v>
      </c>
      <c r="AH684" s="712"/>
      <c r="AI684" s="712"/>
    </row>
    <row r="685" spans="1:35" x14ac:dyDescent="0.2">
      <c r="A685" s="713" t="s">
        <v>806</v>
      </c>
      <c r="B685" s="715">
        <v>0</v>
      </c>
      <c r="C685" s="715">
        <v>0</v>
      </c>
      <c r="D685" s="715">
        <v>0</v>
      </c>
      <c r="E685" s="715">
        <v>0</v>
      </c>
      <c r="F685" s="715">
        <v>0</v>
      </c>
      <c r="G685" s="715">
        <v>0</v>
      </c>
      <c r="H685" s="715">
        <v>0</v>
      </c>
      <c r="I685" s="715">
        <v>0</v>
      </c>
      <c r="J685" s="715">
        <v>0</v>
      </c>
      <c r="K685" s="715">
        <v>0</v>
      </c>
      <c r="L685" s="715">
        <v>0</v>
      </c>
      <c r="M685" s="715">
        <v>0</v>
      </c>
      <c r="N685" s="715">
        <v>0</v>
      </c>
      <c r="O685" s="715">
        <v>0</v>
      </c>
      <c r="P685" s="715">
        <v>0</v>
      </c>
      <c r="Q685" s="715">
        <v>0</v>
      </c>
      <c r="R685" s="715">
        <v>0</v>
      </c>
      <c r="S685" s="715">
        <v>0</v>
      </c>
      <c r="T685" s="715">
        <v>0</v>
      </c>
      <c r="U685" s="715">
        <v>0</v>
      </c>
      <c r="V685" s="715">
        <v>0</v>
      </c>
      <c r="W685" s="715">
        <v>0</v>
      </c>
      <c r="X685" s="715">
        <v>0</v>
      </c>
      <c r="Y685" s="715">
        <v>0</v>
      </c>
      <c r="Z685" s="715">
        <v>0</v>
      </c>
      <c r="AA685" s="715">
        <v>0</v>
      </c>
      <c r="AB685" s="715">
        <v>0</v>
      </c>
      <c r="AC685" s="715">
        <v>0</v>
      </c>
      <c r="AD685" s="715">
        <v>0</v>
      </c>
      <c r="AE685" s="715">
        <v>0</v>
      </c>
      <c r="AF685" s="715">
        <v>0</v>
      </c>
      <c r="AG685" s="715">
        <v>0</v>
      </c>
      <c r="AH685" s="715">
        <v>0</v>
      </c>
      <c r="AI685" s="715">
        <v>0</v>
      </c>
    </row>
    <row r="686" spans="1:35" x14ac:dyDescent="0.2">
      <c r="A686" s="713" t="s">
        <v>755</v>
      </c>
      <c r="B686" s="712"/>
      <c r="C686" s="712"/>
      <c r="D686" s="712"/>
      <c r="E686" s="712"/>
      <c r="F686" s="712"/>
      <c r="G686" s="712"/>
      <c r="H686" s="712"/>
      <c r="I686" s="712"/>
      <c r="J686" s="712"/>
      <c r="K686" s="715">
        <v>0</v>
      </c>
      <c r="L686" s="715">
        <v>0</v>
      </c>
      <c r="M686" s="712"/>
      <c r="N686" s="716">
        <v>0</v>
      </c>
      <c r="O686" s="715">
        <v>0</v>
      </c>
      <c r="P686" s="715">
        <v>0</v>
      </c>
      <c r="Q686" s="712"/>
      <c r="R686" s="712"/>
      <c r="S686" s="712"/>
      <c r="T686" s="712"/>
      <c r="U686" s="712"/>
      <c r="V686" s="712"/>
      <c r="W686" s="712"/>
      <c r="X686" s="712"/>
      <c r="Y686" s="712"/>
      <c r="Z686" s="715">
        <v>0</v>
      </c>
      <c r="AA686" s="715">
        <v>0</v>
      </c>
      <c r="AB686" s="712"/>
      <c r="AC686" s="716">
        <v>0</v>
      </c>
      <c r="AD686" s="715">
        <v>0</v>
      </c>
      <c r="AE686" s="715">
        <v>0</v>
      </c>
      <c r="AF686" s="715">
        <v>0</v>
      </c>
      <c r="AG686" s="715">
        <v>0</v>
      </c>
      <c r="AH686" s="712"/>
      <c r="AI686" s="712"/>
    </row>
    <row r="687" spans="1:35" x14ac:dyDescent="0.2">
      <c r="A687" s="713" t="s">
        <v>4</v>
      </c>
      <c r="B687" s="712"/>
      <c r="C687" s="712"/>
      <c r="D687" s="712"/>
      <c r="E687" s="712"/>
      <c r="F687" s="712"/>
      <c r="G687" s="712"/>
      <c r="H687" s="712"/>
      <c r="I687" s="712"/>
      <c r="J687" s="712"/>
      <c r="K687" s="715">
        <v>0</v>
      </c>
      <c r="L687" s="715">
        <v>0</v>
      </c>
      <c r="M687" s="712"/>
      <c r="N687" s="715">
        <v>0</v>
      </c>
      <c r="O687" s="715">
        <v>0</v>
      </c>
      <c r="P687" s="715">
        <v>0</v>
      </c>
      <c r="Q687" s="712"/>
      <c r="R687" s="712"/>
      <c r="S687" s="712"/>
      <c r="T687" s="712"/>
      <c r="U687" s="712"/>
      <c r="V687" s="712"/>
      <c r="W687" s="712"/>
      <c r="X687" s="712"/>
      <c r="Y687" s="712"/>
      <c r="Z687" s="715">
        <v>0</v>
      </c>
      <c r="AA687" s="715">
        <v>0</v>
      </c>
      <c r="AB687" s="712"/>
      <c r="AC687" s="715">
        <v>0</v>
      </c>
      <c r="AD687" s="715">
        <v>0</v>
      </c>
      <c r="AE687" s="715">
        <v>0</v>
      </c>
      <c r="AF687" s="715">
        <v>0</v>
      </c>
      <c r="AG687" s="715">
        <v>0</v>
      </c>
      <c r="AH687" s="712"/>
      <c r="AI687" s="712"/>
    </row>
    <row r="688" spans="1:35" x14ac:dyDescent="0.2">
      <c r="A688" s="714" t="s">
        <v>13</v>
      </c>
      <c r="B688" s="712"/>
      <c r="C688" s="712"/>
      <c r="D688" s="712"/>
      <c r="E688" s="712"/>
      <c r="F688" s="712"/>
      <c r="G688" s="712"/>
      <c r="H688" s="712"/>
      <c r="I688" s="712"/>
      <c r="J688" s="712"/>
      <c r="K688" s="715">
        <v>0</v>
      </c>
      <c r="L688" s="715">
        <v>0</v>
      </c>
      <c r="M688" s="712"/>
      <c r="N688" s="716">
        <v>0</v>
      </c>
      <c r="O688" s="715">
        <v>0</v>
      </c>
      <c r="P688" s="715">
        <v>0</v>
      </c>
      <c r="Q688" s="712"/>
      <c r="R688" s="712"/>
      <c r="S688" s="712"/>
      <c r="T688" s="712"/>
      <c r="U688" s="712"/>
      <c r="V688" s="712"/>
      <c r="W688" s="712"/>
      <c r="X688" s="712"/>
      <c r="Y688" s="712"/>
      <c r="Z688" s="715">
        <v>0</v>
      </c>
      <c r="AA688" s="715">
        <v>0</v>
      </c>
      <c r="AB688" s="712"/>
      <c r="AC688" s="716">
        <v>0</v>
      </c>
      <c r="AD688" s="715">
        <v>0</v>
      </c>
      <c r="AE688" s="715">
        <v>0</v>
      </c>
      <c r="AF688" s="715">
        <v>0</v>
      </c>
      <c r="AG688" s="715">
        <v>0</v>
      </c>
      <c r="AH688" s="712"/>
      <c r="AI688" s="712"/>
    </row>
    <row r="689" spans="1:35" x14ac:dyDescent="0.2">
      <c r="A689" s="714" t="s">
        <v>582</v>
      </c>
      <c r="B689" s="712"/>
      <c r="C689" s="712"/>
      <c r="D689" s="712"/>
      <c r="E689" s="712"/>
      <c r="F689" s="712"/>
      <c r="G689" s="712"/>
      <c r="H689" s="712"/>
      <c r="I689" s="712"/>
      <c r="J689" s="712"/>
      <c r="K689" s="715">
        <v>0</v>
      </c>
      <c r="L689" s="715">
        <v>0</v>
      </c>
      <c r="M689" s="712"/>
      <c r="N689" s="716">
        <v>0</v>
      </c>
      <c r="O689" s="715">
        <v>0</v>
      </c>
      <c r="P689" s="715">
        <v>0</v>
      </c>
      <c r="Q689" s="712"/>
      <c r="R689" s="712"/>
      <c r="S689" s="712"/>
      <c r="T689" s="712"/>
      <c r="U689" s="712"/>
      <c r="V689" s="712"/>
      <c r="W689" s="712"/>
      <c r="X689" s="712"/>
      <c r="Y689" s="712"/>
      <c r="Z689" s="715">
        <v>0</v>
      </c>
      <c r="AA689" s="715">
        <v>0</v>
      </c>
      <c r="AB689" s="712"/>
      <c r="AC689" s="716">
        <v>0</v>
      </c>
      <c r="AD689" s="715">
        <v>0</v>
      </c>
      <c r="AE689" s="715">
        <v>0</v>
      </c>
      <c r="AF689" s="715">
        <v>0</v>
      </c>
      <c r="AG689" s="715">
        <v>0</v>
      </c>
      <c r="AH689" s="712"/>
      <c r="AI689" s="712"/>
    </row>
    <row r="690" spans="1:35" x14ac:dyDescent="0.2">
      <c r="A690" s="714" t="s">
        <v>583</v>
      </c>
      <c r="B690" s="712"/>
      <c r="C690" s="712"/>
      <c r="D690" s="712"/>
      <c r="E690" s="712"/>
      <c r="F690" s="712"/>
      <c r="G690" s="712"/>
      <c r="H690" s="712"/>
      <c r="I690" s="712"/>
      <c r="J690" s="712"/>
      <c r="K690" s="715">
        <v>0</v>
      </c>
      <c r="L690" s="715">
        <v>0</v>
      </c>
      <c r="M690" s="712"/>
      <c r="N690" s="716">
        <v>0</v>
      </c>
      <c r="O690" s="715">
        <v>0</v>
      </c>
      <c r="P690" s="715">
        <v>0</v>
      </c>
      <c r="Q690" s="712"/>
      <c r="R690" s="712"/>
      <c r="S690" s="712"/>
      <c r="T690" s="712"/>
      <c r="U690" s="712"/>
      <c r="V690" s="712"/>
      <c r="W690" s="712"/>
      <c r="X690" s="712"/>
      <c r="Y690" s="712"/>
      <c r="Z690" s="715">
        <v>0</v>
      </c>
      <c r="AA690" s="715">
        <v>0</v>
      </c>
      <c r="AB690" s="712"/>
      <c r="AC690" s="716">
        <v>0</v>
      </c>
      <c r="AD690" s="715">
        <v>0</v>
      </c>
      <c r="AE690" s="715">
        <v>0</v>
      </c>
      <c r="AF690" s="715">
        <v>0</v>
      </c>
      <c r="AG690" s="715">
        <v>0</v>
      </c>
      <c r="AH690" s="712"/>
      <c r="AI690" s="712"/>
    </row>
    <row r="691" spans="1:35" x14ac:dyDescent="0.2">
      <c r="A691" s="714" t="s">
        <v>584</v>
      </c>
      <c r="B691" s="712"/>
      <c r="C691" s="712"/>
      <c r="D691" s="712"/>
      <c r="E691" s="712"/>
      <c r="F691" s="712"/>
      <c r="G691" s="712"/>
      <c r="H691" s="712"/>
      <c r="I691" s="712"/>
      <c r="J691" s="712"/>
      <c r="K691" s="715">
        <v>0</v>
      </c>
      <c r="L691" s="715">
        <v>0</v>
      </c>
      <c r="M691" s="712"/>
      <c r="N691" s="716">
        <v>0</v>
      </c>
      <c r="O691" s="715">
        <v>0</v>
      </c>
      <c r="P691" s="715">
        <v>0</v>
      </c>
      <c r="Q691" s="712"/>
      <c r="R691" s="712"/>
      <c r="S691" s="712"/>
      <c r="T691" s="712"/>
      <c r="U691" s="712"/>
      <c r="V691" s="712"/>
      <c r="W691" s="712"/>
      <c r="X691" s="712"/>
      <c r="Y691" s="712"/>
      <c r="Z691" s="715">
        <v>0</v>
      </c>
      <c r="AA691" s="715">
        <v>0</v>
      </c>
      <c r="AB691" s="712"/>
      <c r="AC691" s="716">
        <v>0</v>
      </c>
      <c r="AD691" s="715">
        <v>0</v>
      </c>
      <c r="AE691" s="715">
        <v>0</v>
      </c>
      <c r="AF691" s="715">
        <v>0</v>
      </c>
      <c r="AG691" s="715">
        <v>0</v>
      </c>
      <c r="AH691" s="712"/>
      <c r="AI691" s="712"/>
    </row>
    <row r="692" spans="1:35" x14ac:dyDescent="0.2">
      <c r="A692" s="714" t="s">
        <v>14</v>
      </c>
      <c r="B692" s="712"/>
      <c r="C692" s="712"/>
      <c r="D692" s="712"/>
      <c r="E692" s="712"/>
      <c r="F692" s="712"/>
      <c r="G692" s="712"/>
      <c r="H692" s="712"/>
      <c r="I692" s="712"/>
      <c r="J692" s="712"/>
      <c r="K692" s="715">
        <v>0</v>
      </c>
      <c r="L692" s="715">
        <v>0</v>
      </c>
      <c r="M692" s="712"/>
      <c r="N692" s="716">
        <v>0</v>
      </c>
      <c r="O692" s="715">
        <v>0</v>
      </c>
      <c r="P692" s="715">
        <v>0</v>
      </c>
      <c r="Q692" s="712"/>
      <c r="R692" s="712"/>
      <c r="S692" s="712"/>
      <c r="T692" s="712"/>
      <c r="U692" s="712"/>
      <c r="V692" s="712"/>
      <c r="W692" s="712"/>
      <c r="X692" s="712"/>
      <c r="Y692" s="712"/>
      <c r="Z692" s="715">
        <v>0</v>
      </c>
      <c r="AA692" s="715">
        <v>0</v>
      </c>
      <c r="AB692" s="712"/>
      <c r="AC692" s="716">
        <v>0</v>
      </c>
      <c r="AD692" s="715">
        <v>0</v>
      </c>
      <c r="AE692" s="715">
        <v>0</v>
      </c>
      <c r="AF692" s="715">
        <v>0</v>
      </c>
      <c r="AG692" s="715">
        <v>0</v>
      </c>
      <c r="AH692" s="712"/>
      <c r="AI692" s="712"/>
    </row>
    <row r="693" spans="1:35" x14ac:dyDescent="0.2">
      <c r="A693" s="714" t="s">
        <v>585</v>
      </c>
      <c r="B693" s="712"/>
      <c r="C693" s="712"/>
      <c r="D693" s="712"/>
      <c r="E693" s="712"/>
      <c r="F693" s="712"/>
      <c r="G693" s="712"/>
      <c r="H693" s="712"/>
      <c r="I693" s="712"/>
      <c r="J693" s="712"/>
      <c r="K693" s="715">
        <v>0</v>
      </c>
      <c r="L693" s="715">
        <v>0</v>
      </c>
      <c r="M693" s="712"/>
      <c r="N693" s="716">
        <v>0</v>
      </c>
      <c r="O693" s="715">
        <v>0</v>
      </c>
      <c r="P693" s="715">
        <v>0</v>
      </c>
      <c r="Q693" s="712"/>
      <c r="R693" s="712"/>
      <c r="S693" s="712"/>
      <c r="T693" s="712"/>
      <c r="U693" s="712"/>
      <c r="V693" s="712"/>
      <c r="W693" s="712"/>
      <c r="X693" s="712"/>
      <c r="Y693" s="712"/>
      <c r="Z693" s="715">
        <v>0</v>
      </c>
      <c r="AA693" s="715">
        <v>0</v>
      </c>
      <c r="AB693" s="712"/>
      <c r="AC693" s="716">
        <v>0</v>
      </c>
      <c r="AD693" s="715">
        <v>0</v>
      </c>
      <c r="AE693" s="715">
        <v>0</v>
      </c>
      <c r="AF693" s="715">
        <v>0</v>
      </c>
      <c r="AG693" s="715">
        <v>0</v>
      </c>
      <c r="AH693" s="712"/>
      <c r="AI693" s="712"/>
    </row>
    <row r="694" spans="1:35" x14ac:dyDescent="0.2">
      <c r="A694" s="713" t="s">
        <v>5</v>
      </c>
      <c r="B694" s="545">
        <v>157</v>
      </c>
      <c r="C694" s="545">
        <v>10540</v>
      </c>
      <c r="D694" s="545">
        <v>0</v>
      </c>
      <c r="E694" s="545">
        <v>0</v>
      </c>
      <c r="F694" s="545">
        <v>0</v>
      </c>
      <c r="G694" s="545">
        <v>0</v>
      </c>
      <c r="H694" s="545">
        <v>0</v>
      </c>
      <c r="I694" s="545">
        <v>2840</v>
      </c>
      <c r="J694" s="545">
        <v>0</v>
      </c>
      <c r="K694" s="545">
        <v>13380</v>
      </c>
      <c r="L694" s="545">
        <v>157000</v>
      </c>
      <c r="M694" s="545">
        <v>0</v>
      </c>
      <c r="N694" s="545">
        <v>157000</v>
      </c>
      <c r="O694" s="545">
        <v>170380</v>
      </c>
      <c r="P694" s="545">
        <v>9736905</v>
      </c>
      <c r="Q694" s="545">
        <v>164</v>
      </c>
      <c r="R694" s="545">
        <v>10540</v>
      </c>
      <c r="S694" s="545">
        <v>0</v>
      </c>
      <c r="T694" s="545">
        <v>0</v>
      </c>
      <c r="U694" s="545">
        <v>0</v>
      </c>
      <c r="V694" s="545">
        <v>0</v>
      </c>
      <c r="W694" s="545">
        <v>0</v>
      </c>
      <c r="X694" s="545">
        <v>2840</v>
      </c>
      <c r="Y694" s="545">
        <v>0</v>
      </c>
      <c r="Z694" s="545">
        <v>13380</v>
      </c>
      <c r="AA694" s="545">
        <v>164000</v>
      </c>
      <c r="AB694" s="545">
        <v>0</v>
      </c>
      <c r="AC694" s="545">
        <v>164000</v>
      </c>
      <c r="AD694" s="545">
        <v>177380</v>
      </c>
      <c r="AE694" s="545">
        <v>10744439</v>
      </c>
      <c r="AF694" s="545">
        <v>-7</v>
      </c>
      <c r="AG694" s="545">
        <v>-7</v>
      </c>
      <c r="AH694" s="545">
        <v>164</v>
      </c>
      <c r="AI694" s="545">
        <v>164</v>
      </c>
    </row>
    <row r="695" spans="1:35" x14ac:dyDescent="0.2">
      <c r="A695" s="714" t="s">
        <v>15</v>
      </c>
      <c r="B695" s="715">
        <v>11</v>
      </c>
      <c r="C695" s="715">
        <v>2145</v>
      </c>
      <c r="D695" s="712"/>
      <c r="E695" s="712"/>
      <c r="F695" s="712"/>
      <c r="G695" s="712"/>
      <c r="H695" s="712"/>
      <c r="I695" s="715">
        <v>568</v>
      </c>
      <c r="J695" s="712"/>
      <c r="K695" s="715">
        <v>2713</v>
      </c>
      <c r="L695" s="715">
        <v>11000</v>
      </c>
      <c r="M695" s="712"/>
      <c r="N695" s="716">
        <v>11000</v>
      </c>
      <c r="O695" s="715">
        <v>13713</v>
      </c>
      <c r="P695" s="715">
        <v>150843</v>
      </c>
      <c r="Q695" s="715">
        <v>11</v>
      </c>
      <c r="R695" s="715">
        <v>2145</v>
      </c>
      <c r="S695" s="712"/>
      <c r="T695" s="712"/>
      <c r="U695" s="712"/>
      <c r="V695" s="712"/>
      <c r="W695" s="712"/>
      <c r="X695" s="715">
        <v>568</v>
      </c>
      <c r="Y695" s="712"/>
      <c r="Z695" s="715">
        <v>2713</v>
      </c>
      <c r="AA695" s="715">
        <v>11000</v>
      </c>
      <c r="AB695" s="712"/>
      <c r="AC695" s="716">
        <v>11000</v>
      </c>
      <c r="AD695" s="715">
        <v>13713</v>
      </c>
      <c r="AE695" s="715">
        <v>150843</v>
      </c>
      <c r="AF695" s="715">
        <v>0</v>
      </c>
      <c r="AG695" s="715">
        <v>0</v>
      </c>
      <c r="AH695" s="715">
        <v>11</v>
      </c>
      <c r="AI695" s="715">
        <v>11</v>
      </c>
    </row>
    <row r="696" spans="1:35" x14ac:dyDescent="0.2">
      <c r="A696" s="714" t="s">
        <v>586</v>
      </c>
      <c r="B696" s="715">
        <v>8</v>
      </c>
      <c r="C696" s="715">
        <v>2127</v>
      </c>
      <c r="D696" s="712"/>
      <c r="E696" s="712"/>
      <c r="F696" s="712"/>
      <c r="G696" s="712"/>
      <c r="H696" s="712"/>
      <c r="I696" s="715">
        <v>568</v>
      </c>
      <c r="J696" s="712"/>
      <c r="K696" s="715">
        <v>2695</v>
      </c>
      <c r="L696" s="715">
        <v>8000</v>
      </c>
      <c r="M696" s="712"/>
      <c r="N696" s="716">
        <v>8000</v>
      </c>
      <c r="O696" s="715">
        <v>10695</v>
      </c>
      <c r="P696" s="715">
        <v>85560</v>
      </c>
      <c r="Q696" s="715">
        <v>8</v>
      </c>
      <c r="R696" s="715">
        <v>2127</v>
      </c>
      <c r="S696" s="712"/>
      <c r="T696" s="712"/>
      <c r="U696" s="712"/>
      <c r="V696" s="712"/>
      <c r="W696" s="712"/>
      <c r="X696" s="715">
        <v>568</v>
      </c>
      <c r="Y696" s="712"/>
      <c r="Z696" s="715">
        <v>2695</v>
      </c>
      <c r="AA696" s="715">
        <v>8000</v>
      </c>
      <c r="AB696" s="712"/>
      <c r="AC696" s="716">
        <v>8000</v>
      </c>
      <c r="AD696" s="715">
        <v>10695</v>
      </c>
      <c r="AE696" s="715">
        <v>85560</v>
      </c>
      <c r="AF696" s="715">
        <v>0</v>
      </c>
      <c r="AG696" s="715">
        <v>0</v>
      </c>
      <c r="AH696" s="715">
        <v>8</v>
      </c>
      <c r="AI696" s="715">
        <v>8</v>
      </c>
    </row>
    <row r="697" spans="1:35" x14ac:dyDescent="0.2">
      <c r="A697" s="714" t="s">
        <v>587</v>
      </c>
      <c r="B697" s="715">
        <v>65</v>
      </c>
      <c r="C697" s="715">
        <v>2109</v>
      </c>
      <c r="D697" s="712"/>
      <c r="E697" s="712"/>
      <c r="F697" s="712"/>
      <c r="G697" s="712"/>
      <c r="H697" s="712"/>
      <c r="I697" s="715">
        <v>568</v>
      </c>
      <c r="J697" s="712"/>
      <c r="K697" s="715">
        <v>2677</v>
      </c>
      <c r="L697" s="715">
        <v>65000</v>
      </c>
      <c r="M697" s="712"/>
      <c r="N697" s="716">
        <v>65000</v>
      </c>
      <c r="O697" s="715">
        <v>67677</v>
      </c>
      <c r="P697" s="715">
        <v>4399005</v>
      </c>
      <c r="Q697" s="715">
        <v>67</v>
      </c>
      <c r="R697" s="715">
        <v>2109</v>
      </c>
      <c r="S697" s="712"/>
      <c r="T697" s="712"/>
      <c r="U697" s="712"/>
      <c r="V697" s="712"/>
      <c r="W697" s="712"/>
      <c r="X697" s="715">
        <v>568</v>
      </c>
      <c r="Y697" s="712"/>
      <c r="Z697" s="715">
        <v>2677</v>
      </c>
      <c r="AA697" s="715">
        <v>67000</v>
      </c>
      <c r="AB697" s="712"/>
      <c r="AC697" s="716">
        <v>67000</v>
      </c>
      <c r="AD697" s="715">
        <v>69677</v>
      </c>
      <c r="AE697" s="715">
        <v>4668359</v>
      </c>
      <c r="AF697" s="715">
        <v>-2</v>
      </c>
      <c r="AG697" s="715">
        <v>-2</v>
      </c>
      <c r="AH697" s="715">
        <v>67</v>
      </c>
      <c r="AI697" s="715">
        <v>67</v>
      </c>
    </row>
    <row r="698" spans="1:35" x14ac:dyDescent="0.2">
      <c r="A698" s="714" t="s">
        <v>588</v>
      </c>
      <c r="B698" s="715">
        <v>3</v>
      </c>
      <c r="C698" s="715">
        <v>2091</v>
      </c>
      <c r="D698" s="712"/>
      <c r="E698" s="712"/>
      <c r="F698" s="712"/>
      <c r="G698" s="712"/>
      <c r="H698" s="712"/>
      <c r="I698" s="715">
        <v>568</v>
      </c>
      <c r="J698" s="712"/>
      <c r="K698" s="715">
        <v>2659</v>
      </c>
      <c r="L698" s="715">
        <v>3000</v>
      </c>
      <c r="M698" s="712"/>
      <c r="N698" s="716">
        <v>3000</v>
      </c>
      <c r="O698" s="715">
        <v>5659</v>
      </c>
      <c r="P698" s="715">
        <v>16977</v>
      </c>
      <c r="Q698" s="715">
        <v>3</v>
      </c>
      <c r="R698" s="715">
        <v>2091</v>
      </c>
      <c r="S698" s="712"/>
      <c r="T698" s="712"/>
      <c r="U698" s="712"/>
      <c r="V698" s="712"/>
      <c r="W698" s="712"/>
      <c r="X698" s="715">
        <v>568</v>
      </c>
      <c r="Y698" s="712"/>
      <c r="Z698" s="715">
        <v>2659</v>
      </c>
      <c r="AA698" s="715">
        <v>3000</v>
      </c>
      <c r="AB698" s="712"/>
      <c r="AC698" s="716">
        <v>3000</v>
      </c>
      <c r="AD698" s="715">
        <v>5659</v>
      </c>
      <c r="AE698" s="715">
        <v>16977</v>
      </c>
      <c r="AF698" s="715">
        <v>0</v>
      </c>
      <c r="AG698" s="715">
        <v>0</v>
      </c>
      <c r="AH698" s="715">
        <v>3</v>
      </c>
      <c r="AI698" s="715">
        <v>3</v>
      </c>
    </row>
    <row r="699" spans="1:35" x14ac:dyDescent="0.2">
      <c r="A699" s="714" t="s">
        <v>643</v>
      </c>
      <c r="B699" s="712"/>
      <c r="C699" s="712"/>
      <c r="D699" s="712"/>
      <c r="E699" s="712"/>
      <c r="F699" s="712"/>
      <c r="G699" s="712"/>
      <c r="H699" s="712"/>
      <c r="I699" s="712"/>
      <c r="J699" s="712"/>
      <c r="K699" s="715">
        <v>0</v>
      </c>
      <c r="L699" s="715">
        <v>0</v>
      </c>
      <c r="M699" s="712"/>
      <c r="N699" s="716">
        <v>0</v>
      </c>
      <c r="O699" s="715">
        <v>0</v>
      </c>
      <c r="P699" s="715">
        <v>0</v>
      </c>
      <c r="Q699" s="712"/>
      <c r="R699" s="712"/>
      <c r="S699" s="712"/>
      <c r="T699" s="712"/>
      <c r="U699" s="712"/>
      <c r="V699" s="712"/>
      <c r="W699" s="712"/>
      <c r="X699" s="712"/>
      <c r="Y699" s="712"/>
      <c r="Z699" s="715">
        <v>0</v>
      </c>
      <c r="AA699" s="715">
        <v>0</v>
      </c>
      <c r="AB699" s="712"/>
      <c r="AC699" s="716">
        <v>0</v>
      </c>
      <c r="AD699" s="715">
        <v>0</v>
      </c>
      <c r="AE699" s="715">
        <v>0</v>
      </c>
      <c r="AF699" s="715">
        <v>0</v>
      </c>
      <c r="AG699" s="715">
        <v>0</v>
      </c>
      <c r="AH699" s="712"/>
      <c r="AI699" s="712"/>
    </row>
    <row r="700" spans="1:35" x14ac:dyDescent="0.2">
      <c r="A700" s="714" t="s">
        <v>589</v>
      </c>
      <c r="B700" s="715">
        <v>70</v>
      </c>
      <c r="C700" s="715">
        <v>2068</v>
      </c>
      <c r="D700" s="712"/>
      <c r="E700" s="712"/>
      <c r="F700" s="712"/>
      <c r="G700" s="712"/>
      <c r="H700" s="712"/>
      <c r="I700" s="715">
        <v>568</v>
      </c>
      <c r="J700" s="712"/>
      <c r="K700" s="715">
        <v>2636</v>
      </c>
      <c r="L700" s="715">
        <v>70000</v>
      </c>
      <c r="M700" s="712"/>
      <c r="N700" s="716">
        <v>70000</v>
      </c>
      <c r="O700" s="715">
        <v>72636</v>
      </c>
      <c r="P700" s="715">
        <v>5084520</v>
      </c>
      <c r="Q700" s="715">
        <v>75</v>
      </c>
      <c r="R700" s="715">
        <v>2068</v>
      </c>
      <c r="S700" s="712"/>
      <c r="T700" s="712"/>
      <c r="U700" s="712"/>
      <c r="V700" s="712"/>
      <c r="W700" s="712"/>
      <c r="X700" s="715">
        <v>568</v>
      </c>
      <c r="Y700" s="712"/>
      <c r="Z700" s="715">
        <v>2636</v>
      </c>
      <c r="AA700" s="715">
        <v>75000</v>
      </c>
      <c r="AB700" s="712"/>
      <c r="AC700" s="716">
        <v>75000</v>
      </c>
      <c r="AD700" s="715">
        <v>77636</v>
      </c>
      <c r="AE700" s="715">
        <v>5822700</v>
      </c>
      <c r="AF700" s="715">
        <v>-5</v>
      </c>
      <c r="AG700" s="715">
        <v>-5</v>
      </c>
      <c r="AH700" s="715">
        <v>75</v>
      </c>
      <c r="AI700" s="715">
        <v>75</v>
      </c>
    </row>
    <row r="701" spans="1:35" x14ac:dyDescent="0.2">
      <c r="A701" s="713" t="s">
        <v>6</v>
      </c>
      <c r="B701" s="545">
        <v>93</v>
      </c>
      <c r="C701" s="545">
        <v>8245</v>
      </c>
      <c r="D701" s="545">
        <v>0</v>
      </c>
      <c r="E701" s="545">
        <v>0</v>
      </c>
      <c r="F701" s="545">
        <v>0</v>
      </c>
      <c r="G701" s="545">
        <v>0</v>
      </c>
      <c r="H701" s="545">
        <v>0</v>
      </c>
      <c r="I701" s="545">
        <v>2272</v>
      </c>
      <c r="J701" s="545">
        <v>0</v>
      </c>
      <c r="K701" s="545">
        <v>10517</v>
      </c>
      <c r="L701" s="545">
        <v>93000</v>
      </c>
      <c r="M701" s="545">
        <v>0</v>
      </c>
      <c r="N701" s="545">
        <v>93000</v>
      </c>
      <c r="O701" s="545">
        <v>103517</v>
      </c>
      <c r="P701" s="545">
        <v>5458535</v>
      </c>
      <c r="Q701" s="545">
        <v>99</v>
      </c>
      <c r="R701" s="545">
        <v>8245</v>
      </c>
      <c r="S701" s="545">
        <v>0</v>
      </c>
      <c r="T701" s="545">
        <v>0</v>
      </c>
      <c r="U701" s="545">
        <v>0</v>
      </c>
      <c r="V701" s="545">
        <v>0</v>
      </c>
      <c r="W701" s="545">
        <v>0</v>
      </c>
      <c r="X701" s="545">
        <v>2272</v>
      </c>
      <c r="Y701" s="545">
        <v>0</v>
      </c>
      <c r="Z701" s="545">
        <v>10517</v>
      </c>
      <c r="AA701" s="545">
        <v>99000</v>
      </c>
      <c r="AB701" s="545">
        <v>0</v>
      </c>
      <c r="AC701" s="545">
        <v>99000</v>
      </c>
      <c r="AD701" s="545">
        <v>109517</v>
      </c>
      <c r="AE701" s="545">
        <v>6230387</v>
      </c>
      <c r="AF701" s="545">
        <v>-6</v>
      </c>
      <c r="AG701" s="545">
        <v>-6</v>
      </c>
      <c r="AH701" s="545">
        <v>99</v>
      </c>
      <c r="AI701" s="545">
        <v>99</v>
      </c>
    </row>
    <row r="702" spans="1:35" x14ac:dyDescent="0.2">
      <c r="A702" s="714" t="s">
        <v>16</v>
      </c>
      <c r="B702" s="712"/>
      <c r="C702" s="712"/>
      <c r="D702" s="712"/>
      <c r="E702" s="712"/>
      <c r="F702" s="712"/>
      <c r="G702" s="712"/>
      <c r="H702" s="712"/>
      <c r="I702" s="712"/>
      <c r="J702" s="712"/>
      <c r="K702" s="715">
        <v>0</v>
      </c>
      <c r="L702" s="715">
        <v>0</v>
      </c>
      <c r="M702" s="712"/>
      <c r="N702" s="716">
        <v>0</v>
      </c>
      <c r="O702" s="715">
        <v>0</v>
      </c>
      <c r="P702" s="715">
        <v>0</v>
      </c>
      <c r="Q702" s="712"/>
      <c r="R702" s="712"/>
      <c r="S702" s="712"/>
      <c r="T702" s="712"/>
      <c r="U702" s="712"/>
      <c r="V702" s="712"/>
      <c r="W702" s="712"/>
      <c r="X702" s="712"/>
      <c r="Y702" s="712"/>
      <c r="Z702" s="715">
        <v>0</v>
      </c>
      <c r="AA702" s="715">
        <v>0</v>
      </c>
      <c r="AB702" s="712"/>
      <c r="AC702" s="716">
        <v>0</v>
      </c>
      <c r="AD702" s="715">
        <v>0</v>
      </c>
      <c r="AE702" s="715">
        <v>0</v>
      </c>
      <c r="AF702" s="715">
        <v>0</v>
      </c>
      <c r="AG702" s="715">
        <v>0</v>
      </c>
      <c r="AH702" s="712"/>
      <c r="AI702" s="712"/>
    </row>
    <row r="703" spans="1:35" x14ac:dyDescent="0.2">
      <c r="A703" s="714" t="s">
        <v>590</v>
      </c>
      <c r="B703" s="715">
        <v>71</v>
      </c>
      <c r="C703" s="715">
        <v>2077</v>
      </c>
      <c r="D703" s="712"/>
      <c r="E703" s="712"/>
      <c r="F703" s="712"/>
      <c r="G703" s="712"/>
      <c r="H703" s="712"/>
      <c r="I703" s="715">
        <v>568</v>
      </c>
      <c r="J703" s="712"/>
      <c r="K703" s="715">
        <v>2645</v>
      </c>
      <c r="L703" s="715">
        <v>71000</v>
      </c>
      <c r="M703" s="712"/>
      <c r="N703" s="716">
        <v>71000</v>
      </c>
      <c r="O703" s="715">
        <v>73645</v>
      </c>
      <c r="P703" s="715">
        <v>5228795</v>
      </c>
      <c r="Q703" s="715">
        <v>76</v>
      </c>
      <c r="R703" s="715">
        <v>2077</v>
      </c>
      <c r="S703" s="712"/>
      <c r="T703" s="712"/>
      <c r="U703" s="712"/>
      <c r="V703" s="712"/>
      <c r="W703" s="712"/>
      <c r="X703" s="715">
        <v>568</v>
      </c>
      <c r="Y703" s="712"/>
      <c r="Z703" s="715">
        <v>2645</v>
      </c>
      <c r="AA703" s="715">
        <v>76000</v>
      </c>
      <c r="AB703" s="712"/>
      <c r="AC703" s="716">
        <v>76000</v>
      </c>
      <c r="AD703" s="715">
        <v>78645</v>
      </c>
      <c r="AE703" s="715">
        <v>5977020</v>
      </c>
      <c r="AF703" s="715">
        <v>-5</v>
      </c>
      <c r="AG703" s="715">
        <v>-5</v>
      </c>
      <c r="AH703" s="715">
        <v>76</v>
      </c>
      <c r="AI703" s="715">
        <v>76</v>
      </c>
    </row>
    <row r="704" spans="1:35" x14ac:dyDescent="0.2">
      <c r="A704" s="714" t="s">
        <v>591</v>
      </c>
      <c r="B704" s="715">
        <v>6</v>
      </c>
      <c r="C704" s="715">
        <v>2068</v>
      </c>
      <c r="D704" s="712"/>
      <c r="E704" s="712"/>
      <c r="F704" s="712"/>
      <c r="G704" s="712"/>
      <c r="H704" s="712"/>
      <c r="I704" s="715">
        <v>568</v>
      </c>
      <c r="J704" s="712"/>
      <c r="K704" s="715">
        <v>2636</v>
      </c>
      <c r="L704" s="715">
        <v>6000</v>
      </c>
      <c r="M704" s="712"/>
      <c r="N704" s="716">
        <v>6000</v>
      </c>
      <c r="O704" s="715">
        <v>8636</v>
      </c>
      <c r="P704" s="715">
        <v>51816</v>
      </c>
      <c r="Q704" s="715">
        <v>6</v>
      </c>
      <c r="R704" s="715">
        <v>2068</v>
      </c>
      <c r="S704" s="712"/>
      <c r="T704" s="712"/>
      <c r="U704" s="712"/>
      <c r="V704" s="712"/>
      <c r="W704" s="712"/>
      <c r="X704" s="715">
        <v>568</v>
      </c>
      <c r="Y704" s="712"/>
      <c r="Z704" s="715">
        <v>2636</v>
      </c>
      <c r="AA704" s="715">
        <v>6000</v>
      </c>
      <c r="AB704" s="712"/>
      <c r="AC704" s="716">
        <v>6000</v>
      </c>
      <c r="AD704" s="715">
        <v>8636</v>
      </c>
      <c r="AE704" s="715">
        <v>51816</v>
      </c>
      <c r="AF704" s="715">
        <v>0</v>
      </c>
      <c r="AG704" s="715">
        <v>0</v>
      </c>
      <c r="AH704" s="715">
        <v>6</v>
      </c>
      <c r="AI704" s="715">
        <v>6</v>
      </c>
    </row>
    <row r="705" spans="1:35" x14ac:dyDescent="0.2">
      <c r="A705" s="714" t="s">
        <v>644</v>
      </c>
      <c r="B705" s="715">
        <v>10</v>
      </c>
      <c r="C705" s="715">
        <v>2059</v>
      </c>
      <c r="D705" s="712"/>
      <c r="E705" s="712"/>
      <c r="F705" s="712"/>
      <c r="G705" s="712"/>
      <c r="H705" s="712"/>
      <c r="I705" s="715">
        <v>568</v>
      </c>
      <c r="J705" s="712"/>
      <c r="K705" s="715">
        <v>2627</v>
      </c>
      <c r="L705" s="715">
        <v>10000</v>
      </c>
      <c r="M705" s="712"/>
      <c r="N705" s="716">
        <v>10000</v>
      </c>
      <c r="O705" s="715">
        <v>12627</v>
      </c>
      <c r="P705" s="715">
        <v>126270</v>
      </c>
      <c r="Q705" s="715">
        <v>11</v>
      </c>
      <c r="R705" s="715">
        <v>2059</v>
      </c>
      <c r="S705" s="712"/>
      <c r="T705" s="712"/>
      <c r="U705" s="712"/>
      <c r="V705" s="712"/>
      <c r="W705" s="712"/>
      <c r="X705" s="715">
        <v>568</v>
      </c>
      <c r="Y705" s="712"/>
      <c r="Z705" s="715">
        <v>2627</v>
      </c>
      <c r="AA705" s="715">
        <v>11000</v>
      </c>
      <c r="AB705" s="712"/>
      <c r="AC705" s="716">
        <v>11000</v>
      </c>
      <c r="AD705" s="715">
        <v>13627</v>
      </c>
      <c r="AE705" s="715">
        <v>149897</v>
      </c>
      <c r="AF705" s="715">
        <v>-1</v>
      </c>
      <c r="AG705" s="715">
        <v>-1</v>
      </c>
      <c r="AH705" s="715">
        <v>11</v>
      </c>
      <c r="AI705" s="715">
        <v>11</v>
      </c>
    </row>
    <row r="706" spans="1:35" x14ac:dyDescent="0.2">
      <c r="A706" s="714" t="s">
        <v>645</v>
      </c>
      <c r="B706" s="712"/>
      <c r="C706" s="712"/>
      <c r="D706" s="712"/>
      <c r="E706" s="712"/>
      <c r="F706" s="712"/>
      <c r="G706" s="712"/>
      <c r="H706" s="712"/>
      <c r="I706" s="712"/>
      <c r="J706" s="712"/>
      <c r="K706" s="715">
        <v>0</v>
      </c>
      <c r="L706" s="715">
        <v>0</v>
      </c>
      <c r="M706" s="712"/>
      <c r="N706" s="716">
        <v>0</v>
      </c>
      <c r="O706" s="715">
        <v>0</v>
      </c>
      <c r="P706" s="715">
        <v>0</v>
      </c>
      <c r="Q706" s="712"/>
      <c r="R706" s="712"/>
      <c r="S706" s="712"/>
      <c r="T706" s="712"/>
      <c r="U706" s="712"/>
      <c r="V706" s="712"/>
      <c r="W706" s="712"/>
      <c r="X706" s="712"/>
      <c r="Y706" s="712"/>
      <c r="Z706" s="715">
        <v>0</v>
      </c>
      <c r="AA706" s="715">
        <v>0</v>
      </c>
      <c r="AB706" s="712"/>
      <c r="AC706" s="716">
        <v>0</v>
      </c>
      <c r="AD706" s="715">
        <v>0</v>
      </c>
      <c r="AE706" s="715">
        <v>0</v>
      </c>
      <c r="AF706" s="715">
        <v>0</v>
      </c>
      <c r="AG706" s="715">
        <v>0</v>
      </c>
      <c r="AH706" s="712"/>
      <c r="AI706" s="712"/>
    </row>
    <row r="707" spans="1:35" x14ac:dyDescent="0.2">
      <c r="A707" s="714" t="s">
        <v>646</v>
      </c>
      <c r="B707" s="715">
        <v>6</v>
      </c>
      <c r="C707" s="715">
        <v>2041</v>
      </c>
      <c r="D707" s="712"/>
      <c r="E707" s="712"/>
      <c r="F707" s="712"/>
      <c r="G707" s="712"/>
      <c r="H707" s="712"/>
      <c r="I707" s="715">
        <v>568</v>
      </c>
      <c r="J707" s="712"/>
      <c r="K707" s="715">
        <v>2609</v>
      </c>
      <c r="L707" s="715">
        <v>6000</v>
      </c>
      <c r="M707" s="712"/>
      <c r="N707" s="716">
        <v>6000</v>
      </c>
      <c r="O707" s="715">
        <v>8609</v>
      </c>
      <c r="P707" s="715">
        <v>51654</v>
      </c>
      <c r="Q707" s="715">
        <v>6</v>
      </c>
      <c r="R707" s="715">
        <v>2041</v>
      </c>
      <c r="S707" s="712"/>
      <c r="T707" s="712"/>
      <c r="U707" s="712"/>
      <c r="V707" s="712"/>
      <c r="W707" s="712"/>
      <c r="X707" s="715">
        <v>568</v>
      </c>
      <c r="Y707" s="712"/>
      <c r="Z707" s="715">
        <v>2609</v>
      </c>
      <c r="AA707" s="715">
        <v>6000</v>
      </c>
      <c r="AB707" s="712"/>
      <c r="AC707" s="716">
        <v>6000</v>
      </c>
      <c r="AD707" s="715">
        <v>8609</v>
      </c>
      <c r="AE707" s="715">
        <v>51654</v>
      </c>
      <c r="AF707" s="715">
        <v>0</v>
      </c>
      <c r="AG707" s="715">
        <v>0</v>
      </c>
      <c r="AH707" s="715">
        <v>6</v>
      </c>
      <c r="AI707" s="715">
        <v>6</v>
      </c>
    </row>
    <row r="708" spans="1:35" x14ac:dyDescent="0.2">
      <c r="A708" s="713" t="s">
        <v>807</v>
      </c>
      <c r="B708" s="712"/>
      <c r="C708" s="712"/>
      <c r="D708" s="712"/>
      <c r="E708" s="712"/>
      <c r="F708" s="712"/>
      <c r="G708" s="712"/>
      <c r="H708" s="712"/>
      <c r="I708" s="712"/>
      <c r="J708" s="712"/>
      <c r="K708" s="715">
        <v>0</v>
      </c>
      <c r="L708" s="715">
        <v>0</v>
      </c>
      <c r="M708" s="712"/>
      <c r="N708" s="716">
        <v>0</v>
      </c>
      <c r="O708" s="715">
        <v>0</v>
      </c>
      <c r="P708" s="715">
        <v>0</v>
      </c>
      <c r="Q708" s="712"/>
      <c r="R708" s="712"/>
      <c r="S708" s="712"/>
      <c r="T708" s="712"/>
      <c r="U708" s="712"/>
      <c r="V708" s="712"/>
      <c r="W708" s="712"/>
      <c r="X708" s="712"/>
      <c r="Y708" s="712"/>
      <c r="Z708" s="715">
        <v>0</v>
      </c>
      <c r="AA708" s="715">
        <v>0</v>
      </c>
      <c r="AB708" s="712"/>
      <c r="AC708" s="716">
        <v>0</v>
      </c>
      <c r="AD708" s="715">
        <v>0</v>
      </c>
      <c r="AE708" s="715">
        <v>0</v>
      </c>
      <c r="AF708" s="715">
        <v>0</v>
      </c>
      <c r="AG708" s="715">
        <v>0</v>
      </c>
      <c r="AH708" s="712"/>
      <c r="AI708" s="712"/>
    </row>
    <row r="709" spans="1:35" x14ac:dyDescent="0.2">
      <c r="A709" s="713" t="s">
        <v>732</v>
      </c>
      <c r="B709" s="545">
        <v>62</v>
      </c>
      <c r="C709" s="545">
        <v>31892</v>
      </c>
      <c r="D709" s="545">
        <v>0</v>
      </c>
      <c r="E709" s="545">
        <v>0</v>
      </c>
      <c r="F709" s="545">
        <v>0</v>
      </c>
      <c r="G709" s="545">
        <v>0</v>
      </c>
      <c r="H709" s="545">
        <v>0</v>
      </c>
      <c r="I709" s="545">
        <v>6350</v>
      </c>
      <c r="J709" s="545">
        <v>1270</v>
      </c>
      <c r="K709" s="545">
        <v>39512</v>
      </c>
      <c r="L709" s="545">
        <v>62000</v>
      </c>
      <c r="M709" s="545">
        <v>0</v>
      </c>
      <c r="N709" s="545">
        <v>62000</v>
      </c>
      <c r="O709" s="545">
        <v>101512</v>
      </c>
      <c r="P709" s="545">
        <v>2359168</v>
      </c>
      <c r="Q709" s="545">
        <v>66</v>
      </c>
      <c r="R709" s="545">
        <v>31892</v>
      </c>
      <c r="S709" s="545">
        <v>0</v>
      </c>
      <c r="T709" s="545">
        <v>0</v>
      </c>
      <c r="U709" s="545">
        <v>0</v>
      </c>
      <c r="V709" s="545">
        <v>0</v>
      </c>
      <c r="W709" s="545">
        <v>0</v>
      </c>
      <c r="X709" s="545">
        <v>6350</v>
      </c>
      <c r="Y709" s="545">
        <v>1270</v>
      </c>
      <c r="Z709" s="545">
        <v>39512</v>
      </c>
      <c r="AA709" s="545">
        <v>66000</v>
      </c>
      <c r="AB709" s="545">
        <v>0</v>
      </c>
      <c r="AC709" s="545">
        <v>66000</v>
      </c>
      <c r="AD709" s="545">
        <v>105512</v>
      </c>
      <c r="AE709" s="545">
        <v>2621716</v>
      </c>
      <c r="AF709" s="545">
        <v>-4</v>
      </c>
      <c r="AG709" s="545">
        <v>-4</v>
      </c>
      <c r="AH709" s="545">
        <v>66</v>
      </c>
      <c r="AI709" s="545">
        <v>66</v>
      </c>
    </row>
    <row r="710" spans="1:35" x14ac:dyDescent="0.2">
      <c r="A710" s="714">
        <v>5</v>
      </c>
      <c r="B710" s="715">
        <v>1</v>
      </c>
      <c r="C710" s="715">
        <v>7266</v>
      </c>
      <c r="D710" s="712"/>
      <c r="E710" s="712"/>
      <c r="F710" s="712"/>
      <c r="G710" s="712"/>
      <c r="H710" s="712"/>
      <c r="I710" s="715">
        <v>1270</v>
      </c>
      <c r="J710" s="712"/>
      <c r="K710" s="715">
        <v>8536</v>
      </c>
      <c r="L710" s="715">
        <v>1000</v>
      </c>
      <c r="M710" s="712"/>
      <c r="N710" s="716">
        <v>1000</v>
      </c>
      <c r="O710" s="715">
        <v>9536</v>
      </c>
      <c r="P710" s="715">
        <v>9536</v>
      </c>
      <c r="Q710" s="715">
        <v>1</v>
      </c>
      <c r="R710" s="715">
        <v>7266</v>
      </c>
      <c r="S710" s="712"/>
      <c r="T710" s="712"/>
      <c r="U710" s="712"/>
      <c r="V710" s="712"/>
      <c r="W710" s="712"/>
      <c r="X710" s="715">
        <v>1270</v>
      </c>
      <c r="Y710" s="712"/>
      <c r="Z710" s="715">
        <v>8536</v>
      </c>
      <c r="AA710" s="715">
        <v>1000</v>
      </c>
      <c r="AB710" s="712"/>
      <c r="AC710" s="716">
        <v>1000</v>
      </c>
      <c r="AD710" s="715">
        <v>9536</v>
      </c>
      <c r="AE710" s="715">
        <v>9536</v>
      </c>
      <c r="AF710" s="715">
        <v>0</v>
      </c>
      <c r="AG710" s="715">
        <v>0</v>
      </c>
      <c r="AH710" s="715">
        <v>1</v>
      </c>
      <c r="AI710" s="715">
        <v>1</v>
      </c>
    </row>
    <row r="711" spans="1:35" x14ac:dyDescent="0.2">
      <c r="A711" s="714">
        <v>4</v>
      </c>
      <c r="B711" s="715">
        <v>1</v>
      </c>
      <c r="C711" s="715">
        <v>6826</v>
      </c>
      <c r="D711" s="712"/>
      <c r="E711" s="712"/>
      <c r="F711" s="712"/>
      <c r="G711" s="712"/>
      <c r="H711" s="712"/>
      <c r="I711" s="715">
        <v>1270</v>
      </c>
      <c r="J711" s="712"/>
      <c r="K711" s="715">
        <v>8096</v>
      </c>
      <c r="L711" s="715">
        <v>1000</v>
      </c>
      <c r="M711" s="712"/>
      <c r="N711" s="716">
        <v>1000</v>
      </c>
      <c r="O711" s="715">
        <v>9096</v>
      </c>
      <c r="P711" s="715">
        <v>9096</v>
      </c>
      <c r="Q711" s="715">
        <v>1</v>
      </c>
      <c r="R711" s="715">
        <v>6826</v>
      </c>
      <c r="S711" s="712"/>
      <c r="T711" s="712"/>
      <c r="U711" s="712"/>
      <c r="V711" s="712"/>
      <c r="W711" s="712"/>
      <c r="X711" s="715">
        <v>1270</v>
      </c>
      <c r="Y711" s="712"/>
      <c r="Z711" s="715">
        <v>8096</v>
      </c>
      <c r="AA711" s="715">
        <v>1000</v>
      </c>
      <c r="AB711" s="712"/>
      <c r="AC711" s="716">
        <v>1000</v>
      </c>
      <c r="AD711" s="715">
        <v>9096</v>
      </c>
      <c r="AE711" s="715">
        <v>9096</v>
      </c>
      <c r="AF711" s="715">
        <v>0</v>
      </c>
      <c r="AG711" s="715">
        <v>0</v>
      </c>
      <c r="AH711" s="715">
        <v>1</v>
      </c>
      <c r="AI711" s="715">
        <v>1</v>
      </c>
    </row>
    <row r="712" spans="1:35" x14ac:dyDescent="0.2">
      <c r="A712" s="714">
        <v>3</v>
      </c>
      <c r="B712" s="715">
        <v>4</v>
      </c>
      <c r="C712" s="715">
        <v>6336</v>
      </c>
      <c r="D712" s="712"/>
      <c r="E712" s="712"/>
      <c r="F712" s="712"/>
      <c r="G712" s="712"/>
      <c r="H712" s="712"/>
      <c r="I712" s="715">
        <v>1270</v>
      </c>
      <c r="J712" s="712"/>
      <c r="K712" s="715">
        <v>7606</v>
      </c>
      <c r="L712" s="715">
        <v>4000</v>
      </c>
      <c r="M712" s="712"/>
      <c r="N712" s="716">
        <v>4000</v>
      </c>
      <c r="O712" s="715">
        <v>11606</v>
      </c>
      <c r="P712" s="715">
        <v>46424</v>
      </c>
      <c r="Q712" s="715">
        <v>4</v>
      </c>
      <c r="R712" s="715">
        <v>6336</v>
      </c>
      <c r="S712" s="712"/>
      <c r="T712" s="712"/>
      <c r="U712" s="712"/>
      <c r="V712" s="712"/>
      <c r="W712" s="712"/>
      <c r="X712" s="715">
        <v>1270</v>
      </c>
      <c r="Y712" s="712"/>
      <c r="Z712" s="715">
        <v>7606</v>
      </c>
      <c r="AA712" s="715">
        <v>4000</v>
      </c>
      <c r="AB712" s="712"/>
      <c r="AC712" s="716">
        <v>4000</v>
      </c>
      <c r="AD712" s="715">
        <v>11606</v>
      </c>
      <c r="AE712" s="715">
        <v>46424</v>
      </c>
      <c r="AF712" s="715">
        <v>0</v>
      </c>
      <c r="AG712" s="715">
        <v>0</v>
      </c>
      <c r="AH712" s="715">
        <v>4</v>
      </c>
      <c r="AI712" s="715">
        <v>4</v>
      </c>
    </row>
    <row r="713" spans="1:35" x14ac:dyDescent="0.2">
      <c r="A713" s="714">
        <v>2</v>
      </c>
      <c r="B713" s="715">
        <v>16</v>
      </c>
      <c r="C713" s="715">
        <v>5932</v>
      </c>
      <c r="D713" s="712"/>
      <c r="E713" s="712"/>
      <c r="F713" s="712"/>
      <c r="G713" s="712"/>
      <c r="H713" s="712"/>
      <c r="I713" s="715">
        <v>1270</v>
      </c>
      <c r="J713" s="712"/>
      <c r="K713" s="715">
        <v>7202</v>
      </c>
      <c r="L713" s="715">
        <v>16000</v>
      </c>
      <c r="M713" s="712"/>
      <c r="N713" s="716">
        <v>16000</v>
      </c>
      <c r="O713" s="715">
        <v>23202</v>
      </c>
      <c r="P713" s="715">
        <v>371232</v>
      </c>
      <c r="Q713" s="715">
        <v>18</v>
      </c>
      <c r="R713" s="715">
        <v>5932</v>
      </c>
      <c r="S713" s="712"/>
      <c r="T713" s="712"/>
      <c r="U713" s="712"/>
      <c r="V713" s="712"/>
      <c r="W713" s="712"/>
      <c r="X713" s="715">
        <v>1270</v>
      </c>
      <c r="Y713" s="712"/>
      <c r="Z713" s="715">
        <v>7202</v>
      </c>
      <c r="AA713" s="715">
        <v>18000</v>
      </c>
      <c r="AB713" s="712"/>
      <c r="AC713" s="716">
        <v>18000</v>
      </c>
      <c r="AD713" s="715">
        <v>25202</v>
      </c>
      <c r="AE713" s="715">
        <v>453636</v>
      </c>
      <c r="AF713" s="715">
        <v>-2</v>
      </c>
      <c r="AG713" s="715">
        <v>-2</v>
      </c>
      <c r="AH713" s="715">
        <v>18</v>
      </c>
      <c r="AI713" s="715">
        <v>18</v>
      </c>
    </row>
    <row r="714" spans="1:35" x14ac:dyDescent="0.2">
      <c r="A714" s="714">
        <v>1</v>
      </c>
      <c r="B714" s="715">
        <v>40</v>
      </c>
      <c r="C714" s="715">
        <v>5532</v>
      </c>
      <c r="D714" s="712"/>
      <c r="E714" s="712"/>
      <c r="F714" s="712"/>
      <c r="G714" s="712"/>
      <c r="H714" s="712"/>
      <c r="I714" s="715">
        <v>1270</v>
      </c>
      <c r="J714" s="715">
        <v>1270</v>
      </c>
      <c r="K714" s="715">
        <v>8072</v>
      </c>
      <c r="L714" s="715">
        <v>40000</v>
      </c>
      <c r="M714" s="712"/>
      <c r="N714" s="716">
        <v>40000</v>
      </c>
      <c r="O714" s="715">
        <v>48072</v>
      </c>
      <c r="P714" s="715">
        <v>1922880</v>
      </c>
      <c r="Q714" s="715">
        <v>42</v>
      </c>
      <c r="R714" s="715">
        <v>5532</v>
      </c>
      <c r="S714" s="712"/>
      <c r="T714" s="712"/>
      <c r="U714" s="712"/>
      <c r="V714" s="712"/>
      <c r="W714" s="712"/>
      <c r="X714" s="715">
        <v>1270</v>
      </c>
      <c r="Y714" s="715">
        <v>1270</v>
      </c>
      <c r="Z714" s="715">
        <v>8072</v>
      </c>
      <c r="AA714" s="715">
        <v>42000</v>
      </c>
      <c r="AB714" s="712"/>
      <c r="AC714" s="716">
        <v>42000</v>
      </c>
      <c r="AD714" s="715">
        <v>50072</v>
      </c>
      <c r="AE714" s="715">
        <v>2103024</v>
      </c>
      <c r="AF714" s="715">
        <v>-2</v>
      </c>
      <c r="AG714" s="715">
        <v>-2</v>
      </c>
      <c r="AH714" s="715">
        <v>42</v>
      </c>
      <c r="AI714" s="715">
        <v>42</v>
      </c>
    </row>
    <row r="715" spans="1:35" x14ac:dyDescent="0.2">
      <c r="A715" s="713" t="s">
        <v>768</v>
      </c>
      <c r="B715" s="545">
        <v>124</v>
      </c>
      <c r="C715" s="545">
        <v>19533</v>
      </c>
      <c r="D715" s="545">
        <v>0</v>
      </c>
      <c r="E715" s="545">
        <v>0</v>
      </c>
      <c r="F715" s="545">
        <v>0</v>
      </c>
      <c r="G715" s="545">
        <v>0</v>
      </c>
      <c r="H715" s="545">
        <v>0</v>
      </c>
      <c r="I715" s="545">
        <v>3650</v>
      </c>
      <c r="J715" s="545">
        <v>2700</v>
      </c>
      <c r="K715" s="545">
        <v>25883</v>
      </c>
      <c r="L715" s="545">
        <v>124000</v>
      </c>
      <c r="M715" s="545">
        <v>0</v>
      </c>
      <c r="N715" s="545">
        <v>124000</v>
      </c>
      <c r="O715" s="545">
        <v>149883</v>
      </c>
      <c r="P715" s="545">
        <v>6709680</v>
      </c>
      <c r="Q715" s="545">
        <v>125</v>
      </c>
      <c r="R715" s="545">
        <v>19533</v>
      </c>
      <c r="S715" s="545">
        <v>0</v>
      </c>
      <c r="T715" s="545">
        <v>0</v>
      </c>
      <c r="U715" s="545">
        <v>0</v>
      </c>
      <c r="V715" s="545">
        <v>0</v>
      </c>
      <c r="W715" s="545">
        <v>0</v>
      </c>
      <c r="X715" s="545">
        <v>3650</v>
      </c>
      <c r="Y715" s="545">
        <v>2700</v>
      </c>
      <c r="Z715" s="545">
        <v>25883</v>
      </c>
      <c r="AA715" s="545">
        <v>125000</v>
      </c>
      <c r="AB715" s="545">
        <v>0</v>
      </c>
      <c r="AC715" s="545">
        <v>125000</v>
      </c>
      <c r="AD715" s="545">
        <v>150883</v>
      </c>
      <c r="AE715" s="545">
        <v>6737070</v>
      </c>
      <c r="AF715" s="545">
        <v>-1</v>
      </c>
      <c r="AG715" s="545">
        <v>-1</v>
      </c>
      <c r="AH715" s="545">
        <v>125</v>
      </c>
      <c r="AI715" s="545">
        <v>125</v>
      </c>
    </row>
    <row r="716" spans="1:35" x14ac:dyDescent="0.2">
      <c r="A716" s="714">
        <v>14</v>
      </c>
      <c r="B716" s="715">
        <v>32</v>
      </c>
      <c r="C716" s="715">
        <v>4471</v>
      </c>
      <c r="D716" s="712"/>
      <c r="E716" s="712"/>
      <c r="F716" s="712"/>
      <c r="G716" s="712"/>
      <c r="H716" s="712"/>
      <c r="I716" s="715">
        <v>730</v>
      </c>
      <c r="J716" s="715">
        <v>1350</v>
      </c>
      <c r="K716" s="715">
        <v>6551</v>
      </c>
      <c r="L716" s="715">
        <v>32000</v>
      </c>
      <c r="M716" s="712"/>
      <c r="N716" s="716">
        <v>32000</v>
      </c>
      <c r="O716" s="715">
        <v>38551</v>
      </c>
      <c r="P716" s="715">
        <v>1233632</v>
      </c>
      <c r="Q716" s="715">
        <v>32</v>
      </c>
      <c r="R716" s="715">
        <v>4471</v>
      </c>
      <c r="S716" s="712"/>
      <c r="T716" s="712"/>
      <c r="U716" s="712"/>
      <c r="V716" s="712"/>
      <c r="W716" s="712"/>
      <c r="X716" s="715">
        <v>730</v>
      </c>
      <c r="Y716" s="715">
        <v>1350</v>
      </c>
      <c r="Z716" s="715">
        <v>6551</v>
      </c>
      <c r="AA716" s="715">
        <v>32000</v>
      </c>
      <c r="AB716" s="712"/>
      <c r="AC716" s="716">
        <v>32000</v>
      </c>
      <c r="AD716" s="715">
        <v>38551</v>
      </c>
      <c r="AE716" s="715">
        <v>1233632</v>
      </c>
      <c r="AF716" s="715">
        <v>0</v>
      </c>
      <c r="AG716" s="715">
        <v>0</v>
      </c>
      <c r="AH716" s="715">
        <v>32</v>
      </c>
      <c r="AI716" s="715">
        <v>32</v>
      </c>
    </row>
    <row r="717" spans="1:35" x14ac:dyDescent="0.2">
      <c r="A717" s="714">
        <v>13</v>
      </c>
      <c r="B717" s="715">
        <v>6</v>
      </c>
      <c r="C717" s="715">
        <v>4158</v>
      </c>
      <c r="D717" s="712"/>
      <c r="E717" s="712"/>
      <c r="F717" s="712"/>
      <c r="G717" s="712"/>
      <c r="H717" s="712"/>
      <c r="I717" s="715">
        <v>730</v>
      </c>
      <c r="J717" s="715">
        <v>1350</v>
      </c>
      <c r="K717" s="715">
        <v>6238</v>
      </c>
      <c r="L717" s="715">
        <v>6000</v>
      </c>
      <c r="M717" s="712"/>
      <c r="N717" s="716">
        <v>6000</v>
      </c>
      <c r="O717" s="715">
        <v>12238</v>
      </c>
      <c r="P717" s="715">
        <v>73428</v>
      </c>
      <c r="Q717" s="715">
        <v>6</v>
      </c>
      <c r="R717" s="715">
        <v>4158</v>
      </c>
      <c r="S717" s="712"/>
      <c r="T717" s="712"/>
      <c r="U717" s="712"/>
      <c r="V717" s="712"/>
      <c r="W717" s="712"/>
      <c r="X717" s="715">
        <v>730</v>
      </c>
      <c r="Y717" s="715">
        <v>1350</v>
      </c>
      <c r="Z717" s="715">
        <v>6238</v>
      </c>
      <c r="AA717" s="715">
        <v>6000</v>
      </c>
      <c r="AB717" s="712"/>
      <c r="AC717" s="716">
        <v>6000</v>
      </c>
      <c r="AD717" s="715">
        <v>12238</v>
      </c>
      <c r="AE717" s="715">
        <v>73428</v>
      </c>
      <c r="AF717" s="715">
        <v>0</v>
      </c>
      <c r="AG717" s="715">
        <v>0</v>
      </c>
      <c r="AH717" s="715">
        <v>6</v>
      </c>
      <c r="AI717" s="715">
        <v>6</v>
      </c>
    </row>
    <row r="718" spans="1:35" x14ac:dyDescent="0.2">
      <c r="A718" s="714">
        <v>12</v>
      </c>
      <c r="B718" s="715">
        <v>5</v>
      </c>
      <c r="C718" s="715">
        <v>3900</v>
      </c>
      <c r="D718" s="712"/>
      <c r="E718" s="712"/>
      <c r="F718" s="712"/>
      <c r="G718" s="712"/>
      <c r="H718" s="712"/>
      <c r="I718" s="715">
        <v>730</v>
      </c>
      <c r="J718" s="712"/>
      <c r="K718" s="715">
        <v>4630</v>
      </c>
      <c r="L718" s="715">
        <v>5000</v>
      </c>
      <c r="M718" s="712"/>
      <c r="N718" s="716">
        <v>5000</v>
      </c>
      <c r="O718" s="715">
        <v>9630</v>
      </c>
      <c r="P718" s="715">
        <v>48150</v>
      </c>
      <c r="Q718" s="715">
        <v>5</v>
      </c>
      <c r="R718" s="715">
        <v>3900</v>
      </c>
      <c r="S718" s="712"/>
      <c r="T718" s="712"/>
      <c r="U718" s="712"/>
      <c r="V718" s="712"/>
      <c r="W718" s="712"/>
      <c r="X718" s="715">
        <v>730</v>
      </c>
      <c r="Y718" s="712"/>
      <c r="Z718" s="715">
        <v>4630</v>
      </c>
      <c r="AA718" s="715">
        <v>5000</v>
      </c>
      <c r="AB718" s="712"/>
      <c r="AC718" s="716">
        <v>5000</v>
      </c>
      <c r="AD718" s="715">
        <v>9630</v>
      </c>
      <c r="AE718" s="715">
        <v>48150</v>
      </c>
      <c r="AF718" s="715">
        <v>0</v>
      </c>
      <c r="AG718" s="715">
        <v>0</v>
      </c>
      <c r="AH718" s="715">
        <v>5</v>
      </c>
      <c r="AI718" s="715">
        <v>5</v>
      </c>
    </row>
    <row r="719" spans="1:35" x14ac:dyDescent="0.2">
      <c r="A719" s="714">
        <v>11</v>
      </c>
      <c r="B719" s="715">
        <v>11</v>
      </c>
      <c r="C719" s="715">
        <v>3660</v>
      </c>
      <c r="D719" s="712"/>
      <c r="E719" s="712"/>
      <c r="F719" s="712"/>
      <c r="G719" s="712"/>
      <c r="H719" s="712"/>
      <c r="I719" s="715">
        <v>730</v>
      </c>
      <c r="J719" s="712"/>
      <c r="K719" s="715">
        <v>4390</v>
      </c>
      <c r="L719" s="715">
        <v>11000</v>
      </c>
      <c r="M719" s="712"/>
      <c r="N719" s="716">
        <v>11000</v>
      </c>
      <c r="O719" s="715">
        <v>15390</v>
      </c>
      <c r="P719" s="715">
        <v>169290</v>
      </c>
      <c r="Q719" s="715">
        <v>12</v>
      </c>
      <c r="R719" s="715">
        <v>3660</v>
      </c>
      <c r="S719" s="712"/>
      <c r="T719" s="712"/>
      <c r="U719" s="712"/>
      <c r="V719" s="712"/>
      <c r="W719" s="712"/>
      <c r="X719" s="715">
        <v>730</v>
      </c>
      <c r="Y719" s="712"/>
      <c r="Z719" s="715">
        <v>4390</v>
      </c>
      <c r="AA719" s="715">
        <v>12000</v>
      </c>
      <c r="AB719" s="712"/>
      <c r="AC719" s="716">
        <v>12000</v>
      </c>
      <c r="AD719" s="715">
        <v>16390</v>
      </c>
      <c r="AE719" s="715">
        <v>196680</v>
      </c>
      <c r="AF719" s="715">
        <v>-1</v>
      </c>
      <c r="AG719" s="715">
        <v>-1</v>
      </c>
      <c r="AH719" s="715">
        <v>12</v>
      </c>
      <c r="AI719" s="715">
        <v>12</v>
      </c>
    </row>
    <row r="720" spans="1:35" x14ac:dyDescent="0.2">
      <c r="A720" s="714">
        <v>10</v>
      </c>
      <c r="B720" s="715">
        <v>70</v>
      </c>
      <c r="C720" s="715">
        <v>3344</v>
      </c>
      <c r="D720" s="712"/>
      <c r="E720" s="712"/>
      <c r="F720" s="712"/>
      <c r="G720" s="712"/>
      <c r="H720" s="712"/>
      <c r="I720" s="715">
        <v>730</v>
      </c>
      <c r="J720" s="712"/>
      <c r="K720" s="715">
        <v>4074</v>
      </c>
      <c r="L720" s="715">
        <v>70000</v>
      </c>
      <c r="M720" s="712"/>
      <c r="N720" s="716">
        <v>70000</v>
      </c>
      <c r="O720" s="715">
        <v>74074</v>
      </c>
      <c r="P720" s="715">
        <v>5185180</v>
      </c>
      <c r="Q720" s="715">
        <v>70</v>
      </c>
      <c r="R720" s="715">
        <v>3344</v>
      </c>
      <c r="S720" s="712"/>
      <c r="T720" s="712"/>
      <c r="U720" s="712"/>
      <c r="V720" s="712"/>
      <c r="W720" s="712"/>
      <c r="X720" s="715">
        <v>730</v>
      </c>
      <c r="Y720" s="712"/>
      <c r="Z720" s="715">
        <v>4074</v>
      </c>
      <c r="AA720" s="715">
        <v>70000</v>
      </c>
      <c r="AB720" s="712"/>
      <c r="AC720" s="716">
        <v>70000</v>
      </c>
      <c r="AD720" s="715">
        <v>74074</v>
      </c>
      <c r="AE720" s="715">
        <v>5185180</v>
      </c>
      <c r="AF720" s="715">
        <v>0</v>
      </c>
      <c r="AG720" s="715">
        <v>0</v>
      </c>
      <c r="AH720" s="715">
        <v>70</v>
      </c>
      <c r="AI720" s="715">
        <v>70</v>
      </c>
    </row>
    <row r="721" spans="1:35" x14ac:dyDescent="0.2">
      <c r="A721" s="713" t="s">
        <v>739</v>
      </c>
      <c r="B721" s="545">
        <v>59</v>
      </c>
      <c r="C721" s="545">
        <v>19533</v>
      </c>
      <c r="D721" s="545">
        <v>0</v>
      </c>
      <c r="E721" s="545">
        <v>0</v>
      </c>
      <c r="F721" s="545">
        <v>0</v>
      </c>
      <c r="G721" s="545">
        <v>0</v>
      </c>
      <c r="H721" s="545">
        <v>0</v>
      </c>
      <c r="I721" s="545">
        <v>3650</v>
      </c>
      <c r="J721" s="545">
        <v>6750</v>
      </c>
      <c r="K721" s="545">
        <v>29933</v>
      </c>
      <c r="L721" s="545">
        <v>59000</v>
      </c>
      <c r="M721" s="545">
        <v>0</v>
      </c>
      <c r="N721" s="545">
        <v>59000</v>
      </c>
      <c r="O721" s="545">
        <v>88933</v>
      </c>
      <c r="P721" s="545">
        <v>2275981</v>
      </c>
      <c r="Q721" s="545">
        <v>62</v>
      </c>
      <c r="R721" s="545">
        <v>19533</v>
      </c>
      <c r="S721" s="545">
        <v>0</v>
      </c>
      <c r="T721" s="545">
        <v>0</v>
      </c>
      <c r="U721" s="545">
        <v>0</v>
      </c>
      <c r="V721" s="545">
        <v>0</v>
      </c>
      <c r="W721" s="545">
        <v>0</v>
      </c>
      <c r="X721" s="545">
        <v>3650</v>
      </c>
      <c r="Y721" s="545">
        <v>6750</v>
      </c>
      <c r="Z721" s="545">
        <v>29933</v>
      </c>
      <c r="AA721" s="545">
        <v>62000</v>
      </c>
      <c r="AB721" s="545">
        <v>0</v>
      </c>
      <c r="AC721" s="545">
        <v>62000</v>
      </c>
      <c r="AD721" s="545">
        <v>91933</v>
      </c>
      <c r="AE721" s="545">
        <v>2390623</v>
      </c>
      <c r="AF721" s="545">
        <v>-3</v>
      </c>
      <c r="AG721" s="545">
        <v>-3</v>
      </c>
      <c r="AH721" s="545">
        <v>62</v>
      </c>
      <c r="AI721" s="545">
        <v>62</v>
      </c>
    </row>
    <row r="722" spans="1:35" x14ac:dyDescent="0.2">
      <c r="A722" s="714" t="s">
        <v>746</v>
      </c>
      <c r="B722" s="712"/>
      <c r="C722" s="712"/>
      <c r="D722" s="712"/>
      <c r="E722" s="712"/>
      <c r="F722" s="712"/>
      <c r="G722" s="712"/>
      <c r="H722" s="712"/>
      <c r="I722" s="712"/>
      <c r="J722" s="712"/>
      <c r="K722" s="715">
        <v>0</v>
      </c>
      <c r="L722" s="715">
        <v>0</v>
      </c>
      <c r="M722" s="712"/>
      <c r="N722" s="716">
        <v>0</v>
      </c>
      <c r="O722" s="715">
        <v>0</v>
      </c>
      <c r="P722" s="715">
        <v>0</v>
      </c>
      <c r="Q722" s="712"/>
      <c r="R722" s="712"/>
      <c r="S722" s="712"/>
      <c r="T722" s="712"/>
      <c r="U722" s="712"/>
      <c r="V722" s="712"/>
      <c r="W722" s="712"/>
      <c r="X722" s="712"/>
      <c r="Y722" s="712"/>
      <c r="Z722" s="715">
        <v>0</v>
      </c>
      <c r="AA722" s="715">
        <v>0</v>
      </c>
      <c r="AB722" s="712"/>
      <c r="AC722" s="716">
        <v>0</v>
      </c>
      <c r="AD722" s="715">
        <v>0</v>
      </c>
      <c r="AE722" s="715">
        <v>0</v>
      </c>
      <c r="AF722" s="715">
        <v>0</v>
      </c>
      <c r="AG722" s="715">
        <v>0</v>
      </c>
      <c r="AH722" s="712"/>
      <c r="AI722" s="712"/>
    </row>
    <row r="723" spans="1:35" x14ac:dyDescent="0.2">
      <c r="A723" s="714" t="s">
        <v>747</v>
      </c>
      <c r="B723" s="712"/>
      <c r="C723" s="712"/>
      <c r="D723" s="712"/>
      <c r="E723" s="712"/>
      <c r="F723" s="712"/>
      <c r="G723" s="712"/>
      <c r="H723" s="712"/>
      <c r="I723" s="712"/>
      <c r="J723" s="712"/>
      <c r="K723" s="715">
        <v>0</v>
      </c>
      <c r="L723" s="715">
        <v>0</v>
      </c>
      <c r="M723" s="712"/>
      <c r="N723" s="716">
        <v>0</v>
      </c>
      <c r="O723" s="715">
        <v>0</v>
      </c>
      <c r="P723" s="715">
        <v>0</v>
      </c>
      <c r="Q723" s="712"/>
      <c r="R723" s="712"/>
      <c r="S723" s="712"/>
      <c r="T723" s="712"/>
      <c r="U723" s="712"/>
      <c r="V723" s="712"/>
      <c r="W723" s="712"/>
      <c r="X723" s="712"/>
      <c r="Y723" s="712"/>
      <c r="Z723" s="715">
        <v>0</v>
      </c>
      <c r="AA723" s="715">
        <v>0</v>
      </c>
      <c r="AB723" s="712"/>
      <c r="AC723" s="716">
        <v>0</v>
      </c>
      <c r="AD723" s="715">
        <v>0</v>
      </c>
      <c r="AE723" s="715">
        <v>0</v>
      </c>
      <c r="AF723" s="715">
        <v>0</v>
      </c>
      <c r="AG723" s="715">
        <v>0</v>
      </c>
      <c r="AH723" s="712"/>
      <c r="AI723" s="712"/>
    </row>
    <row r="724" spans="1:35" x14ac:dyDescent="0.2">
      <c r="A724" s="714" t="s">
        <v>748</v>
      </c>
      <c r="B724" s="712"/>
      <c r="C724" s="712"/>
      <c r="D724" s="712"/>
      <c r="E724" s="712"/>
      <c r="F724" s="712"/>
      <c r="G724" s="712"/>
      <c r="H724" s="712"/>
      <c r="I724" s="712"/>
      <c r="J724" s="712"/>
      <c r="K724" s="715">
        <v>0</v>
      </c>
      <c r="L724" s="715">
        <v>0</v>
      </c>
      <c r="M724" s="712"/>
      <c r="N724" s="716">
        <v>0</v>
      </c>
      <c r="O724" s="715">
        <v>0</v>
      </c>
      <c r="P724" s="715">
        <v>0</v>
      </c>
      <c r="Q724" s="712"/>
      <c r="R724" s="712"/>
      <c r="S724" s="712"/>
      <c r="T724" s="712"/>
      <c r="U724" s="712"/>
      <c r="V724" s="712"/>
      <c r="W724" s="712"/>
      <c r="X724" s="712"/>
      <c r="Y724" s="712"/>
      <c r="Z724" s="715">
        <v>0</v>
      </c>
      <c r="AA724" s="715">
        <v>0</v>
      </c>
      <c r="AB724" s="712"/>
      <c r="AC724" s="716">
        <v>0</v>
      </c>
      <c r="AD724" s="715">
        <v>0</v>
      </c>
      <c r="AE724" s="715">
        <v>0</v>
      </c>
      <c r="AF724" s="715">
        <v>0</v>
      </c>
      <c r="AG724" s="715">
        <v>0</v>
      </c>
      <c r="AH724" s="712"/>
      <c r="AI724" s="712"/>
    </row>
    <row r="725" spans="1:35" x14ac:dyDescent="0.2">
      <c r="A725" s="714" t="s">
        <v>701</v>
      </c>
      <c r="B725" s="715">
        <v>3</v>
      </c>
      <c r="C725" s="715">
        <v>4471</v>
      </c>
      <c r="D725" s="712"/>
      <c r="E725" s="712"/>
      <c r="F725" s="712"/>
      <c r="G725" s="712"/>
      <c r="H725" s="712"/>
      <c r="I725" s="715">
        <v>730</v>
      </c>
      <c r="J725" s="715">
        <v>1350</v>
      </c>
      <c r="K725" s="715">
        <v>6551</v>
      </c>
      <c r="L725" s="715">
        <v>3000</v>
      </c>
      <c r="M725" s="712"/>
      <c r="N725" s="716">
        <v>3000</v>
      </c>
      <c r="O725" s="715">
        <v>9551</v>
      </c>
      <c r="P725" s="715">
        <v>28653</v>
      </c>
      <c r="Q725" s="715">
        <v>3</v>
      </c>
      <c r="R725" s="715">
        <v>4471</v>
      </c>
      <c r="S725" s="712"/>
      <c r="T725" s="712"/>
      <c r="U725" s="712"/>
      <c r="V725" s="712"/>
      <c r="W725" s="712"/>
      <c r="X725" s="715">
        <v>730</v>
      </c>
      <c r="Y725" s="715">
        <v>1350</v>
      </c>
      <c r="Z725" s="715">
        <v>6551</v>
      </c>
      <c r="AA725" s="715">
        <v>3000</v>
      </c>
      <c r="AB725" s="712"/>
      <c r="AC725" s="716">
        <v>3000</v>
      </c>
      <c r="AD725" s="715">
        <v>9551</v>
      </c>
      <c r="AE725" s="715">
        <v>28653</v>
      </c>
      <c r="AF725" s="715">
        <v>0</v>
      </c>
      <c r="AG725" s="715">
        <v>0</v>
      </c>
      <c r="AH725" s="715">
        <v>3</v>
      </c>
      <c r="AI725" s="715">
        <v>3</v>
      </c>
    </row>
    <row r="726" spans="1:35" x14ac:dyDescent="0.2">
      <c r="A726" s="714" t="s">
        <v>702</v>
      </c>
      <c r="B726" s="715">
        <v>2</v>
      </c>
      <c r="C726" s="715">
        <v>4158</v>
      </c>
      <c r="D726" s="712"/>
      <c r="E726" s="712"/>
      <c r="F726" s="712"/>
      <c r="G726" s="712"/>
      <c r="H726" s="712"/>
      <c r="I726" s="715">
        <v>730</v>
      </c>
      <c r="J726" s="715">
        <v>1350</v>
      </c>
      <c r="K726" s="715">
        <v>6238</v>
      </c>
      <c r="L726" s="715">
        <v>2000</v>
      </c>
      <c r="M726" s="712"/>
      <c r="N726" s="716">
        <v>2000</v>
      </c>
      <c r="O726" s="715">
        <v>8238</v>
      </c>
      <c r="P726" s="715">
        <v>16476</v>
      </c>
      <c r="Q726" s="715">
        <v>3</v>
      </c>
      <c r="R726" s="715">
        <v>4158</v>
      </c>
      <c r="S726" s="712"/>
      <c r="T726" s="712"/>
      <c r="U726" s="712"/>
      <c r="V726" s="712"/>
      <c r="W726" s="712"/>
      <c r="X726" s="715">
        <v>730</v>
      </c>
      <c r="Y726" s="715">
        <v>1350</v>
      </c>
      <c r="Z726" s="715">
        <v>6238</v>
      </c>
      <c r="AA726" s="715">
        <v>3000</v>
      </c>
      <c r="AB726" s="712"/>
      <c r="AC726" s="716">
        <v>3000</v>
      </c>
      <c r="AD726" s="715">
        <v>9238</v>
      </c>
      <c r="AE726" s="715">
        <v>27714</v>
      </c>
      <c r="AF726" s="715">
        <v>-1</v>
      </c>
      <c r="AG726" s="715">
        <v>-1</v>
      </c>
      <c r="AH726" s="715">
        <v>3</v>
      </c>
      <c r="AI726" s="715">
        <v>3</v>
      </c>
    </row>
    <row r="727" spans="1:35" x14ac:dyDescent="0.2">
      <c r="A727" s="714" t="s">
        <v>741</v>
      </c>
      <c r="B727" s="715">
        <v>2</v>
      </c>
      <c r="C727" s="715">
        <v>3900</v>
      </c>
      <c r="D727" s="712"/>
      <c r="E727" s="712"/>
      <c r="F727" s="712"/>
      <c r="G727" s="712"/>
      <c r="H727" s="712"/>
      <c r="I727" s="715">
        <v>730</v>
      </c>
      <c r="J727" s="715">
        <v>1350</v>
      </c>
      <c r="K727" s="715">
        <v>5980</v>
      </c>
      <c r="L727" s="715">
        <v>2000</v>
      </c>
      <c r="M727" s="712"/>
      <c r="N727" s="716">
        <v>2000</v>
      </c>
      <c r="O727" s="715">
        <v>7980</v>
      </c>
      <c r="P727" s="715">
        <v>15960</v>
      </c>
      <c r="Q727" s="715">
        <v>3</v>
      </c>
      <c r="R727" s="715">
        <v>3900</v>
      </c>
      <c r="S727" s="712"/>
      <c r="T727" s="712"/>
      <c r="U727" s="712"/>
      <c r="V727" s="712"/>
      <c r="W727" s="712"/>
      <c r="X727" s="715">
        <v>730</v>
      </c>
      <c r="Y727" s="715">
        <v>1350</v>
      </c>
      <c r="Z727" s="715">
        <v>5980</v>
      </c>
      <c r="AA727" s="715">
        <v>3000</v>
      </c>
      <c r="AB727" s="712"/>
      <c r="AC727" s="716">
        <v>3000</v>
      </c>
      <c r="AD727" s="715">
        <v>8980</v>
      </c>
      <c r="AE727" s="715">
        <v>26940</v>
      </c>
      <c r="AF727" s="715">
        <v>-1</v>
      </c>
      <c r="AG727" s="715">
        <v>-1</v>
      </c>
      <c r="AH727" s="715">
        <v>3</v>
      </c>
      <c r="AI727" s="715">
        <v>3</v>
      </c>
    </row>
    <row r="728" spans="1:35" x14ac:dyDescent="0.2">
      <c r="A728" s="714" t="s">
        <v>742</v>
      </c>
      <c r="B728" s="715">
        <v>9</v>
      </c>
      <c r="C728" s="715">
        <v>3660</v>
      </c>
      <c r="D728" s="712"/>
      <c r="E728" s="712"/>
      <c r="F728" s="712"/>
      <c r="G728" s="712"/>
      <c r="H728" s="712"/>
      <c r="I728" s="715">
        <v>730</v>
      </c>
      <c r="J728" s="715">
        <v>1350</v>
      </c>
      <c r="K728" s="715">
        <v>5740</v>
      </c>
      <c r="L728" s="715">
        <v>9000</v>
      </c>
      <c r="M728" s="712"/>
      <c r="N728" s="716">
        <v>9000</v>
      </c>
      <c r="O728" s="715">
        <v>14740</v>
      </c>
      <c r="P728" s="715">
        <v>132660</v>
      </c>
      <c r="Q728" s="715">
        <v>9</v>
      </c>
      <c r="R728" s="715">
        <v>3660</v>
      </c>
      <c r="S728" s="712"/>
      <c r="T728" s="712"/>
      <c r="U728" s="712"/>
      <c r="V728" s="712"/>
      <c r="W728" s="712"/>
      <c r="X728" s="715">
        <v>730</v>
      </c>
      <c r="Y728" s="715">
        <v>1350</v>
      </c>
      <c r="Z728" s="715">
        <v>5740</v>
      </c>
      <c r="AA728" s="715">
        <v>9000</v>
      </c>
      <c r="AB728" s="712"/>
      <c r="AC728" s="716">
        <v>9000</v>
      </c>
      <c r="AD728" s="715">
        <v>14740</v>
      </c>
      <c r="AE728" s="715">
        <v>132660</v>
      </c>
      <c r="AF728" s="715">
        <v>0</v>
      </c>
      <c r="AG728" s="715">
        <v>0</v>
      </c>
      <c r="AH728" s="715">
        <v>9</v>
      </c>
      <c r="AI728" s="715">
        <v>9</v>
      </c>
    </row>
    <row r="729" spans="1:35" x14ac:dyDescent="0.2">
      <c r="A729" s="714" t="s">
        <v>743</v>
      </c>
      <c r="B729" s="715">
        <v>43</v>
      </c>
      <c r="C729" s="715">
        <v>3344</v>
      </c>
      <c r="D729" s="712"/>
      <c r="E729" s="712"/>
      <c r="F729" s="712"/>
      <c r="G729" s="712"/>
      <c r="H729" s="712"/>
      <c r="I729" s="715">
        <v>730</v>
      </c>
      <c r="J729" s="715">
        <v>1350</v>
      </c>
      <c r="K729" s="715">
        <v>5424</v>
      </c>
      <c r="L729" s="715">
        <v>43000</v>
      </c>
      <c r="M729" s="712"/>
      <c r="N729" s="716">
        <v>43000</v>
      </c>
      <c r="O729" s="715">
        <v>48424</v>
      </c>
      <c r="P729" s="715">
        <v>2082232</v>
      </c>
      <c r="Q729" s="715">
        <v>44</v>
      </c>
      <c r="R729" s="715">
        <v>3344</v>
      </c>
      <c r="S729" s="712"/>
      <c r="T729" s="712"/>
      <c r="U729" s="712"/>
      <c r="V729" s="712"/>
      <c r="W729" s="712"/>
      <c r="X729" s="715">
        <v>730</v>
      </c>
      <c r="Y729" s="715">
        <v>1350</v>
      </c>
      <c r="Z729" s="715">
        <v>5424</v>
      </c>
      <c r="AA729" s="715">
        <v>44000</v>
      </c>
      <c r="AB729" s="712"/>
      <c r="AC729" s="716">
        <v>44000</v>
      </c>
      <c r="AD729" s="715">
        <v>49424</v>
      </c>
      <c r="AE729" s="715">
        <v>2174656</v>
      </c>
      <c r="AF729" s="715">
        <v>-1</v>
      </c>
      <c r="AG729" s="715">
        <v>-1</v>
      </c>
      <c r="AH729" s="715">
        <v>44</v>
      </c>
      <c r="AI729" s="715">
        <v>44</v>
      </c>
    </row>
    <row r="730" spans="1:35" x14ac:dyDescent="0.2">
      <c r="A730" s="713" t="s">
        <v>740</v>
      </c>
      <c r="B730" s="545">
        <v>13</v>
      </c>
      <c r="C730" s="545">
        <v>11475</v>
      </c>
      <c r="D730" s="545">
        <v>0</v>
      </c>
      <c r="E730" s="545">
        <v>0</v>
      </c>
      <c r="F730" s="545">
        <v>0</v>
      </c>
      <c r="G730" s="545">
        <v>0</v>
      </c>
      <c r="H730" s="545">
        <v>0</v>
      </c>
      <c r="I730" s="545">
        <v>2190</v>
      </c>
      <c r="J730" s="545">
        <v>1350</v>
      </c>
      <c r="K730" s="545">
        <v>15015</v>
      </c>
      <c r="L730" s="545">
        <v>13000</v>
      </c>
      <c r="M730" s="545">
        <v>0</v>
      </c>
      <c r="N730" s="545">
        <v>13000</v>
      </c>
      <c r="O730" s="545">
        <v>28015</v>
      </c>
      <c r="P730" s="545">
        <v>178755</v>
      </c>
      <c r="Q730" s="545">
        <v>14</v>
      </c>
      <c r="R730" s="545">
        <v>11475</v>
      </c>
      <c r="S730" s="545">
        <v>0</v>
      </c>
      <c r="T730" s="545">
        <v>0</v>
      </c>
      <c r="U730" s="545">
        <v>0</v>
      </c>
      <c r="V730" s="545">
        <v>0</v>
      </c>
      <c r="W730" s="545">
        <v>0</v>
      </c>
      <c r="X730" s="545">
        <v>2190</v>
      </c>
      <c r="Y730" s="545">
        <v>1350</v>
      </c>
      <c r="Z730" s="545">
        <v>15015</v>
      </c>
      <c r="AA730" s="545">
        <v>14000</v>
      </c>
      <c r="AB730" s="545">
        <v>0</v>
      </c>
      <c r="AC730" s="545">
        <v>14000</v>
      </c>
      <c r="AD730" s="545">
        <v>29015</v>
      </c>
      <c r="AE730" s="545">
        <v>187495</v>
      </c>
      <c r="AF730" s="545">
        <v>-1</v>
      </c>
      <c r="AG730" s="545">
        <v>-1</v>
      </c>
      <c r="AH730" s="545">
        <v>14</v>
      </c>
      <c r="AI730" s="545">
        <v>14</v>
      </c>
    </row>
    <row r="731" spans="1:35" x14ac:dyDescent="0.2">
      <c r="A731" s="714" t="s">
        <v>746</v>
      </c>
      <c r="B731" s="712"/>
      <c r="C731" s="712"/>
      <c r="D731" s="712"/>
      <c r="E731" s="712"/>
      <c r="F731" s="712"/>
      <c r="G731" s="712"/>
      <c r="H731" s="712"/>
      <c r="I731" s="712"/>
      <c r="J731" s="712"/>
      <c r="K731" s="715">
        <v>0</v>
      </c>
      <c r="L731" s="715">
        <v>0</v>
      </c>
      <c r="M731" s="712"/>
      <c r="N731" s="716">
        <v>0</v>
      </c>
      <c r="O731" s="715">
        <v>0</v>
      </c>
      <c r="P731" s="715">
        <v>0</v>
      </c>
      <c r="Q731" s="712"/>
      <c r="R731" s="712"/>
      <c r="S731" s="712"/>
      <c r="T731" s="712"/>
      <c r="U731" s="712"/>
      <c r="V731" s="712"/>
      <c r="W731" s="712"/>
      <c r="X731" s="712"/>
      <c r="Y731" s="712"/>
      <c r="Z731" s="715">
        <v>0</v>
      </c>
      <c r="AA731" s="715">
        <v>0</v>
      </c>
      <c r="AB731" s="712"/>
      <c r="AC731" s="716">
        <v>0</v>
      </c>
      <c r="AD731" s="715">
        <v>0</v>
      </c>
      <c r="AE731" s="715">
        <v>0</v>
      </c>
      <c r="AF731" s="715">
        <v>0</v>
      </c>
      <c r="AG731" s="715">
        <v>0</v>
      </c>
      <c r="AH731" s="712"/>
      <c r="AI731" s="712"/>
    </row>
    <row r="732" spans="1:35" x14ac:dyDescent="0.2">
      <c r="A732" s="714" t="s">
        <v>747</v>
      </c>
      <c r="B732" s="712"/>
      <c r="C732" s="712"/>
      <c r="D732" s="712"/>
      <c r="E732" s="712"/>
      <c r="F732" s="712"/>
      <c r="G732" s="712"/>
      <c r="H732" s="712"/>
      <c r="I732" s="712"/>
      <c r="J732" s="712"/>
      <c r="K732" s="715">
        <v>0</v>
      </c>
      <c r="L732" s="715">
        <v>0</v>
      </c>
      <c r="M732" s="712"/>
      <c r="N732" s="716">
        <v>0</v>
      </c>
      <c r="O732" s="715">
        <v>0</v>
      </c>
      <c r="P732" s="715">
        <v>0</v>
      </c>
      <c r="Q732" s="712"/>
      <c r="R732" s="712"/>
      <c r="S732" s="712"/>
      <c r="T732" s="712"/>
      <c r="U732" s="712"/>
      <c r="V732" s="712"/>
      <c r="W732" s="712"/>
      <c r="X732" s="712"/>
      <c r="Y732" s="712"/>
      <c r="Z732" s="715">
        <v>0</v>
      </c>
      <c r="AA732" s="715">
        <v>0</v>
      </c>
      <c r="AB732" s="712"/>
      <c r="AC732" s="716">
        <v>0</v>
      </c>
      <c r="AD732" s="715">
        <v>0</v>
      </c>
      <c r="AE732" s="715">
        <v>0</v>
      </c>
      <c r="AF732" s="715">
        <v>0</v>
      </c>
      <c r="AG732" s="715">
        <v>0</v>
      </c>
      <c r="AH732" s="712"/>
      <c r="AI732" s="712"/>
    </row>
    <row r="733" spans="1:35" x14ac:dyDescent="0.2">
      <c r="A733" s="714" t="s">
        <v>748</v>
      </c>
      <c r="B733" s="712"/>
      <c r="C733" s="712"/>
      <c r="D733" s="712"/>
      <c r="E733" s="712"/>
      <c r="F733" s="712"/>
      <c r="G733" s="712"/>
      <c r="H733" s="712"/>
      <c r="I733" s="712"/>
      <c r="J733" s="712"/>
      <c r="K733" s="715">
        <v>0</v>
      </c>
      <c r="L733" s="715">
        <v>0</v>
      </c>
      <c r="M733" s="712"/>
      <c r="N733" s="716">
        <v>0</v>
      </c>
      <c r="O733" s="715">
        <v>0</v>
      </c>
      <c r="P733" s="715">
        <v>0</v>
      </c>
      <c r="Q733" s="712"/>
      <c r="R733" s="712"/>
      <c r="S733" s="712"/>
      <c r="T733" s="712"/>
      <c r="U733" s="712"/>
      <c r="V733" s="712"/>
      <c r="W733" s="712"/>
      <c r="X733" s="712"/>
      <c r="Y733" s="712"/>
      <c r="Z733" s="715">
        <v>0</v>
      </c>
      <c r="AA733" s="715">
        <v>0</v>
      </c>
      <c r="AB733" s="712"/>
      <c r="AC733" s="716">
        <v>0</v>
      </c>
      <c r="AD733" s="715">
        <v>0</v>
      </c>
      <c r="AE733" s="715">
        <v>0</v>
      </c>
      <c r="AF733" s="715">
        <v>0</v>
      </c>
      <c r="AG733" s="715">
        <v>0</v>
      </c>
      <c r="AH733" s="712"/>
      <c r="AI733" s="712"/>
    </row>
    <row r="734" spans="1:35" x14ac:dyDescent="0.2">
      <c r="A734" s="714" t="s">
        <v>701</v>
      </c>
      <c r="B734" s="715">
        <v>1</v>
      </c>
      <c r="C734" s="715">
        <v>4471</v>
      </c>
      <c r="D734" s="712"/>
      <c r="E734" s="712"/>
      <c r="F734" s="712"/>
      <c r="G734" s="712"/>
      <c r="H734" s="712"/>
      <c r="I734" s="715">
        <v>730</v>
      </c>
      <c r="J734" s="712"/>
      <c r="K734" s="715">
        <v>5201</v>
      </c>
      <c r="L734" s="715">
        <v>1000</v>
      </c>
      <c r="M734" s="712"/>
      <c r="N734" s="716">
        <v>1000</v>
      </c>
      <c r="O734" s="715">
        <v>6201</v>
      </c>
      <c r="P734" s="715">
        <v>6201</v>
      </c>
      <c r="Q734" s="715">
        <v>1</v>
      </c>
      <c r="R734" s="715">
        <v>4471</v>
      </c>
      <c r="S734" s="712"/>
      <c r="T734" s="712"/>
      <c r="U734" s="712"/>
      <c r="V734" s="712"/>
      <c r="W734" s="712"/>
      <c r="X734" s="715">
        <v>730</v>
      </c>
      <c r="Y734" s="712"/>
      <c r="Z734" s="715">
        <v>5201</v>
      </c>
      <c r="AA734" s="715">
        <v>1000</v>
      </c>
      <c r="AB734" s="712"/>
      <c r="AC734" s="716">
        <v>1000</v>
      </c>
      <c r="AD734" s="715">
        <v>6201</v>
      </c>
      <c r="AE734" s="715">
        <v>6201</v>
      </c>
      <c r="AF734" s="715">
        <v>0</v>
      </c>
      <c r="AG734" s="715">
        <v>0</v>
      </c>
      <c r="AH734" s="715">
        <v>1</v>
      </c>
      <c r="AI734" s="715">
        <v>1</v>
      </c>
    </row>
    <row r="735" spans="1:35" x14ac:dyDescent="0.2">
      <c r="A735" s="714" t="s">
        <v>702</v>
      </c>
      <c r="B735" s="712"/>
      <c r="C735" s="712"/>
      <c r="D735" s="712"/>
      <c r="E735" s="712"/>
      <c r="F735" s="712"/>
      <c r="G735" s="712"/>
      <c r="H735" s="712"/>
      <c r="I735" s="712"/>
      <c r="J735" s="712"/>
      <c r="K735" s="715">
        <v>0</v>
      </c>
      <c r="L735" s="715">
        <v>0</v>
      </c>
      <c r="M735" s="712"/>
      <c r="N735" s="716">
        <v>0</v>
      </c>
      <c r="O735" s="715">
        <v>0</v>
      </c>
      <c r="P735" s="715">
        <v>0</v>
      </c>
      <c r="Q735" s="712"/>
      <c r="R735" s="712"/>
      <c r="S735" s="712"/>
      <c r="T735" s="712"/>
      <c r="U735" s="712"/>
      <c r="V735" s="712"/>
      <c r="W735" s="712"/>
      <c r="X735" s="712"/>
      <c r="Y735" s="712"/>
      <c r="Z735" s="715">
        <v>0</v>
      </c>
      <c r="AA735" s="715">
        <v>0</v>
      </c>
      <c r="AB735" s="712"/>
      <c r="AC735" s="716">
        <v>0</v>
      </c>
      <c r="AD735" s="715">
        <v>0</v>
      </c>
      <c r="AE735" s="715">
        <v>0</v>
      </c>
      <c r="AF735" s="715">
        <v>0</v>
      </c>
      <c r="AG735" s="715">
        <v>0</v>
      </c>
      <c r="AH735" s="712"/>
      <c r="AI735" s="712"/>
    </row>
    <row r="736" spans="1:35" x14ac:dyDescent="0.2">
      <c r="A736" s="714" t="s">
        <v>741</v>
      </c>
      <c r="B736" s="712"/>
      <c r="C736" s="712"/>
      <c r="D736" s="712"/>
      <c r="E736" s="712"/>
      <c r="F736" s="712"/>
      <c r="G736" s="712"/>
      <c r="H736" s="712"/>
      <c r="I736" s="712"/>
      <c r="J736" s="712"/>
      <c r="K736" s="715">
        <v>0</v>
      </c>
      <c r="L736" s="715">
        <v>0</v>
      </c>
      <c r="M736" s="712"/>
      <c r="N736" s="716">
        <v>0</v>
      </c>
      <c r="O736" s="715">
        <v>0</v>
      </c>
      <c r="P736" s="715">
        <v>0</v>
      </c>
      <c r="Q736" s="712"/>
      <c r="R736" s="712"/>
      <c r="S736" s="712"/>
      <c r="T736" s="712"/>
      <c r="U736" s="712"/>
      <c r="V736" s="712"/>
      <c r="W736" s="712"/>
      <c r="X736" s="712"/>
      <c r="Y736" s="712"/>
      <c r="Z736" s="715">
        <v>0</v>
      </c>
      <c r="AA736" s="715">
        <v>0</v>
      </c>
      <c r="AB736" s="712"/>
      <c r="AC736" s="716">
        <v>0</v>
      </c>
      <c r="AD736" s="715">
        <v>0</v>
      </c>
      <c r="AE736" s="715">
        <v>0</v>
      </c>
      <c r="AF736" s="715">
        <v>0</v>
      </c>
      <c r="AG736" s="715">
        <v>0</v>
      </c>
      <c r="AH736" s="712"/>
      <c r="AI736" s="712"/>
    </row>
    <row r="737" spans="1:35" x14ac:dyDescent="0.2">
      <c r="A737" s="714" t="s">
        <v>742</v>
      </c>
      <c r="B737" s="715">
        <v>1</v>
      </c>
      <c r="C737" s="715">
        <v>3660</v>
      </c>
      <c r="D737" s="712"/>
      <c r="E737" s="712"/>
      <c r="F737" s="712"/>
      <c r="G737" s="712"/>
      <c r="H737" s="712"/>
      <c r="I737" s="715">
        <v>730</v>
      </c>
      <c r="J737" s="715">
        <v>1350</v>
      </c>
      <c r="K737" s="715">
        <v>5740</v>
      </c>
      <c r="L737" s="715">
        <v>1000</v>
      </c>
      <c r="M737" s="712"/>
      <c r="N737" s="716">
        <v>1000</v>
      </c>
      <c r="O737" s="715">
        <v>6740</v>
      </c>
      <c r="P737" s="715">
        <v>6740</v>
      </c>
      <c r="Q737" s="715">
        <v>2</v>
      </c>
      <c r="R737" s="715">
        <v>3660</v>
      </c>
      <c r="S737" s="712"/>
      <c r="T737" s="712"/>
      <c r="U737" s="712"/>
      <c r="V737" s="712"/>
      <c r="W737" s="712"/>
      <c r="X737" s="715">
        <v>730</v>
      </c>
      <c r="Y737" s="715">
        <v>1350</v>
      </c>
      <c r="Z737" s="715">
        <v>5740</v>
      </c>
      <c r="AA737" s="715">
        <v>2000</v>
      </c>
      <c r="AB737" s="712"/>
      <c r="AC737" s="716">
        <v>2000</v>
      </c>
      <c r="AD737" s="715">
        <v>7740</v>
      </c>
      <c r="AE737" s="715">
        <v>15480</v>
      </c>
      <c r="AF737" s="715">
        <v>-1</v>
      </c>
      <c r="AG737" s="715">
        <v>-1</v>
      </c>
      <c r="AH737" s="715">
        <v>2</v>
      </c>
      <c r="AI737" s="715">
        <v>2</v>
      </c>
    </row>
    <row r="738" spans="1:35" x14ac:dyDescent="0.2">
      <c r="A738" s="714" t="s">
        <v>743</v>
      </c>
      <c r="B738" s="715">
        <v>11</v>
      </c>
      <c r="C738" s="715">
        <v>3344</v>
      </c>
      <c r="D738" s="712"/>
      <c r="E738" s="712"/>
      <c r="F738" s="712"/>
      <c r="G738" s="712"/>
      <c r="H738" s="712"/>
      <c r="I738" s="715">
        <v>730</v>
      </c>
      <c r="J738" s="712"/>
      <c r="K738" s="715">
        <v>4074</v>
      </c>
      <c r="L738" s="715">
        <v>11000</v>
      </c>
      <c r="M738" s="712"/>
      <c r="N738" s="716">
        <v>11000</v>
      </c>
      <c r="O738" s="715">
        <v>15074</v>
      </c>
      <c r="P738" s="715">
        <v>165814</v>
      </c>
      <c r="Q738" s="715">
        <v>11</v>
      </c>
      <c r="R738" s="715">
        <v>3344</v>
      </c>
      <c r="S738" s="712"/>
      <c r="T738" s="712"/>
      <c r="U738" s="712"/>
      <c r="V738" s="712"/>
      <c r="W738" s="712"/>
      <c r="X738" s="715">
        <v>730</v>
      </c>
      <c r="Y738" s="712"/>
      <c r="Z738" s="715">
        <v>4074</v>
      </c>
      <c r="AA738" s="715">
        <v>11000</v>
      </c>
      <c r="AB738" s="712"/>
      <c r="AC738" s="716">
        <v>11000</v>
      </c>
      <c r="AD738" s="715">
        <v>15074</v>
      </c>
      <c r="AE738" s="715">
        <v>165814</v>
      </c>
      <c r="AF738" s="715">
        <v>0</v>
      </c>
      <c r="AG738" s="715">
        <v>0</v>
      </c>
      <c r="AH738" s="715">
        <v>11</v>
      </c>
      <c r="AI738" s="715">
        <v>11</v>
      </c>
    </row>
    <row r="739" spans="1:35" x14ac:dyDescent="0.2">
      <c r="A739" s="713" t="s">
        <v>775</v>
      </c>
      <c r="B739" s="545">
        <v>11</v>
      </c>
      <c r="C739" s="545">
        <v>10904</v>
      </c>
      <c r="D739" s="545">
        <v>0</v>
      </c>
      <c r="E739" s="545">
        <v>0</v>
      </c>
      <c r="F739" s="545">
        <v>0</v>
      </c>
      <c r="G739" s="545">
        <v>0</v>
      </c>
      <c r="H739" s="545">
        <v>0</v>
      </c>
      <c r="I739" s="545">
        <v>1460</v>
      </c>
      <c r="J739" s="545">
        <v>2700</v>
      </c>
      <c r="K739" s="545">
        <v>15064</v>
      </c>
      <c r="L739" s="545">
        <v>11000</v>
      </c>
      <c r="M739" s="545">
        <v>0</v>
      </c>
      <c r="N739" s="545">
        <v>11000</v>
      </c>
      <c r="O739" s="545">
        <v>26064</v>
      </c>
      <c r="P739" s="545">
        <v>124816</v>
      </c>
      <c r="Q739" s="545">
        <v>12</v>
      </c>
      <c r="R739" s="545">
        <v>10904</v>
      </c>
      <c r="S739" s="545">
        <v>0</v>
      </c>
      <c r="T739" s="545">
        <v>0</v>
      </c>
      <c r="U739" s="545">
        <v>0</v>
      </c>
      <c r="V739" s="545">
        <v>0</v>
      </c>
      <c r="W739" s="545">
        <v>0</v>
      </c>
      <c r="X739" s="545">
        <v>1460</v>
      </c>
      <c r="Y739" s="545">
        <v>2700</v>
      </c>
      <c r="Z739" s="545">
        <v>15064</v>
      </c>
      <c r="AA739" s="545">
        <v>12000</v>
      </c>
      <c r="AB739" s="545">
        <v>0</v>
      </c>
      <c r="AC739" s="545">
        <v>12000</v>
      </c>
      <c r="AD739" s="545">
        <v>27064</v>
      </c>
      <c r="AE739" s="545">
        <v>133556</v>
      </c>
      <c r="AF739" s="545">
        <v>-1</v>
      </c>
      <c r="AG739" s="545">
        <v>-1</v>
      </c>
      <c r="AH739" s="545">
        <v>12</v>
      </c>
      <c r="AI739" s="545">
        <v>12</v>
      </c>
    </row>
    <row r="740" spans="1:35" x14ac:dyDescent="0.2">
      <c r="A740" s="714" t="s">
        <v>746</v>
      </c>
      <c r="B740" s="712"/>
      <c r="C740" s="712"/>
      <c r="D740" s="712"/>
      <c r="E740" s="712"/>
      <c r="F740" s="712"/>
      <c r="G740" s="712"/>
      <c r="H740" s="712"/>
      <c r="I740" s="712"/>
      <c r="J740" s="712"/>
      <c r="K740" s="715">
        <v>0</v>
      </c>
      <c r="L740" s="715">
        <v>0</v>
      </c>
      <c r="M740" s="712"/>
      <c r="N740" s="716">
        <v>0</v>
      </c>
      <c r="O740" s="715">
        <v>0</v>
      </c>
      <c r="P740" s="715">
        <v>0</v>
      </c>
      <c r="Q740" s="712"/>
      <c r="R740" s="712"/>
      <c r="S740" s="712"/>
      <c r="T740" s="712"/>
      <c r="U740" s="712"/>
      <c r="V740" s="712"/>
      <c r="W740" s="712"/>
      <c r="X740" s="712"/>
      <c r="Y740" s="712"/>
      <c r="Z740" s="715">
        <v>0</v>
      </c>
      <c r="AA740" s="715">
        <v>0</v>
      </c>
      <c r="AB740" s="712"/>
      <c r="AC740" s="716">
        <v>0</v>
      </c>
      <c r="AD740" s="715">
        <v>0</v>
      </c>
      <c r="AE740" s="715">
        <v>0</v>
      </c>
      <c r="AF740" s="715">
        <v>0</v>
      </c>
      <c r="AG740" s="715">
        <v>0</v>
      </c>
      <c r="AH740" s="712"/>
      <c r="AI740" s="712"/>
    </row>
    <row r="741" spans="1:35" x14ac:dyDescent="0.2">
      <c r="A741" s="714" t="s">
        <v>747</v>
      </c>
      <c r="B741" s="712"/>
      <c r="C741" s="712"/>
      <c r="D741" s="712"/>
      <c r="E741" s="712"/>
      <c r="F741" s="712"/>
      <c r="G741" s="712"/>
      <c r="H741" s="712"/>
      <c r="I741" s="712"/>
      <c r="J741" s="712"/>
      <c r="K741" s="715">
        <v>0</v>
      </c>
      <c r="L741" s="715">
        <v>0</v>
      </c>
      <c r="M741" s="712"/>
      <c r="N741" s="716">
        <v>0</v>
      </c>
      <c r="O741" s="715">
        <v>0</v>
      </c>
      <c r="P741" s="715">
        <v>0</v>
      </c>
      <c r="Q741" s="712"/>
      <c r="R741" s="712"/>
      <c r="S741" s="712"/>
      <c r="T741" s="712"/>
      <c r="U741" s="712"/>
      <c r="V741" s="712"/>
      <c r="W741" s="712"/>
      <c r="X741" s="712"/>
      <c r="Y741" s="712"/>
      <c r="Z741" s="715">
        <v>0</v>
      </c>
      <c r="AA741" s="715">
        <v>0</v>
      </c>
      <c r="AB741" s="712"/>
      <c r="AC741" s="716">
        <v>0</v>
      </c>
      <c r="AD741" s="715">
        <v>0</v>
      </c>
      <c r="AE741" s="715">
        <v>0</v>
      </c>
      <c r="AF741" s="715">
        <v>0</v>
      </c>
      <c r="AG741" s="715">
        <v>0</v>
      </c>
      <c r="AH741" s="712"/>
      <c r="AI741" s="712"/>
    </row>
    <row r="742" spans="1:35" x14ac:dyDescent="0.2">
      <c r="A742" s="714" t="s">
        <v>748</v>
      </c>
      <c r="B742" s="712"/>
      <c r="C742" s="712"/>
      <c r="D742" s="712"/>
      <c r="E742" s="712"/>
      <c r="F742" s="712"/>
      <c r="G742" s="712"/>
      <c r="H742" s="712"/>
      <c r="I742" s="712"/>
      <c r="J742" s="712"/>
      <c r="K742" s="715">
        <v>0</v>
      </c>
      <c r="L742" s="715">
        <v>0</v>
      </c>
      <c r="M742" s="712"/>
      <c r="N742" s="716">
        <v>0</v>
      </c>
      <c r="O742" s="715">
        <v>0</v>
      </c>
      <c r="P742" s="715">
        <v>0</v>
      </c>
      <c r="Q742" s="712"/>
      <c r="R742" s="712"/>
      <c r="S742" s="712"/>
      <c r="T742" s="712"/>
      <c r="U742" s="712"/>
      <c r="V742" s="712"/>
      <c r="W742" s="712"/>
      <c r="X742" s="712"/>
      <c r="Y742" s="712"/>
      <c r="Z742" s="715">
        <v>0</v>
      </c>
      <c r="AA742" s="715">
        <v>0</v>
      </c>
      <c r="AB742" s="712"/>
      <c r="AC742" s="716">
        <v>0</v>
      </c>
      <c r="AD742" s="715">
        <v>0</v>
      </c>
      <c r="AE742" s="715">
        <v>0</v>
      </c>
      <c r="AF742" s="715">
        <v>0</v>
      </c>
      <c r="AG742" s="715">
        <v>0</v>
      </c>
      <c r="AH742" s="712"/>
      <c r="AI742" s="712"/>
    </row>
    <row r="743" spans="1:35" x14ac:dyDescent="0.2">
      <c r="A743" s="714" t="s">
        <v>701</v>
      </c>
      <c r="B743" s="715">
        <v>1</v>
      </c>
      <c r="C743" s="715">
        <v>3900</v>
      </c>
      <c r="D743" s="712"/>
      <c r="E743" s="712"/>
      <c r="F743" s="712"/>
      <c r="G743" s="712"/>
      <c r="H743" s="712"/>
      <c r="I743" s="715">
        <v>730</v>
      </c>
      <c r="J743" s="715">
        <v>1350</v>
      </c>
      <c r="K743" s="715">
        <v>5980</v>
      </c>
      <c r="L743" s="715">
        <v>1000</v>
      </c>
      <c r="M743" s="712"/>
      <c r="N743" s="716">
        <v>1000</v>
      </c>
      <c r="O743" s="715">
        <v>6980</v>
      </c>
      <c r="P743" s="715">
        <v>6980</v>
      </c>
      <c r="Q743" s="715">
        <v>1</v>
      </c>
      <c r="R743" s="715">
        <v>3900</v>
      </c>
      <c r="S743" s="712"/>
      <c r="T743" s="712"/>
      <c r="U743" s="712"/>
      <c r="V743" s="712"/>
      <c r="W743" s="712"/>
      <c r="X743" s="715">
        <v>730</v>
      </c>
      <c r="Y743" s="715">
        <v>1350</v>
      </c>
      <c r="Z743" s="715">
        <v>5980</v>
      </c>
      <c r="AA743" s="715">
        <v>1000</v>
      </c>
      <c r="AB743" s="712"/>
      <c r="AC743" s="716">
        <v>1000</v>
      </c>
      <c r="AD743" s="715">
        <v>6980</v>
      </c>
      <c r="AE743" s="715">
        <v>6980</v>
      </c>
      <c r="AF743" s="715">
        <v>0</v>
      </c>
      <c r="AG743" s="715">
        <v>0</v>
      </c>
      <c r="AH743" s="715">
        <v>1</v>
      </c>
      <c r="AI743" s="715">
        <v>1</v>
      </c>
    </row>
    <row r="744" spans="1:35" x14ac:dyDescent="0.2">
      <c r="A744" s="714" t="s">
        <v>702</v>
      </c>
      <c r="B744" s="715">
        <v>1</v>
      </c>
      <c r="C744" s="715">
        <v>3660</v>
      </c>
      <c r="D744" s="712"/>
      <c r="E744" s="712"/>
      <c r="F744" s="712"/>
      <c r="G744" s="712"/>
      <c r="H744" s="712"/>
      <c r="I744" s="715">
        <v>730</v>
      </c>
      <c r="J744" s="715">
        <v>1350</v>
      </c>
      <c r="K744" s="715">
        <v>5740</v>
      </c>
      <c r="L744" s="715">
        <v>1000</v>
      </c>
      <c r="M744" s="712"/>
      <c r="N744" s="716">
        <v>1000</v>
      </c>
      <c r="O744" s="715">
        <v>6740</v>
      </c>
      <c r="P744" s="715">
        <v>6740</v>
      </c>
      <c r="Q744" s="715">
        <v>2</v>
      </c>
      <c r="R744" s="715">
        <v>3660</v>
      </c>
      <c r="S744" s="712"/>
      <c r="T744" s="712"/>
      <c r="U744" s="712"/>
      <c r="V744" s="712"/>
      <c r="W744" s="712"/>
      <c r="X744" s="715">
        <v>730</v>
      </c>
      <c r="Y744" s="715">
        <v>1350</v>
      </c>
      <c r="Z744" s="715">
        <v>5740</v>
      </c>
      <c r="AA744" s="715">
        <v>2000</v>
      </c>
      <c r="AB744" s="712"/>
      <c r="AC744" s="716">
        <v>2000</v>
      </c>
      <c r="AD744" s="715">
        <v>7740</v>
      </c>
      <c r="AE744" s="715">
        <v>15480</v>
      </c>
      <c r="AF744" s="715">
        <v>-1</v>
      </c>
      <c r="AG744" s="715">
        <v>-1</v>
      </c>
      <c r="AH744" s="715">
        <v>2</v>
      </c>
      <c r="AI744" s="715">
        <v>2</v>
      </c>
    </row>
    <row r="745" spans="1:35" x14ac:dyDescent="0.2">
      <c r="A745" s="714" t="s">
        <v>741</v>
      </c>
      <c r="B745" s="712"/>
      <c r="C745" s="712"/>
      <c r="D745" s="712"/>
      <c r="E745" s="712"/>
      <c r="F745" s="712"/>
      <c r="G745" s="712"/>
      <c r="H745" s="712"/>
      <c r="I745" s="712"/>
      <c r="J745" s="712"/>
      <c r="K745" s="715">
        <v>0</v>
      </c>
      <c r="L745" s="715">
        <v>0</v>
      </c>
      <c r="M745" s="712"/>
      <c r="N745" s="716">
        <v>0</v>
      </c>
      <c r="O745" s="715">
        <v>0</v>
      </c>
      <c r="P745" s="715">
        <v>0</v>
      </c>
      <c r="Q745" s="712"/>
      <c r="R745" s="712"/>
      <c r="S745" s="712"/>
      <c r="T745" s="712"/>
      <c r="U745" s="712"/>
      <c r="V745" s="712"/>
      <c r="W745" s="712"/>
      <c r="X745" s="712"/>
      <c r="Y745" s="712"/>
      <c r="Z745" s="715">
        <v>0</v>
      </c>
      <c r="AA745" s="715">
        <v>0</v>
      </c>
      <c r="AB745" s="712"/>
      <c r="AC745" s="716">
        <v>0</v>
      </c>
      <c r="AD745" s="715">
        <v>0</v>
      </c>
      <c r="AE745" s="715">
        <v>0</v>
      </c>
      <c r="AF745" s="715">
        <v>0</v>
      </c>
      <c r="AG745" s="715">
        <v>0</v>
      </c>
      <c r="AH745" s="712"/>
      <c r="AI745" s="712"/>
    </row>
    <row r="746" spans="1:35" x14ac:dyDescent="0.2">
      <c r="A746" s="714" t="s">
        <v>742</v>
      </c>
      <c r="B746" s="712"/>
      <c r="C746" s="712"/>
      <c r="D746" s="712"/>
      <c r="E746" s="712"/>
      <c r="F746" s="712"/>
      <c r="G746" s="712"/>
      <c r="H746" s="712"/>
      <c r="I746" s="712"/>
      <c r="J746" s="712"/>
      <c r="K746" s="715">
        <v>0</v>
      </c>
      <c r="L746" s="715">
        <v>0</v>
      </c>
      <c r="M746" s="712"/>
      <c r="N746" s="716">
        <v>0</v>
      </c>
      <c r="O746" s="715">
        <v>0</v>
      </c>
      <c r="P746" s="715">
        <v>0</v>
      </c>
      <c r="Q746" s="712"/>
      <c r="R746" s="712"/>
      <c r="S746" s="712"/>
      <c r="T746" s="712"/>
      <c r="U746" s="712"/>
      <c r="V746" s="712"/>
      <c r="W746" s="712"/>
      <c r="X746" s="712"/>
      <c r="Y746" s="712"/>
      <c r="Z746" s="715">
        <v>0</v>
      </c>
      <c r="AA746" s="715">
        <v>0</v>
      </c>
      <c r="AB746" s="712"/>
      <c r="AC746" s="716">
        <v>0</v>
      </c>
      <c r="AD746" s="715">
        <v>0</v>
      </c>
      <c r="AE746" s="715">
        <v>0</v>
      </c>
      <c r="AF746" s="715">
        <v>0</v>
      </c>
      <c r="AG746" s="715">
        <v>0</v>
      </c>
      <c r="AH746" s="712"/>
      <c r="AI746" s="712"/>
    </row>
    <row r="747" spans="1:35" x14ac:dyDescent="0.2">
      <c r="A747" s="714" t="s">
        <v>743</v>
      </c>
      <c r="B747" s="715">
        <v>9</v>
      </c>
      <c r="C747" s="715">
        <v>3344</v>
      </c>
      <c r="D747" s="712"/>
      <c r="E747" s="712"/>
      <c r="F747" s="712"/>
      <c r="G747" s="712"/>
      <c r="H747" s="712"/>
      <c r="I747" s="712"/>
      <c r="J747" s="712"/>
      <c r="K747" s="715">
        <v>3344</v>
      </c>
      <c r="L747" s="715">
        <v>9000</v>
      </c>
      <c r="M747" s="712"/>
      <c r="N747" s="716">
        <v>9000</v>
      </c>
      <c r="O747" s="715">
        <v>12344</v>
      </c>
      <c r="P747" s="715">
        <v>111096</v>
      </c>
      <c r="Q747" s="715">
        <v>9</v>
      </c>
      <c r="R747" s="715">
        <v>3344</v>
      </c>
      <c r="S747" s="712"/>
      <c r="T747" s="712"/>
      <c r="U747" s="712"/>
      <c r="V747" s="712"/>
      <c r="W747" s="712"/>
      <c r="X747" s="712"/>
      <c r="Y747" s="712"/>
      <c r="Z747" s="715">
        <v>3344</v>
      </c>
      <c r="AA747" s="715">
        <v>9000</v>
      </c>
      <c r="AB747" s="712"/>
      <c r="AC747" s="716">
        <v>9000</v>
      </c>
      <c r="AD747" s="715">
        <v>12344</v>
      </c>
      <c r="AE747" s="715">
        <v>111096</v>
      </c>
      <c r="AF747" s="715">
        <v>0</v>
      </c>
      <c r="AG747" s="715">
        <v>0</v>
      </c>
      <c r="AH747" s="715">
        <v>9</v>
      </c>
      <c r="AI747" s="715">
        <v>9</v>
      </c>
    </row>
    <row r="748" spans="1:35" x14ac:dyDescent="0.2">
      <c r="A748" s="713" t="s">
        <v>808</v>
      </c>
      <c r="B748" s="715">
        <v>1</v>
      </c>
      <c r="C748" s="715">
        <v>2257</v>
      </c>
      <c r="D748" s="715">
        <v>0</v>
      </c>
      <c r="E748" s="715">
        <v>0</v>
      </c>
      <c r="F748" s="715">
        <v>0</v>
      </c>
      <c r="G748" s="715">
        <v>0</v>
      </c>
      <c r="H748" s="715">
        <v>0</v>
      </c>
      <c r="I748" s="715">
        <v>158</v>
      </c>
      <c r="J748" s="715">
        <v>0</v>
      </c>
      <c r="K748" s="715">
        <v>2415</v>
      </c>
      <c r="L748" s="715">
        <v>1000</v>
      </c>
      <c r="M748" s="715">
        <v>0</v>
      </c>
      <c r="N748" s="715">
        <v>1000</v>
      </c>
      <c r="O748" s="715">
        <v>3415</v>
      </c>
      <c r="P748" s="716">
        <v>3415</v>
      </c>
      <c r="Q748" s="715">
        <v>1</v>
      </c>
      <c r="R748" s="715">
        <v>2257</v>
      </c>
      <c r="S748" s="715">
        <v>0</v>
      </c>
      <c r="T748" s="715">
        <v>0</v>
      </c>
      <c r="U748" s="715">
        <v>0</v>
      </c>
      <c r="V748" s="715">
        <v>0</v>
      </c>
      <c r="W748" s="715">
        <v>0</v>
      </c>
      <c r="X748" s="715">
        <v>158</v>
      </c>
      <c r="Y748" s="715">
        <v>0</v>
      </c>
      <c r="Z748" s="715">
        <v>2415</v>
      </c>
      <c r="AA748" s="715">
        <v>1000</v>
      </c>
      <c r="AB748" s="715">
        <v>0</v>
      </c>
      <c r="AC748" s="715">
        <v>1000</v>
      </c>
      <c r="AD748" s="715">
        <v>3415</v>
      </c>
      <c r="AE748" s="715">
        <v>3415</v>
      </c>
      <c r="AF748" s="715">
        <v>0</v>
      </c>
      <c r="AG748" s="715">
        <v>0</v>
      </c>
      <c r="AH748" s="715">
        <v>1</v>
      </c>
      <c r="AI748" s="715">
        <v>1</v>
      </c>
    </row>
    <row r="749" spans="1:35" x14ac:dyDescent="0.2">
      <c r="A749" s="714" t="s">
        <v>701</v>
      </c>
      <c r="B749" s="712"/>
      <c r="C749" s="712"/>
      <c r="D749" s="712"/>
      <c r="E749" s="712"/>
      <c r="F749" s="712"/>
      <c r="G749" s="712"/>
      <c r="H749" s="712"/>
      <c r="I749" s="712"/>
      <c r="J749" s="712"/>
      <c r="K749" s="715">
        <v>0</v>
      </c>
      <c r="L749" s="715">
        <v>0</v>
      </c>
      <c r="M749" s="712"/>
      <c r="N749" s="716">
        <v>0</v>
      </c>
      <c r="O749" s="715">
        <v>0</v>
      </c>
      <c r="P749" s="715">
        <v>0</v>
      </c>
      <c r="Q749" s="712"/>
      <c r="R749" s="712"/>
      <c r="S749" s="712"/>
      <c r="T749" s="712"/>
      <c r="U749" s="712"/>
      <c r="V749" s="712"/>
      <c r="W749" s="712"/>
      <c r="X749" s="712"/>
      <c r="Y749" s="712"/>
      <c r="Z749" s="715">
        <v>0</v>
      </c>
      <c r="AA749" s="715">
        <v>0</v>
      </c>
      <c r="AB749" s="712"/>
      <c r="AC749" s="716">
        <v>0</v>
      </c>
      <c r="AD749" s="715">
        <v>0</v>
      </c>
      <c r="AE749" s="715">
        <v>0</v>
      </c>
      <c r="AF749" s="715">
        <v>0</v>
      </c>
      <c r="AG749" s="715">
        <v>0</v>
      </c>
      <c r="AH749" s="712"/>
      <c r="AI749" s="712"/>
    </row>
    <row r="750" spans="1:35" x14ac:dyDescent="0.2">
      <c r="A750" s="714" t="s">
        <v>702</v>
      </c>
      <c r="B750" s="712"/>
      <c r="C750" s="712"/>
      <c r="D750" s="712"/>
      <c r="E750" s="712"/>
      <c r="F750" s="712"/>
      <c r="G750" s="712"/>
      <c r="H750" s="712"/>
      <c r="I750" s="712"/>
      <c r="J750" s="712"/>
      <c r="K750" s="715">
        <v>0</v>
      </c>
      <c r="L750" s="715">
        <v>0</v>
      </c>
      <c r="M750" s="712"/>
      <c r="N750" s="716">
        <v>0</v>
      </c>
      <c r="O750" s="715">
        <v>0</v>
      </c>
      <c r="P750" s="715">
        <v>0</v>
      </c>
      <c r="Q750" s="712"/>
      <c r="R750" s="712"/>
      <c r="S750" s="712"/>
      <c r="T750" s="712"/>
      <c r="U750" s="712"/>
      <c r="V750" s="712"/>
      <c r="W750" s="712"/>
      <c r="X750" s="712"/>
      <c r="Y750" s="712"/>
      <c r="Z750" s="715">
        <v>0</v>
      </c>
      <c r="AA750" s="715">
        <v>0</v>
      </c>
      <c r="AB750" s="712"/>
      <c r="AC750" s="716">
        <v>0</v>
      </c>
      <c r="AD750" s="715">
        <v>0</v>
      </c>
      <c r="AE750" s="715">
        <v>0</v>
      </c>
      <c r="AF750" s="715">
        <v>0</v>
      </c>
      <c r="AG750" s="715">
        <v>0</v>
      </c>
      <c r="AH750" s="712"/>
      <c r="AI750" s="712"/>
    </row>
    <row r="751" spans="1:35" x14ac:dyDescent="0.2">
      <c r="A751" s="714" t="s">
        <v>741</v>
      </c>
      <c r="B751" s="712"/>
      <c r="C751" s="712"/>
      <c r="D751" s="712"/>
      <c r="E751" s="712"/>
      <c r="F751" s="712"/>
      <c r="G751" s="712"/>
      <c r="H751" s="712"/>
      <c r="I751" s="712"/>
      <c r="J751" s="712"/>
      <c r="K751" s="715">
        <v>0</v>
      </c>
      <c r="L751" s="715">
        <v>0</v>
      </c>
      <c r="M751" s="712"/>
      <c r="N751" s="716">
        <v>0</v>
      </c>
      <c r="O751" s="715">
        <v>0</v>
      </c>
      <c r="P751" s="715">
        <v>0</v>
      </c>
      <c r="Q751" s="712"/>
      <c r="R751" s="712"/>
      <c r="S751" s="712"/>
      <c r="T751" s="712"/>
      <c r="U751" s="712"/>
      <c r="V751" s="712"/>
      <c r="W751" s="712"/>
      <c r="X751" s="712"/>
      <c r="Y751" s="712"/>
      <c r="Z751" s="715">
        <v>0</v>
      </c>
      <c r="AA751" s="715">
        <v>0</v>
      </c>
      <c r="AB751" s="712"/>
      <c r="AC751" s="716">
        <v>0</v>
      </c>
      <c r="AD751" s="715">
        <v>0</v>
      </c>
      <c r="AE751" s="715">
        <v>0</v>
      </c>
      <c r="AF751" s="715">
        <v>0</v>
      </c>
      <c r="AG751" s="715">
        <v>0</v>
      </c>
      <c r="AH751" s="712"/>
      <c r="AI751" s="712"/>
    </row>
    <row r="752" spans="1:35" x14ac:dyDescent="0.2">
      <c r="A752" s="714" t="s">
        <v>742</v>
      </c>
      <c r="B752" s="712"/>
      <c r="C752" s="712"/>
      <c r="D752" s="712"/>
      <c r="E752" s="712"/>
      <c r="F752" s="712"/>
      <c r="G752" s="712"/>
      <c r="H752" s="712"/>
      <c r="I752" s="712"/>
      <c r="J752" s="712"/>
      <c r="K752" s="715">
        <v>0</v>
      </c>
      <c r="L752" s="715">
        <v>0</v>
      </c>
      <c r="M752" s="712"/>
      <c r="N752" s="716">
        <v>0</v>
      </c>
      <c r="O752" s="715">
        <v>0</v>
      </c>
      <c r="P752" s="715">
        <v>0</v>
      </c>
      <c r="Q752" s="712"/>
      <c r="R752" s="712"/>
      <c r="S752" s="712"/>
      <c r="T752" s="712"/>
      <c r="U752" s="712"/>
      <c r="V752" s="712"/>
      <c r="W752" s="712"/>
      <c r="X752" s="712"/>
      <c r="Y752" s="712"/>
      <c r="Z752" s="715">
        <v>0</v>
      </c>
      <c r="AA752" s="715">
        <v>0</v>
      </c>
      <c r="AB752" s="712"/>
      <c r="AC752" s="716">
        <v>0</v>
      </c>
      <c r="AD752" s="715">
        <v>0</v>
      </c>
      <c r="AE752" s="715">
        <v>0</v>
      </c>
      <c r="AF752" s="715">
        <v>0</v>
      </c>
      <c r="AG752" s="715">
        <v>0</v>
      </c>
      <c r="AH752" s="712"/>
      <c r="AI752" s="712"/>
    </row>
    <row r="753" spans="1:35" x14ac:dyDescent="0.2">
      <c r="A753" s="714" t="s">
        <v>743</v>
      </c>
      <c r="B753" s="715">
        <v>1</v>
      </c>
      <c r="C753" s="715">
        <v>2257</v>
      </c>
      <c r="D753" s="712"/>
      <c r="E753" s="712"/>
      <c r="F753" s="712"/>
      <c r="G753" s="712"/>
      <c r="H753" s="712"/>
      <c r="I753" s="715">
        <v>158</v>
      </c>
      <c r="J753" s="712"/>
      <c r="K753" s="715">
        <v>2415</v>
      </c>
      <c r="L753" s="715">
        <v>1000</v>
      </c>
      <c r="M753" s="712"/>
      <c r="N753" s="716">
        <v>1000</v>
      </c>
      <c r="O753" s="715">
        <v>3415</v>
      </c>
      <c r="P753" s="715">
        <v>3415</v>
      </c>
      <c r="Q753" s="715">
        <v>1</v>
      </c>
      <c r="R753" s="715">
        <v>2257</v>
      </c>
      <c r="S753" s="712"/>
      <c r="T753" s="712"/>
      <c r="U753" s="712"/>
      <c r="V753" s="712"/>
      <c r="W753" s="712"/>
      <c r="X753" s="715">
        <v>158</v>
      </c>
      <c r="Y753" s="712"/>
      <c r="Z753" s="715">
        <v>2415</v>
      </c>
      <c r="AA753" s="715">
        <v>1000</v>
      </c>
      <c r="AB753" s="712"/>
      <c r="AC753" s="716">
        <v>1000</v>
      </c>
      <c r="AD753" s="715">
        <v>3415</v>
      </c>
      <c r="AE753" s="715">
        <v>3415</v>
      </c>
      <c r="AF753" s="715">
        <v>0</v>
      </c>
      <c r="AG753" s="715">
        <v>0</v>
      </c>
      <c r="AH753" s="715">
        <v>1</v>
      </c>
      <c r="AI753" s="715">
        <v>1</v>
      </c>
    </row>
    <row r="754" spans="1:35" x14ac:dyDescent="0.2">
      <c r="A754" s="717" t="s">
        <v>756</v>
      </c>
      <c r="B754" s="712"/>
      <c r="C754" s="712"/>
      <c r="D754" s="712"/>
      <c r="E754" s="712"/>
      <c r="F754" s="712"/>
      <c r="G754" s="712"/>
      <c r="H754" s="712"/>
      <c r="I754" s="712"/>
      <c r="J754" s="712"/>
      <c r="K754" s="715">
        <v>0</v>
      </c>
      <c r="L754" s="715">
        <v>0</v>
      </c>
      <c r="M754" s="712"/>
      <c r="N754" s="716">
        <v>0</v>
      </c>
      <c r="O754" s="715">
        <v>0</v>
      </c>
      <c r="P754" s="715">
        <v>0</v>
      </c>
      <c r="Q754" s="712"/>
      <c r="R754" s="712"/>
      <c r="S754" s="712"/>
      <c r="T754" s="712"/>
      <c r="U754" s="712"/>
      <c r="V754" s="712"/>
      <c r="W754" s="712"/>
      <c r="X754" s="712"/>
      <c r="Y754" s="712"/>
      <c r="Z754" s="715">
        <v>0</v>
      </c>
      <c r="AA754" s="715">
        <v>0</v>
      </c>
      <c r="AB754" s="712"/>
      <c r="AC754" s="716">
        <v>0</v>
      </c>
      <c r="AD754" s="715">
        <v>0</v>
      </c>
      <c r="AE754" s="715">
        <v>0</v>
      </c>
      <c r="AF754" s="715">
        <v>0</v>
      </c>
      <c r="AG754" s="715">
        <v>0</v>
      </c>
      <c r="AH754" s="712"/>
      <c r="AI754" s="712"/>
    </row>
    <row r="755" spans="1:35" x14ac:dyDescent="0.2">
      <c r="A755" s="717" t="s">
        <v>757</v>
      </c>
      <c r="B755" s="712"/>
      <c r="C755" s="712"/>
      <c r="D755" s="712"/>
      <c r="E755" s="712"/>
      <c r="F755" s="712"/>
      <c r="G755" s="712"/>
      <c r="H755" s="712"/>
      <c r="I755" s="712"/>
      <c r="J755" s="712"/>
      <c r="K755" s="715">
        <v>0</v>
      </c>
      <c r="L755" s="715">
        <v>0</v>
      </c>
      <c r="M755" s="712"/>
      <c r="N755" s="716">
        <v>0</v>
      </c>
      <c r="O755" s="715">
        <v>0</v>
      </c>
      <c r="P755" s="715">
        <v>0</v>
      </c>
      <c r="Q755" s="712"/>
      <c r="R755" s="712"/>
      <c r="S755" s="712"/>
      <c r="T755" s="712"/>
      <c r="U755" s="712"/>
      <c r="V755" s="712"/>
      <c r="W755" s="712"/>
      <c r="X755" s="712"/>
      <c r="Y755" s="712"/>
      <c r="Z755" s="715">
        <v>0</v>
      </c>
      <c r="AA755" s="715">
        <v>0</v>
      </c>
      <c r="AB755" s="712"/>
      <c r="AC755" s="716">
        <v>0</v>
      </c>
      <c r="AD755" s="715">
        <v>0</v>
      </c>
      <c r="AE755" s="715">
        <v>0</v>
      </c>
      <c r="AF755" s="715">
        <v>0</v>
      </c>
      <c r="AG755" s="715">
        <v>0</v>
      </c>
      <c r="AH755" s="712"/>
      <c r="AI755" s="712"/>
    </row>
    <row r="756" spans="1:35" x14ac:dyDescent="0.2">
      <c r="A756" s="717" t="s">
        <v>758</v>
      </c>
      <c r="B756" s="712"/>
      <c r="C756" s="712"/>
      <c r="D756" s="712"/>
      <c r="E756" s="712"/>
      <c r="F756" s="712"/>
      <c r="G756" s="712"/>
      <c r="H756" s="712"/>
      <c r="I756" s="712"/>
      <c r="J756" s="712"/>
      <c r="K756" s="715">
        <v>0</v>
      </c>
      <c r="L756" s="715">
        <v>0</v>
      </c>
      <c r="M756" s="712"/>
      <c r="N756" s="716">
        <v>0</v>
      </c>
      <c r="O756" s="715">
        <v>0</v>
      </c>
      <c r="P756" s="715">
        <v>0</v>
      </c>
      <c r="Q756" s="712"/>
      <c r="R756" s="712"/>
      <c r="S756" s="712"/>
      <c r="T756" s="712"/>
      <c r="U756" s="712"/>
      <c r="V756" s="712"/>
      <c r="W756" s="712"/>
      <c r="X756" s="712"/>
      <c r="Y756" s="712"/>
      <c r="Z756" s="715">
        <v>0</v>
      </c>
      <c r="AA756" s="715">
        <v>0</v>
      </c>
      <c r="AB756" s="712"/>
      <c r="AC756" s="716">
        <v>0</v>
      </c>
      <c r="AD756" s="715">
        <v>0</v>
      </c>
      <c r="AE756" s="715">
        <v>0</v>
      </c>
      <c r="AF756" s="715">
        <v>0</v>
      </c>
      <c r="AG756" s="715">
        <v>0</v>
      </c>
      <c r="AH756" s="712"/>
      <c r="AI756" s="712"/>
    </row>
    <row r="757" spans="1:35" x14ac:dyDescent="0.2">
      <c r="A757" s="717" t="s">
        <v>759</v>
      </c>
      <c r="B757" s="712"/>
      <c r="C757" s="712"/>
      <c r="D757" s="712"/>
      <c r="E757" s="712"/>
      <c r="F757" s="712"/>
      <c r="G757" s="712"/>
      <c r="H757" s="712"/>
      <c r="I757" s="712"/>
      <c r="J757" s="712"/>
      <c r="K757" s="715">
        <v>0</v>
      </c>
      <c r="L757" s="715">
        <v>0</v>
      </c>
      <c r="M757" s="712"/>
      <c r="N757" s="716">
        <v>0</v>
      </c>
      <c r="O757" s="715">
        <v>0</v>
      </c>
      <c r="P757" s="715">
        <v>0</v>
      </c>
      <c r="Q757" s="712"/>
      <c r="R757" s="712"/>
      <c r="S757" s="712"/>
      <c r="T757" s="712"/>
      <c r="U757" s="712"/>
      <c r="V757" s="712"/>
      <c r="W757" s="712"/>
      <c r="X757" s="712"/>
      <c r="Y757" s="712"/>
      <c r="Z757" s="715">
        <v>0</v>
      </c>
      <c r="AA757" s="715">
        <v>0</v>
      </c>
      <c r="AB757" s="712"/>
      <c r="AC757" s="716">
        <v>0</v>
      </c>
      <c r="AD757" s="715">
        <v>0</v>
      </c>
      <c r="AE757" s="715">
        <v>0</v>
      </c>
      <c r="AF757" s="715">
        <v>0</v>
      </c>
      <c r="AG757" s="715">
        <v>0</v>
      </c>
      <c r="AH757" s="712"/>
      <c r="AI757" s="712"/>
    </row>
    <row r="758" spans="1:35" x14ac:dyDescent="0.2">
      <c r="A758" s="713" t="s">
        <v>809</v>
      </c>
      <c r="B758" s="712"/>
      <c r="C758" s="712"/>
      <c r="D758" s="712"/>
      <c r="E758" s="712"/>
      <c r="F758" s="712"/>
      <c r="G758" s="712"/>
      <c r="H758" s="712"/>
      <c r="I758" s="712"/>
      <c r="J758" s="712"/>
      <c r="K758" s="715">
        <v>0</v>
      </c>
      <c r="L758" s="715">
        <v>0</v>
      </c>
      <c r="M758" s="712"/>
      <c r="N758" s="716">
        <v>0</v>
      </c>
      <c r="O758" s="715">
        <v>0</v>
      </c>
      <c r="P758" s="715">
        <v>0</v>
      </c>
      <c r="Q758" s="712"/>
      <c r="R758" s="712"/>
      <c r="S758" s="712"/>
      <c r="T758" s="712"/>
      <c r="U758" s="712"/>
      <c r="V758" s="712"/>
      <c r="W758" s="712"/>
      <c r="X758" s="712"/>
      <c r="Y758" s="712"/>
      <c r="Z758" s="715">
        <v>0</v>
      </c>
      <c r="AA758" s="715">
        <v>0</v>
      </c>
      <c r="AB758" s="712"/>
      <c r="AC758" s="716">
        <v>0</v>
      </c>
      <c r="AD758" s="715">
        <v>0</v>
      </c>
      <c r="AE758" s="715">
        <v>0</v>
      </c>
      <c r="AF758" s="715">
        <v>0</v>
      </c>
      <c r="AG758" s="715">
        <v>0</v>
      </c>
      <c r="AH758" s="712"/>
      <c r="AI758" s="712"/>
    </row>
    <row r="759" spans="1:35" x14ac:dyDescent="0.2">
      <c r="A759" s="714" t="s">
        <v>16</v>
      </c>
      <c r="B759" s="712"/>
      <c r="C759" s="712"/>
      <c r="D759" s="712"/>
      <c r="E759" s="712"/>
      <c r="F759" s="712"/>
      <c r="G759" s="712"/>
      <c r="H759" s="712"/>
      <c r="I759" s="712"/>
      <c r="J759" s="712"/>
      <c r="K759" s="715">
        <v>0</v>
      </c>
      <c r="L759" s="715">
        <v>0</v>
      </c>
      <c r="M759" s="712"/>
      <c r="N759" s="716">
        <v>0</v>
      </c>
      <c r="O759" s="715">
        <v>0</v>
      </c>
      <c r="P759" s="715">
        <v>0</v>
      </c>
      <c r="Q759" s="712"/>
      <c r="R759" s="712"/>
      <c r="S759" s="712"/>
      <c r="T759" s="712"/>
      <c r="U759" s="712"/>
      <c r="V759" s="712"/>
      <c r="W759" s="712"/>
      <c r="X759" s="712"/>
      <c r="Y759" s="712"/>
      <c r="Z759" s="715">
        <v>0</v>
      </c>
      <c r="AA759" s="715">
        <v>0</v>
      </c>
      <c r="AB759" s="712"/>
      <c r="AC759" s="716">
        <v>0</v>
      </c>
      <c r="AD759" s="715">
        <v>0</v>
      </c>
      <c r="AE759" s="715">
        <v>0</v>
      </c>
      <c r="AF759" s="715">
        <v>0</v>
      </c>
      <c r="AG759" s="715">
        <v>0</v>
      </c>
      <c r="AH759" s="712"/>
      <c r="AI759" s="712"/>
    </row>
    <row r="760" spans="1:35" x14ac:dyDescent="0.2">
      <c r="A760" s="713" t="s">
        <v>761</v>
      </c>
      <c r="B760" s="712"/>
      <c r="C760" s="712"/>
      <c r="D760" s="712"/>
      <c r="E760" s="712"/>
      <c r="F760" s="712"/>
      <c r="G760" s="712"/>
      <c r="H760" s="712"/>
      <c r="I760" s="712"/>
      <c r="J760" s="712"/>
      <c r="K760" s="715">
        <v>0</v>
      </c>
      <c r="L760" s="715">
        <v>0</v>
      </c>
      <c r="M760" s="712"/>
      <c r="N760" s="716">
        <v>0</v>
      </c>
      <c r="O760" s="715">
        <v>0</v>
      </c>
      <c r="P760" s="715">
        <v>0</v>
      </c>
      <c r="Q760" s="712"/>
      <c r="R760" s="712"/>
      <c r="S760" s="712"/>
      <c r="T760" s="712"/>
      <c r="U760" s="712"/>
      <c r="V760" s="712"/>
      <c r="W760" s="712"/>
      <c r="X760" s="712"/>
      <c r="Y760" s="712"/>
      <c r="Z760" s="715">
        <v>0</v>
      </c>
      <c r="AA760" s="715">
        <v>0</v>
      </c>
      <c r="AB760" s="712"/>
      <c r="AC760" s="716">
        <v>0</v>
      </c>
      <c r="AD760" s="715">
        <v>0</v>
      </c>
      <c r="AE760" s="715">
        <v>0</v>
      </c>
      <c r="AF760" s="715">
        <v>0</v>
      </c>
      <c r="AG760" s="715">
        <v>0</v>
      </c>
      <c r="AH760" s="712"/>
      <c r="AI760" s="712"/>
    </row>
    <row r="761" spans="1:35" x14ac:dyDescent="0.2">
      <c r="A761" s="717" t="s">
        <v>810</v>
      </c>
      <c r="B761" s="712"/>
      <c r="C761" s="712"/>
      <c r="D761" s="712"/>
      <c r="E761" s="712"/>
      <c r="F761" s="712"/>
      <c r="G761" s="712"/>
      <c r="H761" s="712"/>
      <c r="I761" s="712"/>
      <c r="J761" s="712"/>
      <c r="K761" s="715">
        <v>0</v>
      </c>
      <c r="L761" s="715">
        <v>0</v>
      </c>
      <c r="M761" s="712"/>
      <c r="N761" s="716">
        <v>0</v>
      </c>
      <c r="O761" s="715">
        <v>0</v>
      </c>
      <c r="P761" s="715">
        <v>0</v>
      </c>
      <c r="Q761" s="712"/>
      <c r="R761" s="712"/>
      <c r="S761" s="712"/>
      <c r="T761" s="712"/>
      <c r="U761" s="712"/>
      <c r="V761" s="712"/>
      <c r="W761" s="712"/>
      <c r="X761" s="712"/>
      <c r="Y761" s="712"/>
      <c r="Z761" s="715">
        <v>0</v>
      </c>
      <c r="AA761" s="715">
        <v>0</v>
      </c>
      <c r="AB761" s="712"/>
      <c r="AC761" s="716">
        <v>0</v>
      </c>
      <c r="AD761" s="715">
        <v>0</v>
      </c>
      <c r="AE761" s="715">
        <v>0</v>
      </c>
      <c r="AF761" s="715">
        <v>0</v>
      </c>
      <c r="AG761" s="715">
        <v>0</v>
      </c>
      <c r="AH761" s="712"/>
      <c r="AI761" s="712"/>
    </row>
    <row r="762" spans="1:35" x14ac:dyDescent="0.2">
      <c r="A762" s="718" t="s">
        <v>811</v>
      </c>
      <c r="B762" s="712"/>
      <c r="C762" s="712"/>
      <c r="D762" s="712"/>
      <c r="E762" s="712"/>
      <c r="F762" s="712"/>
      <c r="G762" s="712"/>
      <c r="H762" s="712"/>
      <c r="I762" s="712"/>
      <c r="J762" s="712"/>
      <c r="K762" s="715">
        <v>0</v>
      </c>
      <c r="L762" s="715">
        <v>0</v>
      </c>
      <c r="M762" s="712"/>
      <c r="N762" s="716">
        <v>0</v>
      </c>
      <c r="O762" s="715">
        <v>0</v>
      </c>
      <c r="P762" s="715">
        <v>0</v>
      </c>
      <c r="Q762" s="712"/>
      <c r="R762" s="712"/>
      <c r="S762" s="712"/>
      <c r="T762" s="712"/>
      <c r="U762" s="712"/>
      <c r="V762" s="712"/>
      <c r="W762" s="712"/>
      <c r="X762" s="712"/>
      <c r="Y762" s="712"/>
      <c r="Z762" s="715">
        <v>0</v>
      </c>
      <c r="AA762" s="715">
        <v>0</v>
      </c>
      <c r="AB762" s="712"/>
      <c r="AC762" s="716">
        <v>0</v>
      </c>
      <c r="AD762" s="715">
        <v>0</v>
      </c>
      <c r="AE762" s="715">
        <v>0</v>
      </c>
      <c r="AF762" s="715">
        <v>0</v>
      </c>
      <c r="AG762" s="715">
        <v>0</v>
      </c>
      <c r="AH762" s="712"/>
      <c r="AI762" s="712"/>
    </row>
    <row r="763" spans="1:35" x14ac:dyDescent="0.2">
      <c r="A763" s="717" t="s">
        <v>812</v>
      </c>
      <c r="B763" s="712"/>
      <c r="C763" s="712"/>
      <c r="D763" s="712"/>
      <c r="E763" s="712"/>
      <c r="F763" s="712"/>
      <c r="G763" s="712"/>
      <c r="H763" s="712"/>
      <c r="I763" s="712"/>
      <c r="J763" s="712"/>
      <c r="K763" s="715">
        <v>0</v>
      </c>
      <c r="L763" s="715">
        <v>0</v>
      </c>
      <c r="M763" s="712"/>
      <c r="N763" s="716">
        <v>0</v>
      </c>
      <c r="O763" s="715">
        <v>0</v>
      </c>
      <c r="P763" s="715">
        <v>0</v>
      </c>
      <c r="Q763" s="712"/>
      <c r="R763" s="712"/>
      <c r="S763" s="712"/>
      <c r="T763" s="712"/>
      <c r="U763" s="712"/>
      <c r="V763" s="712"/>
      <c r="W763" s="712"/>
      <c r="X763" s="712"/>
      <c r="Y763" s="712"/>
      <c r="Z763" s="715">
        <v>0</v>
      </c>
      <c r="AA763" s="715">
        <v>0</v>
      </c>
      <c r="AB763" s="712"/>
      <c r="AC763" s="716">
        <v>0</v>
      </c>
      <c r="AD763" s="715">
        <v>0</v>
      </c>
      <c r="AE763" s="715">
        <v>0</v>
      </c>
      <c r="AF763" s="715">
        <v>0</v>
      </c>
      <c r="AG763" s="715">
        <v>0</v>
      </c>
      <c r="AH763" s="712"/>
      <c r="AI763" s="712"/>
    </row>
    <row r="764" spans="1:35" x14ac:dyDescent="0.2">
      <c r="A764" s="713" t="s">
        <v>22</v>
      </c>
      <c r="B764" s="712"/>
      <c r="C764" s="712"/>
      <c r="D764" s="712"/>
      <c r="E764" s="712"/>
      <c r="F764" s="712"/>
      <c r="G764" s="712"/>
      <c r="H764" s="712"/>
      <c r="I764" s="712"/>
      <c r="J764" s="712"/>
      <c r="K764" s="715">
        <v>0</v>
      </c>
      <c r="L764" s="715">
        <v>0</v>
      </c>
      <c r="M764" s="712"/>
      <c r="N764" s="716">
        <v>0</v>
      </c>
      <c r="O764" s="715">
        <v>0</v>
      </c>
      <c r="P764" s="715">
        <v>0</v>
      </c>
      <c r="Q764" s="712"/>
      <c r="R764" s="712"/>
      <c r="S764" s="712"/>
      <c r="T764" s="712"/>
      <c r="U764" s="712"/>
      <c r="V764" s="712"/>
      <c r="W764" s="712"/>
      <c r="X764" s="712"/>
      <c r="Y764" s="712"/>
      <c r="Z764" s="715">
        <v>0</v>
      </c>
      <c r="AA764" s="715">
        <v>0</v>
      </c>
      <c r="AB764" s="712"/>
      <c r="AC764" s="716">
        <v>0</v>
      </c>
      <c r="AD764" s="715">
        <v>0</v>
      </c>
      <c r="AE764" s="715">
        <v>0</v>
      </c>
      <c r="AF764" s="715">
        <v>0</v>
      </c>
      <c r="AG764" s="715">
        <v>0</v>
      </c>
      <c r="AH764" s="712"/>
      <c r="AI764" s="712"/>
    </row>
    <row r="765" spans="1:35" x14ac:dyDescent="0.2">
      <c r="A765" s="717" t="s">
        <v>813</v>
      </c>
      <c r="B765" s="712"/>
      <c r="C765" s="712"/>
      <c r="D765" s="712"/>
      <c r="E765" s="712"/>
      <c r="F765" s="712"/>
      <c r="G765" s="712"/>
      <c r="H765" s="712"/>
      <c r="I765" s="712"/>
      <c r="J765" s="712"/>
      <c r="K765" s="715">
        <v>0</v>
      </c>
      <c r="L765" s="715">
        <v>0</v>
      </c>
      <c r="M765" s="712"/>
      <c r="N765" s="716">
        <v>0</v>
      </c>
      <c r="O765" s="715">
        <v>0</v>
      </c>
      <c r="P765" s="715">
        <v>0</v>
      </c>
      <c r="Q765" s="712"/>
      <c r="R765" s="712"/>
      <c r="S765" s="712"/>
      <c r="T765" s="712"/>
      <c r="U765" s="712"/>
      <c r="V765" s="712"/>
      <c r="W765" s="712"/>
      <c r="X765" s="712"/>
      <c r="Y765" s="712"/>
      <c r="Z765" s="715">
        <v>0</v>
      </c>
      <c r="AA765" s="715">
        <v>0</v>
      </c>
      <c r="AB765" s="712"/>
      <c r="AC765" s="716">
        <v>0</v>
      </c>
      <c r="AD765" s="715">
        <v>0</v>
      </c>
      <c r="AE765" s="715">
        <v>0</v>
      </c>
      <c r="AF765" s="715">
        <v>0</v>
      </c>
      <c r="AG765" s="715">
        <v>0</v>
      </c>
      <c r="AH765" s="712"/>
      <c r="AI765" s="712"/>
    </row>
    <row r="766" spans="1:35" x14ac:dyDescent="0.2">
      <c r="A766" s="717" t="s">
        <v>814</v>
      </c>
      <c r="B766" s="712"/>
      <c r="C766" s="712"/>
      <c r="D766" s="712"/>
      <c r="E766" s="712"/>
      <c r="F766" s="712"/>
      <c r="G766" s="712"/>
      <c r="H766" s="712"/>
      <c r="I766" s="712"/>
      <c r="J766" s="712"/>
      <c r="K766" s="715">
        <v>0</v>
      </c>
      <c r="L766" s="715">
        <v>0</v>
      </c>
      <c r="M766" s="712"/>
      <c r="N766" s="716">
        <v>0</v>
      </c>
      <c r="O766" s="715">
        <v>0</v>
      </c>
      <c r="P766" s="715">
        <v>0</v>
      </c>
      <c r="Q766" s="712"/>
      <c r="R766" s="712"/>
      <c r="S766" s="712"/>
      <c r="T766" s="712"/>
      <c r="U766" s="712"/>
      <c r="V766" s="712"/>
      <c r="W766" s="712"/>
      <c r="X766" s="712"/>
      <c r="Y766" s="712"/>
      <c r="Z766" s="715">
        <v>0</v>
      </c>
      <c r="AA766" s="715">
        <v>0</v>
      </c>
      <c r="AB766" s="712"/>
      <c r="AC766" s="716">
        <v>0</v>
      </c>
      <c r="AD766" s="715">
        <v>0</v>
      </c>
      <c r="AE766" s="715">
        <v>0</v>
      </c>
      <c r="AF766" s="715">
        <v>0</v>
      </c>
      <c r="AG766" s="715">
        <v>0</v>
      </c>
      <c r="AH766" s="712"/>
      <c r="AI766" s="712"/>
    </row>
    <row r="767" spans="1:35" x14ac:dyDescent="0.2">
      <c r="A767" s="717" t="s">
        <v>815</v>
      </c>
      <c r="B767" s="712"/>
      <c r="C767" s="712"/>
      <c r="D767" s="712"/>
      <c r="E767" s="712"/>
      <c r="F767" s="712"/>
      <c r="G767" s="712"/>
      <c r="H767" s="712"/>
      <c r="I767" s="712"/>
      <c r="J767" s="712"/>
      <c r="K767" s="715">
        <v>0</v>
      </c>
      <c r="L767" s="715">
        <v>0</v>
      </c>
      <c r="M767" s="712"/>
      <c r="N767" s="716">
        <v>0</v>
      </c>
      <c r="O767" s="715">
        <v>0</v>
      </c>
      <c r="P767" s="715">
        <v>0</v>
      </c>
      <c r="Q767" s="712"/>
      <c r="R767" s="712"/>
      <c r="S767" s="712"/>
      <c r="T767" s="712"/>
      <c r="U767" s="712"/>
      <c r="V767" s="712"/>
      <c r="W767" s="712"/>
      <c r="X767" s="712"/>
      <c r="Y767" s="712"/>
      <c r="Z767" s="715">
        <v>0</v>
      </c>
      <c r="AA767" s="715">
        <v>0</v>
      </c>
      <c r="AB767" s="712"/>
      <c r="AC767" s="716">
        <v>0</v>
      </c>
      <c r="AD767" s="715">
        <v>0</v>
      </c>
      <c r="AE767" s="715">
        <v>0</v>
      </c>
      <c r="AF767" s="715">
        <v>0</v>
      </c>
      <c r="AG767" s="715">
        <v>0</v>
      </c>
      <c r="AH767" s="712"/>
      <c r="AI767" s="712"/>
    </row>
    <row r="768" spans="1:35" x14ac:dyDescent="0.2">
      <c r="A768" s="717" t="s">
        <v>816</v>
      </c>
      <c r="B768" s="712"/>
      <c r="C768" s="712"/>
      <c r="D768" s="712"/>
      <c r="E768" s="712"/>
      <c r="F768" s="712"/>
      <c r="G768" s="712"/>
      <c r="H768" s="712"/>
      <c r="I768" s="712"/>
      <c r="J768" s="712"/>
      <c r="K768" s="715">
        <v>0</v>
      </c>
      <c r="L768" s="715">
        <v>0</v>
      </c>
      <c r="M768" s="712"/>
      <c r="N768" s="716">
        <v>0</v>
      </c>
      <c r="O768" s="715">
        <v>0</v>
      </c>
      <c r="P768" s="715">
        <v>0</v>
      </c>
      <c r="Q768" s="712"/>
      <c r="R768" s="712"/>
      <c r="S768" s="712"/>
      <c r="T768" s="712"/>
      <c r="U768" s="712"/>
      <c r="V768" s="712"/>
      <c r="W768" s="712"/>
      <c r="X768" s="712"/>
      <c r="Y768" s="712"/>
      <c r="Z768" s="715">
        <v>0</v>
      </c>
      <c r="AA768" s="715">
        <v>0</v>
      </c>
      <c r="AB768" s="712"/>
      <c r="AC768" s="716">
        <v>0</v>
      </c>
      <c r="AD768" s="715">
        <v>0</v>
      </c>
      <c r="AE768" s="715">
        <v>0</v>
      </c>
      <c r="AF768" s="715">
        <v>0</v>
      </c>
      <c r="AG768" s="715">
        <v>0</v>
      </c>
      <c r="AH768" s="712"/>
      <c r="AI768" s="712"/>
    </row>
    <row r="769" spans="1:35" x14ac:dyDescent="0.2">
      <c r="A769" s="717" t="s">
        <v>817</v>
      </c>
      <c r="B769" s="712"/>
      <c r="C769" s="712"/>
      <c r="D769" s="712"/>
      <c r="E769" s="712"/>
      <c r="F769" s="712"/>
      <c r="G769" s="712"/>
      <c r="H769" s="712"/>
      <c r="I769" s="712"/>
      <c r="J769" s="712"/>
      <c r="K769" s="715">
        <v>0</v>
      </c>
      <c r="L769" s="715">
        <v>0</v>
      </c>
      <c r="M769" s="712"/>
      <c r="N769" s="716">
        <v>0</v>
      </c>
      <c r="O769" s="715">
        <v>0</v>
      </c>
      <c r="P769" s="715">
        <v>0</v>
      </c>
      <c r="Q769" s="712"/>
      <c r="R769" s="712"/>
      <c r="S769" s="712"/>
      <c r="T769" s="712"/>
      <c r="U769" s="712"/>
      <c r="V769" s="712"/>
      <c r="W769" s="712"/>
      <c r="X769" s="712"/>
      <c r="Y769" s="712"/>
      <c r="Z769" s="715">
        <v>0</v>
      </c>
      <c r="AA769" s="715">
        <v>0</v>
      </c>
      <c r="AB769" s="712"/>
      <c r="AC769" s="716">
        <v>0</v>
      </c>
      <c r="AD769" s="715">
        <v>0</v>
      </c>
      <c r="AE769" s="715">
        <v>0</v>
      </c>
      <c r="AF769" s="715">
        <v>0</v>
      </c>
      <c r="AG769" s="715">
        <v>0</v>
      </c>
      <c r="AH769" s="712"/>
      <c r="AI769" s="712"/>
    </row>
    <row r="770" spans="1:35" x14ac:dyDescent="0.2">
      <c r="A770" s="717" t="s">
        <v>818</v>
      </c>
      <c r="B770" s="712"/>
      <c r="C770" s="712"/>
      <c r="D770" s="712"/>
      <c r="E770" s="712"/>
      <c r="F770" s="712"/>
      <c r="G770" s="712"/>
      <c r="H770" s="712"/>
      <c r="I770" s="712"/>
      <c r="J770" s="712"/>
      <c r="K770" s="715">
        <v>0</v>
      </c>
      <c r="L770" s="715">
        <v>0</v>
      </c>
      <c r="M770" s="712"/>
      <c r="N770" s="716">
        <v>0</v>
      </c>
      <c r="O770" s="715">
        <v>0</v>
      </c>
      <c r="P770" s="715">
        <v>0</v>
      </c>
      <c r="Q770" s="712"/>
      <c r="R770" s="712"/>
      <c r="S770" s="712"/>
      <c r="T770" s="712"/>
      <c r="U770" s="712"/>
      <c r="V770" s="712"/>
      <c r="W770" s="712"/>
      <c r="X770" s="712"/>
      <c r="Y770" s="712"/>
      <c r="Z770" s="715">
        <v>0</v>
      </c>
      <c r="AA770" s="715">
        <v>0</v>
      </c>
      <c r="AB770" s="712"/>
      <c r="AC770" s="716">
        <v>0</v>
      </c>
      <c r="AD770" s="715">
        <v>0</v>
      </c>
      <c r="AE770" s="715">
        <v>0</v>
      </c>
      <c r="AF770" s="715">
        <v>0</v>
      </c>
      <c r="AG770" s="715">
        <v>0</v>
      </c>
      <c r="AH770" s="712"/>
      <c r="AI770" s="712"/>
    </row>
    <row r="771" spans="1:35" x14ac:dyDescent="0.2">
      <c r="A771" s="717" t="s">
        <v>819</v>
      </c>
      <c r="B771" s="712"/>
      <c r="C771" s="712"/>
      <c r="D771" s="712"/>
      <c r="E771" s="712"/>
      <c r="F771" s="712"/>
      <c r="G771" s="712"/>
      <c r="H771" s="712"/>
      <c r="I771" s="712"/>
      <c r="J771" s="712"/>
      <c r="K771" s="715">
        <v>0</v>
      </c>
      <c r="L771" s="715">
        <v>0</v>
      </c>
      <c r="M771" s="712"/>
      <c r="N771" s="716">
        <v>0</v>
      </c>
      <c r="O771" s="715">
        <v>0</v>
      </c>
      <c r="P771" s="715">
        <v>0</v>
      </c>
      <c r="Q771" s="712"/>
      <c r="R771" s="712"/>
      <c r="S771" s="712"/>
      <c r="T771" s="712"/>
      <c r="U771" s="712"/>
      <c r="V771" s="712"/>
      <c r="W771" s="712"/>
      <c r="X771" s="712"/>
      <c r="Y771" s="712"/>
      <c r="Z771" s="715">
        <v>0</v>
      </c>
      <c r="AA771" s="715">
        <v>0</v>
      </c>
      <c r="AB771" s="712"/>
      <c r="AC771" s="716">
        <v>0</v>
      </c>
      <c r="AD771" s="715">
        <v>0</v>
      </c>
      <c r="AE771" s="715">
        <v>0</v>
      </c>
      <c r="AF771" s="715">
        <v>0</v>
      </c>
      <c r="AG771" s="715">
        <v>0</v>
      </c>
      <c r="AH771" s="712"/>
      <c r="AI771" s="712"/>
    </row>
    <row r="772" spans="1:35" x14ac:dyDescent="0.2">
      <c r="A772" s="717" t="s">
        <v>820</v>
      </c>
      <c r="B772" s="712"/>
      <c r="C772" s="712"/>
      <c r="D772" s="712"/>
      <c r="E772" s="712"/>
      <c r="F772" s="712"/>
      <c r="G772" s="712"/>
      <c r="H772" s="712"/>
      <c r="I772" s="712"/>
      <c r="J772" s="712"/>
      <c r="K772" s="715">
        <v>0</v>
      </c>
      <c r="L772" s="715">
        <v>0</v>
      </c>
      <c r="M772" s="712"/>
      <c r="N772" s="716">
        <v>0</v>
      </c>
      <c r="O772" s="715">
        <v>0</v>
      </c>
      <c r="P772" s="715">
        <v>0</v>
      </c>
      <c r="Q772" s="712"/>
      <c r="R772" s="712"/>
      <c r="S772" s="712"/>
      <c r="T772" s="712"/>
      <c r="U772" s="712"/>
      <c r="V772" s="712"/>
      <c r="W772" s="712"/>
      <c r="X772" s="712"/>
      <c r="Y772" s="712"/>
      <c r="Z772" s="715">
        <v>0</v>
      </c>
      <c r="AA772" s="715">
        <v>0</v>
      </c>
      <c r="AB772" s="712"/>
      <c r="AC772" s="716">
        <v>0</v>
      </c>
      <c r="AD772" s="715">
        <v>0</v>
      </c>
      <c r="AE772" s="715">
        <v>0</v>
      </c>
      <c r="AF772" s="715">
        <v>0</v>
      </c>
      <c r="AG772" s="715">
        <v>0</v>
      </c>
      <c r="AH772" s="712"/>
      <c r="AI772" s="712"/>
    </row>
    <row r="773" spans="1:35" x14ac:dyDescent="0.2">
      <c r="A773" s="719" t="s">
        <v>0</v>
      </c>
      <c r="B773" s="715">
        <v>548</v>
      </c>
      <c r="C773" s="715">
        <v>120428.3</v>
      </c>
      <c r="D773" s="715">
        <v>13339</v>
      </c>
      <c r="E773" s="715">
        <v>0</v>
      </c>
      <c r="F773" s="715">
        <v>0</v>
      </c>
      <c r="G773" s="715">
        <v>0</v>
      </c>
      <c r="H773" s="715">
        <v>0</v>
      </c>
      <c r="I773" s="715">
        <v>22570</v>
      </c>
      <c r="J773" s="715">
        <v>14770</v>
      </c>
      <c r="K773" s="715">
        <v>171107.3</v>
      </c>
      <c r="L773" s="715">
        <v>548000</v>
      </c>
      <c r="M773" s="715">
        <v>0</v>
      </c>
      <c r="N773" s="715">
        <v>548000</v>
      </c>
      <c r="O773" s="715">
        <v>719107.3</v>
      </c>
      <c r="P773" s="715">
        <v>27013536</v>
      </c>
      <c r="Q773" s="715">
        <v>571</v>
      </c>
      <c r="R773" s="715">
        <v>120428.3</v>
      </c>
      <c r="S773" s="715">
        <v>13339</v>
      </c>
      <c r="T773" s="715">
        <v>0</v>
      </c>
      <c r="U773" s="715">
        <v>0</v>
      </c>
      <c r="V773" s="715">
        <v>0</v>
      </c>
      <c r="W773" s="715">
        <v>0</v>
      </c>
      <c r="X773" s="715">
        <v>22570</v>
      </c>
      <c r="Y773" s="715">
        <v>14770</v>
      </c>
      <c r="Z773" s="715">
        <v>171107.3</v>
      </c>
      <c r="AA773" s="715">
        <v>571000</v>
      </c>
      <c r="AB773" s="715">
        <v>0</v>
      </c>
      <c r="AC773" s="715">
        <v>571000</v>
      </c>
      <c r="AD773" s="715">
        <v>742107.3</v>
      </c>
      <c r="AE773" s="715">
        <v>29214982</v>
      </c>
      <c r="AF773" s="712"/>
      <c r="AG773" s="712"/>
      <c r="AH773" s="715">
        <v>571</v>
      </c>
      <c r="AI773" s="715">
        <v>571</v>
      </c>
    </row>
    <row r="774" spans="1:35" x14ac:dyDescent="0.2">
      <c r="A774" s="234" t="s">
        <v>50</v>
      </c>
      <c r="B774" s="234"/>
      <c r="C774" s="234"/>
      <c r="D774" s="234"/>
      <c r="E774" s="234"/>
      <c r="F774" s="234"/>
      <c r="G774" s="234"/>
      <c r="H774" s="234"/>
      <c r="I774" s="234"/>
      <c r="J774" s="234"/>
      <c r="K774" s="234"/>
      <c r="L774" s="234"/>
      <c r="M774" s="234"/>
      <c r="N774" s="234"/>
      <c r="O774" s="234"/>
      <c r="P774" s="234"/>
      <c r="Q774" s="234"/>
      <c r="R774" s="234"/>
      <c r="S774" s="234"/>
      <c r="T774" s="234"/>
      <c r="U774" s="234"/>
      <c r="V774" s="234"/>
      <c r="W774" s="234"/>
      <c r="X774" s="234"/>
      <c r="Y774" s="234"/>
      <c r="Z774" s="234"/>
      <c r="AA774" s="234"/>
      <c r="AB774" s="234"/>
      <c r="AC774" s="234"/>
      <c r="AD774" s="234"/>
      <c r="AE774" s="234"/>
      <c r="AF774" s="234"/>
      <c r="AG774" s="234"/>
      <c r="AH774" s="234"/>
      <c r="AI774" s="234"/>
    </row>
    <row r="775" spans="1:35" x14ac:dyDescent="0.2">
      <c r="A775" s="234" t="s">
        <v>821</v>
      </c>
      <c r="B775" s="1413" t="s">
        <v>143</v>
      </c>
      <c r="C775" s="1413"/>
      <c r="D775" s="1413"/>
      <c r="E775" s="1413"/>
      <c r="F775" s="1413"/>
      <c r="G775" s="1413"/>
      <c r="H775" s="1413"/>
      <c r="I775" s="1413"/>
      <c r="J775" s="1413"/>
      <c r="K775" s="1413"/>
      <c r="L775" s="1413"/>
      <c r="M775" s="1413"/>
      <c r="N775" s="1413"/>
      <c r="O775" s="1413"/>
      <c r="P775" s="1413"/>
      <c r="Q775" s="1413"/>
      <c r="R775" s="234"/>
      <c r="S775" s="234"/>
      <c r="T775" s="234"/>
      <c r="U775" s="234"/>
      <c r="V775" s="234"/>
      <c r="W775" s="234"/>
      <c r="X775" s="234"/>
      <c r="Y775" s="234"/>
      <c r="Z775" s="234"/>
      <c r="AA775" s="234"/>
      <c r="AB775" s="234"/>
      <c r="AC775" s="234"/>
      <c r="AD775" s="234"/>
      <c r="AE775" s="234"/>
      <c r="AF775" s="234"/>
      <c r="AG775" s="234"/>
      <c r="AH775" s="234"/>
      <c r="AI775" s="234"/>
    </row>
    <row r="776" spans="1:35" x14ac:dyDescent="0.2">
      <c r="A776" s="234" t="s">
        <v>822</v>
      </c>
      <c r="B776" s="1413" t="s">
        <v>823</v>
      </c>
      <c r="C776" s="1413"/>
      <c r="D776" s="1413"/>
      <c r="E776" s="1413"/>
      <c r="F776" s="1413"/>
      <c r="G776" s="1413"/>
      <c r="H776" s="1413"/>
      <c r="I776" s="1413"/>
      <c r="J776" s="1413"/>
      <c r="K776" s="1413"/>
      <c r="L776" s="1413"/>
      <c r="M776" s="1413"/>
      <c r="N776" s="1413"/>
      <c r="O776" s="1413"/>
      <c r="P776" s="234"/>
      <c r="Q776" s="234"/>
      <c r="R776" s="234"/>
      <c r="S776" s="234"/>
      <c r="T776" s="234"/>
      <c r="U776" s="234"/>
      <c r="V776" s="234"/>
      <c r="W776" s="234"/>
      <c r="X776" s="234"/>
      <c r="Y776" s="234"/>
      <c r="Z776" s="234"/>
      <c r="AA776" s="234"/>
      <c r="AB776" s="234"/>
      <c r="AC776" s="234"/>
      <c r="AD776" s="234"/>
      <c r="AE776" s="234"/>
      <c r="AF776" s="234"/>
      <c r="AG776" s="234"/>
      <c r="AH776" s="234"/>
      <c r="AI776" s="234"/>
    </row>
    <row r="777" spans="1:35" x14ac:dyDescent="0.2">
      <c r="A777" s="234" t="s">
        <v>824</v>
      </c>
      <c r="B777" s="1413" t="s">
        <v>825</v>
      </c>
      <c r="C777" s="1413"/>
      <c r="D777" s="1413"/>
      <c r="E777" s="1413"/>
      <c r="F777" s="1413"/>
      <c r="G777" s="1413"/>
      <c r="H777" s="1413"/>
      <c r="I777" s="1413"/>
      <c r="J777" s="1413"/>
      <c r="K777" s="1413"/>
      <c r="L777" s="1413"/>
      <c r="M777" s="1413"/>
      <c r="N777" s="1413"/>
      <c r="O777" s="1413"/>
      <c r="P777" s="1413"/>
      <c r="Q777" s="1413"/>
      <c r="R777" s="1413"/>
      <c r="S777" s="234"/>
      <c r="T777" s="234"/>
      <c r="U777" s="234"/>
      <c r="V777" s="234"/>
      <c r="W777" s="234"/>
      <c r="X777" s="234"/>
      <c r="Y777" s="234"/>
      <c r="Z777" s="234"/>
      <c r="AA777" s="234"/>
      <c r="AB777" s="234"/>
      <c r="AC777" s="234"/>
      <c r="AD777" s="234"/>
      <c r="AE777" s="234"/>
      <c r="AF777" s="234"/>
      <c r="AG777" s="234"/>
      <c r="AH777" s="234"/>
      <c r="AI777" s="234"/>
    </row>
    <row r="778" spans="1:35" x14ac:dyDescent="0.2">
      <c r="A778" s="234" t="s">
        <v>826</v>
      </c>
      <c r="B778" s="1413" t="s">
        <v>827</v>
      </c>
      <c r="C778" s="1413"/>
      <c r="D778" s="1413"/>
      <c r="E778" s="1413"/>
      <c r="F778" s="1413"/>
      <c r="G778" s="1413"/>
      <c r="H778" s="1413"/>
      <c r="I778" s="1413"/>
      <c r="J778" s="1413"/>
      <c r="K778" s="1413"/>
      <c r="L778" s="1413"/>
      <c r="M778" s="1413"/>
      <c r="N778" s="1413"/>
      <c r="O778" s="1413"/>
      <c r="P778" s="1413"/>
      <c r="Q778" s="1413"/>
      <c r="R778" s="1413"/>
      <c r="S778" s="234"/>
      <c r="T778" s="234"/>
      <c r="U778" s="234"/>
      <c r="V778" s="234"/>
      <c r="W778" s="234"/>
      <c r="X778" s="234"/>
      <c r="Y778" s="234"/>
      <c r="Z778" s="234"/>
      <c r="AA778" s="234"/>
      <c r="AB778" s="234"/>
      <c r="AC778" s="234"/>
      <c r="AD778" s="234"/>
      <c r="AE778" s="234"/>
      <c r="AF778" s="234"/>
      <c r="AG778" s="234"/>
      <c r="AH778" s="234"/>
      <c r="AI778" s="234"/>
    </row>
    <row r="779" spans="1:35" x14ac:dyDescent="0.2">
      <c r="A779" s="234"/>
      <c r="B779" s="1413" t="s">
        <v>828</v>
      </c>
      <c r="C779" s="1413"/>
      <c r="D779" s="1413"/>
      <c r="E779" s="234"/>
      <c r="F779" s="234"/>
      <c r="G779" s="234"/>
      <c r="H779" s="234"/>
      <c r="I779" s="234"/>
      <c r="J779" s="234"/>
      <c r="K779" s="234"/>
      <c r="L779" s="234"/>
      <c r="M779" s="234"/>
      <c r="N779" s="234"/>
      <c r="O779" s="234"/>
      <c r="P779" s="234"/>
      <c r="Q779" s="234"/>
      <c r="R779" s="234"/>
      <c r="S779" s="234"/>
      <c r="T779" s="234"/>
      <c r="U779" s="234"/>
      <c r="V779" s="234"/>
      <c r="W779" s="234"/>
      <c r="X779" s="234"/>
      <c r="Y779" s="234"/>
      <c r="Z779" s="234"/>
      <c r="AA779" s="234"/>
      <c r="AB779" s="234"/>
      <c r="AC779" s="234"/>
      <c r="AD779" s="234"/>
      <c r="AE779" s="234"/>
      <c r="AF779" s="234"/>
      <c r="AG779" s="234"/>
      <c r="AH779" s="234"/>
      <c r="AI779" s="234"/>
    </row>
    <row r="780" spans="1:35" x14ac:dyDescent="0.2">
      <c r="A780" s="234" t="s">
        <v>829</v>
      </c>
      <c r="B780" s="1414" t="s">
        <v>830</v>
      </c>
      <c r="C780" s="1414"/>
      <c r="D780" s="1414"/>
      <c r="E780" s="1414"/>
      <c r="F780" s="1414"/>
      <c r="G780" s="1414"/>
      <c r="H780" s="1414"/>
      <c r="I780" s="1414"/>
      <c r="J780" s="1414"/>
      <c r="K780" s="1414"/>
      <c r="L780" s="1414"/>
      <c r="M780" s="1414"/>
      <c r="N780" s="1414"/>
      <c r="O780" s="1414"/>
      <c r="P780" s="1414"/>
      <c r="Q780" s="1414"/>
      <c r="R780" s="1414"/>
      <c r="S780" s="1414"/>
      <c r="T780" s="1414"/>
      <c r="U780" s="1414"/>
      <c r="V780" s="1414"/>
      <c r="W780" s="234"/>
      <c r="X780" s="234"/>
      <c r="Y780" s="234"/>
      <c r="Z780" s="234"/>
      <c r="AA780" s="234"/>
      <c r="AB780" s="234"/>
      <c r="AC780" s="234"/>
      <c r="AD780" s="234"/>
      <c r="AE780" s="234"/>
      <c r="AF780" s="234"/>
      <c r="AG780" s="234"/>
      <c r="AH780" s="234"/>
      <c r="AI780" s="234"/>
    </row>
    <row r="781" spans="1:35" x14ac:dyDescent="0.2">
      <c r="A781" s="234"/>
      <c r="B781" s="1413" t="s">
        <v>831</v>
      </c>
      <c r="C781" s="1413"/>
      <c r="D781" s="1413"/>
      <c r="E781" s="1413"/>
      <c r="F781" s="1413"/>
      <c r="G781" s="1413"/>
      <c r="H781" s="1413"/>
      <c r="I781" s="1413"/>
      <c r="J781" s="1413"/>
      <c r="K781" s="1413"/>
      <c r="L781" s="1413"/>
      <c r="M781" s="1413"/>
      <c r="N781" s="1413"/>
      <c r="O781" s="1413"/>
      <c r="P781" s="1413"/>
      <c r="Q781" s="1413"/>
      <c r="R781" s="1413"/>
      <c r="S781" s="1413"/>
      <c r="T781" s="234"/>
      <c r="U781" s="234"/>
      <c r="V781" s="234"/>
      <c r="W781" s="234"/>
      <c r="X781" s="234"/>
      <c r="Y781" s="234"/>
      <c r="Z781" s="234"/>
      <c r="AA781" s="234"/>
      <c r="AB781" s="234"/>
      <c r="AC781" s="234"/>
      <c r="AD781" s="234"/>
      <c r="AE781" s="234"/>
      <c r="AF781" s="234"/>
      <c r="AG781" s="234"/>
      <c r="AH781" s="234"/>
      <c r="AI781" s="234"/>
    </row>
    <row r="782" spans="1:35" x14ac:dyDescent="0.2">
      <c r="A782" s="234"/>
      <c r="B782" s="1413" t="s">
        <v>832</v>
      </c>
      <c r="C782" s="1413"/>
      <c r="D782" s="1413"/>
      <c r="E782" s="1413"/>
      <c r="F782" s="1413"/>
      <c r="G782" s="1413"/>
      <c r="H782" s="1413"/>
      <c r="I782" s="1413"/>
      <c r="J782" s="1413"/>
      <c r="K782" s="1413"/>
      <c r="L782" s="1413"/>
      <c r="M782" s="1413"/>
      <c r="N782" s="1413"/>
      <c r="O782" s="1413"/>
      <c r="P782" s="1413"/>
      <c r="Q782" s="1413"/>
      <c r="R782" s="1413"/>
      <c r="S782" s="1413"/>
      <c r="T782" s="234"/>
      <c r="U782" s="234"/>
      <c r="V782" s="234"/>
      <c r="W782" s="234"/>
      <c r="X782" s="234"/>
      <c r="Y782" s="234"/>
      <c r="Z782" s="234"/>
      <c r="AA782" s="234"/>
      <c r="AB782" s="234"/>
      <c r="AC782" s="234"/>
      <c r="AD782" s="234"/>
      <c r="AE782" s="234"/>
      <c r="AF782" s="234"/>
      <c r="AG782" s="234"/>
      <c r="AH782" s="234"/>
      <c r="AI782" s="234"/>
    </row>
    <row r="783" spans="1:35" x14ac:dyDescent="0.2">
      <c r="A783" s="234"/>
      <c r="B783" s="1413" t="s">
        <v>62</v>
      </c>
      <c r="C783" s="1413"/>
      <c r="D783" s="1413"/>
      <c r="E783" s="1413"/>
      <c r="F783" s="234"/>
      <c r="G783" s="234"/>
      <c r="H783" s="234"/>
      <c r="I783" s="234"/>
      <c r="J783" s="234"/>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234"/>
      <c r="AH783" s="234"/>
      <c r="AI783" s="234"/>
    </row>
    <row r="784" spans="1:35" x14ac:dyDescent="0.2">
      <c r="A784" s="234" t="s">
        <v>158</v>
      </c>
      <c r="B784" s="1413" t="s">
        <v>159</v>
      </c>
      <c r="C784" s="1413"/>
      <c r="D784" s="1413"/>
      <c r="E784" s="1413"/>
      <c r="F784" s="1413"/>
      <c r="G784" s="1413"/>
      <c r="H784" s="234"/>
      <c r="I784" s="234"/>
      <c r="J784" s="234"/>
      <c r="K784" s="234"/>
      <c r="L784" s="234"/>
      <c r="M784" s="234"/>
      <c r="N784" s="234"/>
      <c r="O784" s="234"/>
      <c r="P784" s="234"/>
      <c r="Q784" s="234"/>
      <c r="R784" s="234"/>
      <c r="S784" s="234"/>
      <c r="T784" s="234"/>
      <c r="U784" s="234"/>
      <c r="V784" s="234"/>
      <c r="W784" s="234"/>
      <c r="X784" s="234"/>
      <c r="Y784" s="234"/>
      <c r="Z784" s="234"/>
      <c r="AA784" s="234"/>
      <c r="AB784" s="234"/>
      <c r="AC784" s="234"/>
      <c r="AD784" s="234"/>
      <c r="AE784" s="234"/>
      <c r="AF784" s="234"/>
      <c r="AG784" s="234"/>
      <c r="AH784" s="234"/>
      <c r="AI784" s="234"/>
    </row>
    <row r="785" spans="1:35" x14ac:dyDescent="0.2">
      <c r="A785" s="234" t="s">
        <v>160</v>
      </c>
      <c r="B785" s="1413" t="s">
        <v>139</v>
      </c>
      <c r="C785" s="1413"/>
      <c r="D785" s="234"/>
      <c r="E785" s="234"/>
      <c r="F785" s="234"/>
      <c r="G785" s="234"/>
      <c r="H785" s="234"/>
      <c r="I785" s="234"/>
      <c r="J785" s="234"/>
      <c r="K785" s="234"/>
      <c r="L785" s="234"/>
      <c r="M785" s="234"/>
      <c r="N785" s="234"/>
      <c r="O785" s="234"/>
      <c r="P785" s="234"/>
      <c r="Q785" s="234"/>
      <c r="R785" s="234"/>
      <c r="S785" s="234"/>
      <c r="T785" s="234"/>
      <c r="U785" s="234"/>
      <c r="V785" s="234"/>
      <c r="W785" s="234"/>
      <c r="X785" s="234"/>
      <c r="Y785" s="234"/>
      <c r="Z785" s="234"/>
      <c r="AA785" s="234"/>
      <c r="AB785" s="234"/>
      <c r="AC785" s="234"/>
      <c r="AD785" s="234"/>
      <c r="AE785" s="234"/>
      <c r="AF785" s="234"/>
      <c r="AG785" s="234"/>
      <c r="AH785" s="234"/>
      <c r="AI785" s="234"/>
    </row>
    <row r="786" spans="1:35" x14ac:dyDescent="0.2">
      <c r="A786" s="234" t="s">
        <v>161</v>
      </c>
      <c r="B786" s="1414" t="s">
        <v>833</v>
      </c>
      <c r="C786" s="1414"/>
      <c r="D786" s="1414"/>
      <c r="E786" s="1414"/>
      <c r="F786" s="1414"/>
      <c r="G786" s="1414"/>
      <c r="H786" s="1414"/>
      <c r="I786" s="1414"/>
      <c r="J786" s="1414"/>
      <c r="K786" s="1414"/>
      <c r="L786" s="1414"/>
      <c r="M786" s="1414"/>
      <c r="N786" s="1414"/>
      <c r="O786" s="1414"/>
      <c r="P786" s="1414"/>
      <c r="Q786" s="1414"/>
      <c r="R786" s="1414"/>
      <c r="S786" s="1414"/>
      <c r="T786" s="1414"/>
      <c r="U786" s="1414"/>
      <c r="V786" s="1414"/>
      <c r="W786" s="234"/>
      <c r="X786" s="234"/>
      <c r="Y786" s="234"/>
      <c r="Z786" s="234"/>
      <c r="AA786" s="234"/>
      <c r="AB786" s="234"/>
      <c r="AC786" s="234"/>
      <c r="AD786" s="234"/>
      <c r="AE786" s="234"/>
      <c r="AF786" s="234"/>
      <c r="AG786" s="234"/>
      <c r="AH786" s="234"/>
      <c r="AI786" s="234"/>
    </row>
    <row r="787" spans="1:35" x14ac:dyDescent="0.2">
      <c r="A787" s="234"/>
      <c r="B787" s="1413" t="s">
        <v>831</v>
      </c>
      <c r="C787" s="1413"/>
      <c r="D787" s="1413"/>
      <c r="E787" s="1413"/>
      <c r="F787" s="1413"/>
      <c r="G787" s="1413"/>
      <c r="H787" s="1413"/>
      <c r="I787" s="1413"/>
      <c r="J787" s="1413"/>
      <c r="K787" s="1413"/>
      <c r="L787" s="1413"/>
      <c r="M787" s="1413"/>
      <c r="N787" s="1413"/>
      <c r="O787" s="1413"/>
      <c r="P787" s="1413"/>
      <c r="Q787" s="1413"/>
      <c r="R787" s="1413"/>
      <c r="S787" s="1413"/>
      <c r="T787" s="234"/>
      <c r="U787" s="234"/>
      <c r="V787" s="234"/>
      <c r="W787" s="234"/>
      <c r="X787" s="234"/>
      <c r="Y787" s="234"/>
      <c r="Z787" s="234"/>
      <c r="AA787" s="234"/>
      <c r="AB787" s="234"/>
      <c r="AC787" s="234"/>
      <c r="AD787" s="234"/>
      <c r="AE787" s="234"/>
      <c r="AF787" s="234"/>
      <c r="AG787" s="234"/>
      <c r="AH787" s="234"/>
      <c r="AI787" s="234"/>
    </row>
    <row r="788" spans="1:35" x14ac:dyDescent="0.2">
      <c r="A788" s="234"/>
      <c r="B788" s="1413" t="s">
        <v>832</v>
      </c>
      <c r="C788" s="1413"/>
      <c r="D788" s="1413"/>
      <c r="E788" s="1413"/>
      <c r="F788" s="1413"/>
      <c r="G788" s="1413"/>
      <c r="H788" s="1413"/>
      <c r="I788" s="1413"/>
      <c r="J788" s="1413"/>
      <c r="K788" s="1413"/>
      <c r="L788" s="1413"/>
      <c r="M788" s="1413"/>
      <c r="N788" s="1413"/>
      <c r="O788" s="1413"/>
      <c r="P788" s="1413"/>
      <c r="Q788" s="1413"/>
      <c r="R788" s="1413"/>
      <c r="S788" s="1413"/>
      <c r="T788" s="234"/>
      <c r="U788" s="234"/>
      <c r="V788" s="234"/>
      <c r="W788" s="234"/>
      <c r="X788" s="234"/>
      <c r="Y788" s="234"/>
      <c r="Z788" s="234"/>
      <c r="AA788" s="234"/>
      <c r="AB788" s="234"/>
      <c r="AC788" s="234"/>
      <c r="AD788" s="234"/>
      <c r="AE788" s="234"/>
      <c r="AF788" s="234"/>
      <c r="AG788" s="234"/>
      <c r="AH788" s="234"/>
      <c r="AI788" s="234"/>
    </row>
    <row r="789" spans="1:35" x14ac:dyDescent="0.2">
      <c r="A789" s="234"/>
      <c r="B789" s="1413" t="s">
        <v>834</v>
      </c>
      <c r="C789" s="1413"/>
      <c r="D789" s="1413"/>
      <c r="E789" s="1413"/>
      <c r="F789" s="1413"/>
      <c r="G789" s="1413"/>
      <c r="H789" s="234"/>
      <c r="I789" s="234"/>
      <c r="J789" s="234"/>
      <c r="K789" s="234"/>
      <c r="L789" s="234"/>
      <c r="M789" s="234"/>
      <c r="N789" s="234"/>
      <c r="O789" s="234"/>
      <c r="P789" s="234"/>
      <c r="Q789" s="234"/>
      <c r="R789" s="234"/>
      <c r="S789" s="234"/>
      <c r="T789" s="234"/>
      <c r="U789" s="234"/>
      <c r="V789" s="234"/>
      <c r="W789" s="234"/>
      <c r="X789" s="234"/>
      <c r="Y789" s="234"/>
      <c r="Z789" s="234"/>
      <c r="AA789" s="234"/>
      <c r="AB789" s="234"/>
      <c r="AC789" s="234"/>
      <c r="AD789" s="234"/>
      <c r="AE789" s="234"/>
      <c r="AF789" s="234"/>
      <c r="AG789" s="234"/>
      <c r="AH789" s="234"/>
      <c r="AI789" s="234"/>
    </row>
    <row r="790" spans="1:35" x14ac:dyDescent="0.2">
      <c r="A790" s="234" t="s">
        <v>170</v>
      </c>
      <c r="B790" s="1413" t="s">
        <v>171</v>
      </c>
      <c r="C790" s="1413"/>
      <c r="D790" s="1413"/>
      <c r="E790" s="1413"/>
      <c r="F790" s="1413"/>
      <c r="G790" s="234"/>
      <c r="H790" s="234"/>
      <c r="I790" s="234"/>
      <c r="J790" s="234"/>
      <c r="K790" s="234"/>
      <c r="L790" s="234"/>
      <c r="M790" s="234"/>
      <c r="N790" s="234"/>
      <c r="O790" s="234"/>
      <c r="P790" s="234"/>
      <c r="Q790" s="234"/>
      <c r="R790" s="234"/>
      <c r="S790" s="234"/>
      <c r="T790" s="234"/>
      <c r="U790" s="234"/>
      <c r="V790" s="234"/>
      <c r="W790" s="234"/>
      <c r="X790" s="234"/>
      <c r="Y790" s="234"/>
      <c r="Z790" s="234"/>
      <c r="AA790" s="234"/>
      <c r="AB790" s="234"/>
      <c r="AC790" s="234"/>
      <c r="AD790" s="234"/>
      <c r="AE790" s="234"/>
      <c r="AF790" s="234"/>
      <c r="AG790" s="234"/>
      <c r="AH790" s="234"/>
      <c r="AI790" s="234"/>
    </row>
    <row r="791" spans="1:35" x14ac:dyDescent="0.2">
      <c r="A791" s="234" t="s">
        <v>168</v>
      </c>
      <c r="B791" s="1413" t="s">
        <v>835</v>
      </c>
      <c r="C791" s="1413"/>
      <c r="D791" s="1413"/>
      <c r="E791" s="1413"/>
      <c r="F791" s="1413"/>
      <c r="G791" s="1413"/>
      <c r="H791" s="1413"/>
      <c r="I791" s="1413"/>
      <c r="J791" s="1413"/>
      <c r="K791" s="1413"/>
      <c r="L791" s="234"/>
      <c r="M791" s="234"/>
      <c r="N791" s="234"/>
      <c r="O791" s="234"/>
      <c r="P791" s="234"/>
      <c r="Q791" s="234"/>
      <c r="R791" s="234"/>
      <c r="S791" s="234"/>
      <c r="T791" s="234"/>
      <c r="U791" s="234"/>
      <c r="V791" s="234"/>
      <c r="W791" s="234"/>
      <c r="X791" s="234"/>
      <c r="Y791" s="234"/>
      <c r="Z791" s="234"/>
      <c r="AA791" s="234"/>
      <c r="AB791" s="234"/>
      <c r="AC791" s="234"/>
      <c r="AD791" s="234"/>
      <c r="AE791" s="234"/>
      <c r="AF791" s="234"/>
      <c r="AG791" s="234"/>
      <c r="AH791" s="234"/>
      <c r="AI791" s="234"/>
    </row>
    <row r="792" spans="1:35" x14ac:dyDescent="0.2">
      <c r="A792" s="234" t="s">
        <v>169</v>
      </c>
      <c r="B792" s="1413" t="s">
        <v>172</v>
      </c>
      <c r="C792" s="1413"/>
      <c r="D792" s="1413"/>
      <c r="E792" s="1413"/>
      <c r="F792" s="1413"/>
      <c r="G792" s="1413"/>
      <c r="H792" s="234"/>
      <c r="I792" s="234"/>
      <c r="J792" s="234"/>
      <c r="K792" s="234"/>
      <c r="L792" s="234"/>
      <c r="M792" s="234"/>
      <c r="N792" s="234"/>
      <c r="O792" s="234"/>
      <c r="P792" s="234"/>
      <c r="Q792" s="234"/>
      <c r="R792" s="234"/>
      <c r="S792" s="234"/>
      <c r="T792" s="234"/>
      <c r="U792" s="234"/>
      <c r="V792" s="234"/>
      <c r="W792" s="234"/>
      <c r="X792" s="234"/>
      <c r="Y792" s="234"/>
      <c r="Z792" s="234"/>
      <c r="AA792" s="234"/>
      <c r="AB792" s="234"/>
      <c r="AC792" s="234"/>
      <c r="AD792" s="234"/>
      <c r="AE792" s="234"/>
      <c r="AF792" s="234"/>
      <c r="AG792" s="234"/>
      <c r="AH792" s="234"/>
      <c r="AI792" s="234"/>
    </row>
    <row r="793" spans="1:35" x14ac:dyDescent="0.2">
      <c r="A793" s="234"/>
      <c r="B793" s="234"/>
      <c r="C793" s="234"/>
      <c r="D793" s="234"/>
      <c r="E793" s="234"/>
      <c r="F793" s="234"/>
      <c r="G793" s="234"/>
      <c r="H793" s="234"/>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234"/>
      <c r="AH793" s="234"/>
      <c r="AI793" s="234"/>
    </row>
    <row r="794" spans="1:35" x14ac:dyDescent="0.2">
      <c r="A794" s="234"/>
      <c r="B794" s="234"/>
      <c r="C794" s="234"/>
      <c r="D794" s="234"/>
      <c r="E794" s="234"/>
      <c r="F794" s="234"/>
      <c r="G794" s="234"/>
      <c r="H794" s="234"/>
      <c r="I794" s="234"/>
      <c r="J794" s="234"/>
      <c r="K794" s="234"/>
      <c r="L794" s="234"/>
      <c r="M794" s="234"/>
      <c r="N794" s="234"/>
      <c r="O794" s="234"/>
      <c r="P794" s="234"/>
      <c r="Q794" s="234"/>
      <c r="R794" s="234"/>
      <c r="S794" s="234"/>
      <c r="T794" s="234"/>
      <c r="U794" s="234"/>
      <c r="V794" s="234"/>
      <c r="W794" s="234"/>
      <c r="X794" s="234"/>
      <c r="Y794" s="234"/>
      <c r="Z794" s="234"/>
      <c r="AA794" s="234"/>
      <c r="AB794" s="234"/>
      <c r="AC794" s="234"/>
      <c r="AD794" s="234"/>
      <c r="AE794" s="234"/>
      <c r="AF794" s="234"/>
      <c r="AG794" s="234"/>
      <c r="AH794" s="234"/>
      <c r="AI794" s="234"/>
    </row>
  </sheetData>
  <mergeCells count="59">
    <mergeCell ref="B790:F790"/>
    <mergeCell ref="B791:K791"/>
    <mergeCell ref="B792:G792"/>
    <mergeCell ref="B785:C785"/>
    <mergeCell ref="B786:V786"/>
    <mergeCell ref="B787:S787"/>
    <mergeCell ref="B788:S788"/>
    <mergeCell ref="B789:G789"/>
    <mergeCell ref="B780:V780"/>
    <mergeCell ref="B781:S781"/>
    <mergeCell ref="B782:S782"/>
    <mergeCell ref="B783:E783"/>
    <mergeCell ref="B784:G784"/>
    <mergeCell ref="B775:Q775"/>
    <mergeCell ref="B776:O776"/>
    <mergeCell ref="B777:R777"/>
    <mergeCell ref="B778:R778"/>
    <mergeCell ref="B779:D779"/>
    <mergeCell ref="A649:A651"/>
    <mergeCell ref="B649:P649"/>
    <mergeCell ref="Q649:AE649"/>
    <mergeCell ref="AF649:AG649"/>
    <mergeCell ref="AH649:AI649"/>
    <mergeCell ref="A520:A522"/>
    <mergeCell ref="B520:P520"/>
    <mergeCell ref="Q520:AE520"/>
    <mergeCell ref="AF520:AG520"/>
    <mergeCell ref="AH520:AI520"/>
    <mergeCell ref="A450:A452"/>
    <mergeCell ref="B450:P450"/>
    <mergeCell ref="Q450:AE450"/>
    <mergeCell ref="AF450:AG450"/>
    <mergeCell ref="AH450:AI450"/>
    <mergeCell ref="A285:A287"/>
    <mergeCell ref="B285:P285"/>
    <mergeCell ref="Q285:AE285"/>
    <mergeCell ref="AF285:AG285"/>
    <mergeCell ref="AH285:AI285"/>
    <mergeCell ref="A5:A7"/>
    <mergeCell ref="B5:P5"/>
    <mergeCell ref="Q5:AE5"/>
    <mergeCell ref="AF5:AG5"/>
    <mergeCell ref="AH5:AI5"/>
    <mergeCell ref="A1:AI1"/>
    <mergeCell ref="A222:A224"/>
    <mergeCell ref="B222:P222"/>
    <mergeCell ref="Q222:AE222"/>
    <mergeCell ref="AF222:AG222"/>
    <mergeCell ref="AH222:AI222"/>
    <mergeCell ref="A130:A132"/>
    <mergeCell ref="B130:P130"/>
    <mergeCell ref="Q130:AE130"/>
    <mergeCell ref="AF130:AG130"/>
    <mergeCell ref="AH130:AI130"/>
    <mergeCell ref="A68:A70"/>
    <mergeCell ref="B68:P68"/>
    <mergeCell ref="Q68:AE68"/>
    <mergeCell ref="AF68:AG68"/>
    <mergeCell ref="AH68:AI68"/>
  </mergeCells>
  <phoneticPr fontId="13" type="noConversion"/>
  <printOptions horizontalCentered="1"/>
  <pageMargins left="0.25" right="0.25" top="0.75" bottom="0.75" header="0.3" footer="0.3"/>
  <pageSetup paperSize="9" scale="1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2:J146"/>
  <sheetViews>
    <sheetView tabSelected="1" zoomScaleNormal="100" zoomScaleSheetLayoutView="80" zoomScalePageLayoutView="85" workbookViewId="0">
      <selection activeCell="A10" sqref="A10"/>
    </sheetView>
  </sheetViews>
  <sheetFormatPr baseColWidth="10" defaultColWidth="11.42578125" defaultRowHeight="12" x14ac:dyDescent="0.2"/>
  <cols>
    <col min="1" max="1" width="57.140625" style="3" customWidth="1"/>
    <col min="2" max="4" width="12.7109375" style="3" customWidth="1"/>
    <col min="5" max="5" width="13.140625" style="3" customWidth="1"/>
    <col min="6" max="6" width="12.7109375" style="3" customWidth="1"/>
    <col min="7" max="7" width="14.28515625" style="3" customWidth="1"/>
    <col min="8" max="8" width="12.7109375" style="3" customWidth="1"/>
    <col min="9" max="9" width="15" style="3" customWidth="1"/>
    <col min="10" max="10" width="12.7109375" style="3" customWidth="1"/>
    <col min="11" max="16384" width="11.42578125" style="3"/>
  </cols>
  <sheetData>
    <row r="2" spans="1:10" ht="12.75" x14ac:dyDescent="0.2">
      <c r="A2" s="1360" t="s">
        <v>5279</v>
      </c>
      <c r="B2" s="1360"/>
      <c r="C2" s="1360"/>
      <c r="D2" s="1360"/>
      <c r="E2" s="1360"/>
      <c r="F2" s="1360"/>
      <c r="G2" s="1360"/>
      <c r="H2" s="1360"/>
      <c r="I2" s="1360"/>
      <c r="J2" s="1360"/>
    </row>
    <row r="3" spans="1:10" x14ac:dyDescent="0.2">
      <c r="A3" s="86" t="s">
        <v>382</v>
      </c>
      <c r="B3" s="86"/>
      <c r="C3" s="86"/>
      <c r="D3" s="86"/>
      <c r="E3" s="86"/>
      <c r="F3" s="86"/>
      <c r="G3" s="86"/>
      <c r="H3" s="1283"/>
      <c r="I3" s="1283"/>
      <c r="J3" s="1284"/>
    </row>
    <row r="4" spans="1:10" x14ac:dyDescent="0.2">
      <c r="A4" s="86" t="s">
        <v>5280</v>
      </c>
      <c r="B4" s="86"/>
      <c r="C4" s="86"/>
      <c r="D4" s="86"/>
      <c r="E4" s="86"/>
      <c r="F4" s="86"/>
      <c r="G4" s="86"/>
      <c r="H4" s="1283"/>
      <c r="I4" s="1283"/>
      <c r="J4" s="1285"/>
    </row>
    <row r="5" spans="1:10" ht="12.75" thickBot="1" x14ac:dyDescent="0.25">
      <c r="A5" s="7"/>
      <c r="B5" s="9"/>
      <c r="C5" s="85"/>
      <c r="D5" s="85"/>
      <c r="E5" s="9"/>
      <c r="F5" s="85"/>
      <c r="G5" s="85"/>
      <c r="H5" s="1286"/>
      <c r="I5" s="1286"/>
      <c r="J5" s="1287"/>
    </row>
    <row r="6" spans="1:10" ht="12.75" thickBot="1" x14ac:dyDescent="0.25">
      <c r="A6" s="1415" t="s">
        <v>24</v>
      </c>
      <c r="B6" s="1416" t="s">
        <v>381</v>
      </c>
      <c r="C6" s="1417" t="s">
        <v>383</v>
      </c>
      <c r="D6" s="1419" t="s">
        <v>384</v>
      </c>
      <c r="E6" s="1421" t="s">
        <v>385</v>
      </c>
      <c r="F6" s="1423" t="s">
        <v>386</v>
      </c>
      <c r="G6" s="1425" t="s">
        <v>355</v>
      </c>
      <c r="H6" s="1427" t="s">
        <v>354</v>
      </c>
      <c r="I6" s="1429" t="s">
        <v>387</v>
      </c>
      <c r="J6" s="1431" t="s">
        <v>354</v>
      </c>
    </row>
    <row r="7" spans="1:10" x14ac:dyDescent="0.2">
      <c r="A7" s="1415"/>
      <c r="B7" s="1415"/>
      <c r="C7" s="1418"/>
      <c r="D7" s="1420"/>
      <c r="E7" s="1422"/>
      <c r="F7" s="1424"/>
      <c r="G7" s="1426"/>
      <c r="H7" s="1428"/>
      <c r="I7" s="1430"/>
      <c r="J7" s="1432"/>
    </row>
    <row r="8" spans="1:10" ht="13.5" x14ac:dyDescent="0.2">
      <c r="A8" s="1288" t="s">
        <v>5281</v>
      </c>
      <c r="B8" s="1289">
        <v>0</v>
      </c>
      <c r="C8" s="1289">
        <v>13500</v>
      </c>
      <c r="D8" s="1289">
        <v>0</v>
      </c>
      <c r="E8" s="1215"/>
      <c r="F8" s="1185"/>
      <c r="G8" s="1290">
        <f t="shared" ref="G8:G71" si="0">D8-B8</f>
        <v>0</v>
      </c>
      <c r="H8" s="1291"/>
      <c r="I8" s="1291">
        <f t="shared" ref="I8:I71" si="1">F8-D8</f>
        <v>0</v>
      </c>
      <c r="J8" s="1292"/>
    </row>
    <row r="9" spans="1:10" ht="13.5" x14ac:dyDescent="0.2">
      <c r="A9" s="1288" t="s">
        <v>5282</v>
      </c>
      <c r="B9" s="1289">
        <v>11277</v>
      </c>
      <c r="C9" s="1289">
        <v>24664</v>
      </c>
      <c r="D9" s="1289">
        <v>10160</v>
      </c>
      <c r="E9" s="1215">
        <v>24664</v>
      </c>
      <c r="F9" s="1185">
        <v>39692</v>
      </c>
      <c r="G9" s="1290">
        <f t="shared" si="0"/>
        <v>-1117</v>
      </c>
      <c r="H9" s="1291">
        <f t="shared" ref="H9:H15" si="2">+G9*100/D9</f>
        <v>-10.994094488188976</v>
      </c>
      <c r="I9" s="1291">
        <f t="shared" si="1"/>
        <v>29532</v>
      </c>
      <c r="J9" s="1292"/>
    </row>
    <row r="10" spans="1:10" ht="13.5" x14ac:dyDescent="0.2">
      <c r="A10" s="1288" t="s">
        <v>5283</v>
      </c>
      <c r="B10" s="1289">
        <v>1122577</v>
      </c>
      <c r="C10" s="1289">
        <v>1946255</v>
      </c>
      <c r="D10" s="1289">
        <v>1081995</v>
      </c>
      <c r="E10" s="1289">
        <v>1946255</v>
      </c>
      <c r="F10" s="1185">
        <v>956617</v>
      </c>
      <c r="G10" s="1290">
        <f t="shared" si="0"/>
        <v>-40582</v>
      </c>
      <c r="H10" s="1291">
        <f t="shared" si="2"/>
        <v>-3.7506642821824498</v>
      </c>
      <c r="I10" s="1291">
        <f t="shared" si="1"/>
        <v>-125378</v>
      </c>
      <c r="J10" s="1292">
        <f t="shared" ref="J10:J71" si="3">+I10*100/F10</f>
        <v>-13.106394722234707</v>
      </c>
    </row>
    <row r="11" spans="1:10" ht="13.5" x14ac:dyDescent="0.2">
      <c r="A11" s="1288" t="s">
        <v>5284</v>
      </c>
      <c r="B11" s="1289">
        <v>213450</v>
      </c>
      <c r="C11" s="1289">
        <v>187468</v>
      </c>
      <c r="D11" s="1289">
        <v>215900</v>
      </c>
      <c r="E11" s="1289">
        <v>187468</v>
      </c>
      <c r="F11" s="1185"/>
      <c r="G11" s="1290">
        <f t="shared" si="0"/>
        <v>2450</v>
      </c>
      <c r="H11" s="1291">
        <f t="shared" si="2"/>
        <v>1.1347846225104214</v>
      </c>
      <c r="I11" s="1291">
        <f t="shared" si="1"/>
        <v>-215900</v>
      </c>
      <c r="J11" s="1292"/>
    </row>
    <row r="12" spans="1:10" ht="13.5" x14ac:dyDescent="0.2">
      <c r="A12" s="1288" t="s">
        <v>5285</v>
      </c>
      <c r="B12" s="1289">
        <v>20569974</v>
      </c>
      <c r="C12" s="1289">
        <v>15717691</v>
      </c>
      <c r="D12" s="1289">
        <v>19090860</v>
      </c>
      <c r="E12" s="1289">
        <v>15717691</v>
      </c>
      <c r="F12" s="1185">
        <v>11735084</v>
      </c>
      <c r="G12" s="1290">
        <f t="shared" si="0"/>
        <v>-1479114</v>
      </c>
      <c r="H12" s="1291">
        <f t="shared" si="2"/>
        <v>-7.7477599228112304</v>
      </c>
      <c r="I12" s="1291">
        <f t="shared" si="1"/>
        <v>-7355776</v>
      </c>
      <c r="J12" s="1292"/>
    </row>
    <row r="13" spans="1:10" ht="13.5" x14ac:dyDescent="0.2">
      <c r="A13" s="1288" t="s">
        <v>5286</v>
      </c>
      <c r="B13" s="1289">
        <v>3677863</v>
      </c>
      <c r="C13" s="1289">
        <v>3779000</v>
      </c>
      <c r="D13" s="1289">
        <v>1512021</v>
      </c>
      <c r="E13" s="1289">
        <v>3779000</v>
      </c>
      <c r="F13" s="1185"/>
      <c r="G13" s="1290">
        <f t="shared" si="0"/>
        <v>-2165842</v>
      </c>
      <c r="H13" s="1291">
        <f t="shared" si="2"/>
        <v>-143.24152905283722</v>
      </c>
      <c r="I13" s="1291">
        <f t="shared" si="1"/>
        <v>-1512021</v>
      </c>
      <c r="J13" s="1292"/>
    </row>
    <row r="14" spans="1:10" ht="13.5" x14ac:dyDescent="0.2">
      <c r="A14" s="1288" t="s">
        <v>5287</v>
      </c>
      <c r="B14" s="1289">
        <v>0</v>
      </c>
      <c r="C14" s="1289">
        <v>500</v>
      </c>
      <c r="D14" s="1289">
        <v>500</v>
      </c>
      <c r="E14" s="1215"/>
      <c r="F14" s="1185"/>
      <c r="G14" s="1290">
        <f t="shared" si="0"/>
        <v>500</v>
      </c>
      <c r="H14" s="1291">
        <f t="shared" si="2"/>
        <v>100</v>
      </c>
      <c r="I14" s="1291">
        <f t="shared" si="1"/>
        <v>-500</v>
      </c>
      <c r="J14" s="1292"/>
    </row>
    <row r="15" spans="1:10" ht="13.5" x14ac:dyDescent="0.2">
      <c r="A15" s="1288" t="s">
        <v>5288</v>
      </c>
      <c r="B15" s="1289">
        <v>2737522</v>
      </c>
      <c r="C15" s="1289">
        <v>3098933</v>
      </c>
      <c r="D15" s="1289">
        <v>2280908</v>
      </c>
      <c r="E15" s="1289">
        <v>3098933</v>
      </c>
      <c r="F15" s="1185">
        <v>2141471</v>
      </c>
      <c r="G15" s="1290">
        <f t="shared" si="0"/>
        <v>-456614</v>
      </c>
      <c r="H15" s="1291">
        <f t="shared" si="2"/>
        <v>-20.018957362594193</v>
      </c>
      <c r="I15" s="1291">
        <f t="shared" si="1"/>
        <v>-139437</v>
      </c>
      <c r="J15" s="1292"/>
    </row>
    <row r="16" spans="1:10" ht="13.5" x14ac:dyDescent="0.2">
      <c r="A16" s="1288" t="s">
        <v>5289</v>
      </c>
      <c r="B16" s="1289">
        <v>0</v>
      </c>
      <c r="C16" s="1289">
        <v>10000</v>
      </c>
      <c r="D16" s="1289">
        <v>0</v>
      </c>
      <c r="E16" s="1289">
        <v>10000</v>
      </c>
      <c r="F16" s="1185"/>
      <c r="G16" s="1290">
        <f t="shared" si="0"/>
        <v>0</v>
      </c>
      <c r="H16" s="1291"/>
      <c r="I16" s="1291">
        <f t="shared" si="1"/>
        <v>0</v>
      </c>
      <c r="J16" s="1292"/>
    </row>
    <row r="17" spans="1:10" ht="13.5" x14ac:dyDescent="0.2">
      <c r="A17" s="1288" t="s">
        <v>5290</v>
      </c>
      <c r="B17" s="1289">
        <v>87585</v>
      </c>
      <c r="C17" s="1289">
        <v>50742</v>
      </c>
      <c r="D17" s="1289">
        <v>102222</v>
      </c>
      <c r="E17" s="1289">
        <v>50742</v>
      </c>
      <c r="F17" s="1185">
        <v>76600</v>
      </c>
      <c r="G17" s="1290">
        <f t="shared" si="0"/>
        <v>14637</v>
      </c>
      <c r="H17" s="1291">
        <f>+G17*100/D17</f>
        <v>14.318835475729296</v>
      </c>
      <c r="I17" s="1291">
        <f t="shared" si="1"/>
        <v>-25622</v>
      </c>
      <c r="J17" s="1292">
        <f t="shared" si="3"/>
        <v>-33.449086161879897</v>
      </c>
    </row>
    <row r="18" spans="1:10" ht="13.5" x14ac:dyDescent="0.2">
      <c r="A18" s="1288" t="s">
        <v>5291</v>
      </c>
      <c r="B18" s="1289"/>
      <c r="C18" s="1289">
        <v>2131</v>
      </c>
      <c r="D18" s="1289">
        <v>0</v>
      </c>
      <c r="E18" s="1289">
        <v>2131</v>
      </c>
      <c r="F18" s="1185"/>
      <c r="G18" s="1290">
        <f t="shared" si="0"/>
        <v>0</v>
      </c>
      <c r="H18" s="1291"/>
      <c r="I18" s="1291">
        <f t="shared" si="1"/>
        <v>0</v>
      </c>
      <c r="J18" s="1292"/>
    </row>
    <row r="19" spans="1:10" ht="13.5" x14ac:dyDescent="0.2">
      <c r="A19" s="1288" t="s">
        <v>5292</v>
      </c>
      <c r="B19" s="1289">
        <v>0</v>
      </c>
      <c r="C19" s="1289">
        <v>3548160</v>
      </c>
      <c r="D19" s="1289">
        <v>0</v>
      </c>
      <c r="E19" s="1289">
        <v>3548160</v>
      </c>
      <c r="F19" s="1185"/>
      <c r="G19" s="1290">
        <f t="shared" si="0"/>
        <v>0</v>
      </c>
      <c r="H19" s="1291"/>
      <c r="I19" s="1291">
        <f t="shared" si="1"/>
        <v>0</v>
      </c>
      <c r="J19" s="1292"/>
    </row>
    <row r="20" spans="1:10" ht="13.5" x14ac:dyDescent="0.2">
      <c r="A20" s="1288" t="s">
        <v>5293</v>
      </c>
      <c r="B20" s="1289">
        <v>0</v>
      </c>
      <c r="C20" s="1215"/>
      <c r="D20" s="1215"/>
      <c r="E20" s="1215"/>
      <c r="F20" s="1185"/>
      <c r="G20" s="1290">
        <f t="shared" si="0"/>
        <v>0</v>
      </c>
      <c r="H20" s="1291"/>
      <c r="I20" s="1291">
        <f t="shared" si="1"/>
        <v>0</v>
      </c>
      <c r="J20" s="1292"/>
    </row>
    <row r="21" spans="1:10" ht="13.5" x14ac:dyDescent="0.2">
      <c r="A21" s="1288" t="s">
        <v>5294</v>
      </c>
      <c r="B21" s="1289">
        <v>281469</v>
      </c>
      <c r="C21" s="1289">
        <v>257346</v>
      </c>
      <c r="D21" s="1289">
        <v>245762</v>
      </c>
      <c r="E21" s="1289">
        <v>257346</v>
      </c>
      <c r="F21" s="1185"/>
      <c r="G21" s="1290">
        <f t="shared" si="0"/>
        <v>-35707</v>
      </c>
      <c r="H21" s="1291">
        <f t="shared" ref="H21:H29" si="4">+G21*100/D21</f>
        <v>-14.529097256695502</v>
      </c>
      <c r="I21" s="1291">
        <f t="shared" si="1"/>
        <v>-245762</v>
      </c>
      <c r="J21" s="1292"/>
    </row>
    <row r="22" spans="1:10" ht="13.5" x14ac:dyDescent="0.2">
      <c r="A22" s="1288" t="s">
        <v>5295</v>
      </c>
      <c r="B22" s="1289">
        <v>6105</v>
      </c>
      <c r="C22" s="1289">
        <v>2030</v>
      </c>
      <c r="D22" s="1289">
        <v>5030</v>
      </c>
      <c r="E22" s="1215">
        <v>2030</v>
      </c>
      <c r="F22" s="1185">
        <v>5882</v>
      </c>
      <c r="G22" s="1290">
        <f t="shared" si="0"/>
        <v>-1075</v>
      </c>
      <c r="H22" s="1291">
        <f t="shared" si="4"/>
        <v>-21.371769383697814</v>
      </c>
      <c r="I22" s="1291">
        <f t="shared" si="1"/>
        <v>852</v>
      </c>
      <c r="J22" s="1292">
        <f t="shared" si="3"/>
        <v>14.484869092145528</v>
      </c>
    </row>
    <row r="23" spans="1:10" ht="13.5" x14ac:dyDescent="0.2">
      <c r="A23" s="1288" t="s">
        <v>5296</v>
      </c>
      <c r="B23" s="1289">
        <v>13152974</v>
      </c>
      <c r="C23" s="1289">
        <v>5883846</v>
      </c>
      <c r="D23" s="1289">
        <v>6120681</v>
      </c>
      <c r="E23" s="1215">
        <v>5883846</v>
      </c>
      <c r="F23" s="1185">
        <v>6404831</v>
      </c>
      <c r="G23" s="1290">
        <f t="shared" si="0"/>
        <v>-7032293</v>
      </c>
      <c r="H23" s="1291">
        <f t="shared" si="4"/>
        <v>-114.89396359653443</v>
      </c>
      <c r="I23" s="1291">
        <f t="shared" si="1"/>
        <v>284150</v>
      </c>
      <c r="J23" s="1292"/>
    </row>
    <row r="24" spans="1:10" ht="13.5" x14ac:dyDescent="0.2">
      <c r="A24" s="1288" t="s">
        <v>5297</v>
      </c>
      <c r="B24" s="1289">
        <v>6000</v>
      </c>
      <c r="C24" s="1289">
        <v>187095</v>
      </c>
      <c r="D24" s="1289">
        <v>1000</v>
      </c>
      <c r="E24" s="1289">
        <v>187095</v>
      </c>
      <c r="F24" s="1185"/>
      <c r="G24" s="1290">
        <f t="shared" si="0"/>
        <v>-5000</v>
      </c>
      <c r="H24" s="1291">
        <f t="shared" si="4"/>
        <v>-500</v>
      </c>
      <c r="I24" s="1291">
        <f t="shared" si="1"/>
        <v>-1000</v>
      </c>
      <c r="J24" s="1292"/>
    </row>
    <row r="25" spans="1:10" ht="13.5" x14ac:dyDescent="0.2">
      <c r="A25" s="1288" t="s">
        <v>5298</v>
      </c>
      <c r="B25" s="1289">
        <v>1433</v>
      </c>
      <c r="C25" s="1289">
        <v>266742</v>
      </c>
      <c r="D25" s="1289">
        <v>42008</v>
      </c>
      <c r="E25" s="1289">
        <v>266742</v>
      </c>
      <c r="F25" s="1185">
        <v>121114</v>
      </c>
      <c r="G25" s="1290">
        <f t="shared" si="0"/>
        <v>40575</v>
      </c>
      <c r="H25" s="1291">
        <f t="shared" si="4"/>
        <v>96.588745000952201</v>
      </c>
      <c r="I25" s="1291">
        <f t="shared" si="1"/>
        <v>79106</v>
      </c>
      <c r="J25" s="1292">
        <f t="shared" si="3"/>
        <v>65.315322753769181</v>
      </c>
    </row>
    <row r="26" spans="1:10" ht="13.5" x14ac:dyDescent="0.2">
      <c r="A26" s="1288" t="s">
        <v>244</v>
      </c>
      <c r="B26" s="1289">
        <v>67436100</v>
      </c>
      <c r="C26" s="1289">
        <v>130158408</v>
      </c>
      <c r="D26" s="1289">
        <v>62121392</v>
      </c>
      <c r="E26" s="1289">
        <v>130158408</v>
      </c>
      <c r="F26" s="1185">
        <v>63076475</v>
      </c>
      <c r="G26" s="1290">
        <f t="shared" si="0"/>
        <v>-5314708</v>
      </c>
      <c r="H26" s="1291">
        <f t="shared" si="4"/>
        <v>-8.5553588367755822</v>
      </c>
      <c r="I26" s="1291">
        <f t="shared" si="1"/>
        <v>955083</v>
      </c>
      <c r="J26" s="1292">
        <f t="shared" si="3"/>
        <v>1.5141667317331857</v>
      </c>
    </row>
    <row r="27" spans="1:10" ht="13.5" x14ac:dyDescent="0.2">
      <c r="A27" s="1288" t="s">
        <v>5299</v>
      </c>
      <c r="B27" s="1289">
        <v>2877825</v>
      </c>
      <c r="C27" s="1289">
        <v>8004338</v>
      </c>
      <c r="D27" s="1289">
        <v>3584038</v>
      </c>
      <c r="E27" s="1289">
        <v>8004338</v>
      </c>
      <c r="F27" s="1185">
        <v>626587</v>
      </c>
      <c r="G27" s="1290">
        <f t="shared" si="0"/>
        <v>706213</v>
      </c>
      <c r="H27" s="1291">
        <f t="shared" si="4"/>
        <v>19.704394875277551</v>
      </c>
      <c r="I27" s="1291">
        <f t="shared" si="1"/>
        <v>-2957451</v>
      </c>
      <c r="J27" s="1292">
        <f t="shared" si="3"/>
        <v>-471.99367366383279</v>
      </c>
    </row>
    <row r="28" spans="1:10" ht="13.5" x14ac:dyDescent="0.2">
      <c r="A28" s="1288" t="s">
        <v>5300</v>
      </c>
      <c r="B28" s="1289">
        <v>0</v>
      </c>
      <c r="C28" s="1289">
        <v>3516</v>
      </c>
      <c r="D28" s="1289">
        <v>7873</v>
      </c>
      <c r="E28" s="1289">
        <v>3516</v>
      </c>
      <c r="F28" s="1185">
        <v>5022</v>
      </c>
      <c r="G28" s="1290">
        <f t="shared" si="0"/>
        <v>7873</v>
      </c>
      <c r="H28" s="1291">
        <f t="shared" si="4"/>
        <v>100</v>
      </c>
      <c r="I28" s="1291">
        <f t="shared" si="1"/>
        <v>-2851</v>
      </c>
      <c r="J28" s="1292">
        <f t="shared" si="3"/>
        <v>-56.77021107128634</v>
      </c>
    </row>
    <row r="29" spans="1:10" ht="13.5" x14ac:dyDescent="0.2">
      <c r="A29" s="1288" t="s">
        <v>5301</v>
      </c>
      <c r="B29" s="1289">
        <v>677759</v>
      </c>
      <c r="C29" s="1289">
        <v>468603</v>
      </c>
      <c r="D29" s="1289">
        <v>519216</v>
      </c>
      <c r="E29" s="1215">
        <v>468603</v>
      </c>
      <c r="F29" s="1185">
        <v>626587</v>
      </c>
      <c r="G29" s="1290">
        <f t="shared" si="0"/>
        <v>-158543</v>
      </c>
      <c r="H29" s="1291">
        <f t="shared" si="4"/>
        <v>-30.535075960679176</v>
      </c>
      <c r="I29" s="1291">
        <f t="shared" si="1"/>
        <v>107371</v>
      </c>
      <c r="J29" s="1292">
        <f t="shared" si="3"/>
        <v>17.135848653100048</v>
      </c>
    </row>
    <row r="30" spans="1:10" ht="13.5" x14ac:dyDescent="0.2">
      <c r="A30" s="1288" t="s">
        <v>5302</v>
      </c>
      <c r="B30" s="1289">
        <v>12527233</v>
      </c>
      <c r="C30" s="1289">
        <v>1196383</v>
      </c>
      <c r="D30" s="1289">
        <v>0</v>
      </c>
      <c r="E30" s="1289">
        <v>1196383</v>
      </c>
      <c r="F30" s="1185">
        <v>9543816</v>
      </c>
      <c r="G30" s="1290">
        <f t="shared" si="0"/>
        <v>-12527233</v>
      </c>
      <c r="H30" s="1291"/>
      <c r="I30" s="1291">
        <f t="shared" si="1"/>
        <v>9543816</v>
      </c>
      <c r="J30" s="1292">
        <f t="shared" si="3"/>
        <v>100</v>
      </c>
    </row>
    <row r="31" spans="1:10" ht="13.5" x14ac:dyDescent="0.2">
      <c r="A31" s="1288" t="s">
        <v>5303</v>
      </c>
      <c r="B31" s="1289">
        <v>141833</v>
      </c>
      <c r="C31" s="1289">
        <v>81617</v>
      </c>
      <c r="D31" s="1289">
        <v>48236</v>
      </c>
      <c r="E31" s="1289">
        <v>81617</v>
      </c>
      <c r="F31" s="1185">
        <v>33450</v>
      </c>
      <c r="G31" s="1290">
        <f t="shared" si="0"/>
        <v>-93597</v>
      </c>
      <c r="H31" s="1291">
        <f t="shared" ref="H31:H45" si="5">+G31*100/D31</f>
        <v>-194.03972136993116</v>
      </c>
      <c r="I31" s="1291">
        <f t="shared" si="1"/>
        <v>-14786</v>
      </c>
      <c r="J31" s="1292">
        <f t="shared" si="3"/>
        <v>-44.20328849028401</v>
      </c>
    </row>
    <row r="32" spans="1:10" ht="13.5" x14ac:dyDescent="0.2">
      <c r="A32" s="1288" t="s">
        <v>5304</v>
      </c>
      <c r="B32" s="1289">
        <v>10616</v>
      </c>
      <c r="C32" s="1289">
        <v>7882</v>
      </c>
      <c r="D32" s="1289">
        <v>6766</v>
      </c>
      <c r="E32" s="1289">
        <v>7882</v>
      </c>
      <c r="F32" s="1185">
        <v>9850</v>
      </c>
      <c r="G32" s="1290">
        <f t="shared" si="0"/>
        <v>-3850</v>
      </c>
      <c r="H32" s="1291">
        <f t="shared" si="5"/>
        <v>-56.902157848063851</v>
      </c>
      <c r="I32" s="1291">
        <f t="shared" si="1"/>
        <v>3084</v>
      </c>
      <c r="J32" s="1292">
        <f t="shared" si="3"/>
        <v>31.309644670050762</v>
      </c>
    </row>
    <row r="33" spans="1:10" ht="13.5" x14ac:dyDescent="0.2">
      <c r="A33" s="1288" t="s">
        <v>5305</v>
      </c>
      <c r="B33" s="1289">
        <v>91639</v>
      </c>
      <c r="C33" s="1289">
        <v>29105</v>
      </c>
      <c r="D33" s="1289">
        <v>27793</v>
      </c>
      <c r="E33" s="1289">
        <v>29105</v>
      </c>
      <c r="F33" s="1185"/>
      <c r="G33" s="1290">
        <f t="shared" si="0"/>
        <v>-63846</v>
      </c>
      <c r="H33" s="1291">
        <f t="shared" si="5"/>
        <v>-229.71971359694888</v>
      </c>
      <c r="I33" s="1291">
        <f t="shared" si="1"/>
        <v>-27793</v>
      </c>
      <c r="J33" s="1292"/>
    </row>
    <row r="34" spans="1:10" ht="13.5" x14ac:dyDescent="0.2">
      <c r="A34" s="1288" t="s">
        <v>5306</v>
      </c>
      <c r="B34" s="1289">
        <v>265398</v>
      </c>
      <c r="C34" s="1289">
        <v>14674487</v>
      </c>
      <c r="D34" s="1289">
        <v>753558</v>
      </c>
      <c r="E34" s="1289">
        <v>14674487</v>
      </c>
      <c r="F34" s="1185">
        <v>997792</v>
      </c>
      <c r="G34" s="1290">
        <f t="shared" si="0"/>
        <v>488160</v>
      </c>
      <c r="H34" s="1291">
        <f t="shared" si="5"/>
        <v>64.780680451936021</v>
      </c>
      <c r="I34" s="1291">
        <f t="shared" si="1"/>
        <v>244234</v>
      </c>
      <c r="J34" s="1292">
        <f t="shared" si="3"/>
        <v>24.477446201212278</v>
      </c>
    </row>
    <row r="35" spans="1:10" ht="13.5" x14ac:dyDescent="0.2">
      <c r="A35" s="1288" t="s">
        <v>5307</v>
      </c>
      <c r="B35" s="1289">
        <v>582690</v>
      </c>
      <c r="C35" s="1289">
        <v>534363</v>
      </c>
      <c r="D35" s="1289">
        <v>467722</v>
      </c>
      <c r="E35" s="1289">
        <v>534363</v>
      </c>
      <c r="F35" s="1185">
        <v>836851</v>
      </c>
      <c r="G35" s="1290">
        <f t="shared" si="0"/>
        <v>-114968</v>
      </c>
      <c r="H35" s="1291">
        <f t="shared" si="5"/>
        <v>-24.580413151401903</v>
      </c>
      <c r="I35" s="1291">
        <f t="shared" si="1"/>
        <v>369129</v>
      </c>
      <c r="J35" s="1292">
        <f t="shared" si="3"/>
        <v>44.10928588243307</v>
      </c>
    </row>
    <row r="36" spans="1:10" ht="13.5" x14ac:dyDescent="0.2">
      <c r="A36" s="1288" t="s">
        <v>5308</v>
      </c>
      <c r="B36" s="1289">
        <v>270263</v>
      </c>
      <c r="C36" s="1289">
        <v>1933396</v>
      </c>
      <c r="D36" s="1289">
        <v>316221</v>
      </c>
      <c r="E36" s="1289">
        <v>1933396</v>
      </c>
      <c r="F36" s="1185">
        <v>372191</v>
      </c>
      <c r="G36" s="1290">
        <f t="shared" si="0"/>
        <v>45958</v>
      </c>
      <c r="H36" s="1291">
        <f t="shared" si="5"/>
        <v>14.533506629856968</v>
      </c>
      <c r="I36" s="1291">
        <f t="shared" si="1"/>
        <v>55970</v>
      </c>
      <c r="J36" s="1292">
        <f t="shared" si="3"/>
        <v>15.037977812467254</v>
      </c>
    </row>
    <row r="37" spans="1:10" ht="13.5" x14ac:dyDescent="0.2">
      <c r="A37" s="1288" t="s">
        <v>5309</v>
      </c>
      <c r="B37" s="1289">
        <v>5933</v>
      </c>
      <c r="C37" s="1289">
        <v>1055514</v>
      </c>
      <c r="D37" s="1289">
        <v>11933</v>
      </c>
      <c r="E37" s="1289">
        <v>1055514</v>
      </c>
      <c r="F37" s="1185">
        <v>6533</v>
      </c>
      <c r="G37" s="1290">
        <f t="shared" si="0"/>
        <v>6000</v>
      </c>
      <c r="H37" s="1291">
        <f t="shared" si="5"/>
        <v>50.280734098717843</v>
      </c>
      <c r="I37" s="1291">
        <f t="shared" si="1"/>
        <v>-5400</v>
      </c>
      <c r="J37" s="1292">
        <f t="shared" si="3"/>
        <v>-82.657278432573094</v>
      </c>
    </row>
    <row r="38" spans="1:10" ht="13.5" x14ac:dyDescent="0.2">
      <c r="A38" s="1288" t="s">
        <v>5310</v>
      </c>
      <c r="B38" s="1289">
        <v>10249</v>
      </c>
      <c r="C38" s="1289">
        <v>81580</v>
      </c>
      <c r="D38" s="1289">
        <v>19650</v>
      </c>
      <c r="E38" s="1289">
        <v>81580</v>
      </c>
      <c r="F38" s="1185">
        <v>40388</v>
      </c>
      <c r="G38" s="1290">
        <f t="shared" si="0"/>
        <v>9401</v>
      </c>
      <c r="H38" s="1291">
        <f t="shared" si="5"/>
        <v>47.842239185750635</v>
      </c>
      <c r="I38" s="1291">
        <f t="shared" si="1"/>
        <v>20738</v>
      </c>
      <c r="J38" s="1292">
        <f t="shared" si="3"/>
        <v>51.346934733089036</v>
      </c>
    </row>
    <row r="39" spans="1:10" ht="13.5" x14ac:dyDescent="0.2">
      <c r="A39" s="1288" t="s">
        <v>5311</v>
      </c>
      <c r="B39" s="1289">
        <v>26586</v>
      </c>
      <c r="C39" s="1289">
        <v>20586</v>
      </c>
      <c r="D39" s="1289">
        <v>5586</v>
      </c>
      <c r="E39" s="1289">
        <v>20586</v>
      </c>
      <c r="F39" s="1185"/>
      <c r="G39" s="1290">
        <f t="shared" si="0"/>
        <v>-21000</v>
      </c>
      <c r="H39" s="1291">
        <f t="shared" si="5"/>
        <v>-375.93984962406017</v>
      </c>
      <c r="I39" s="1291">
        <f t="shared" si="1"/>
        <v>-5586</v>
      </c>
      <c r="J39" s="1292"/>
    </row>
    <row r="40" spans="1:10" ht="13.5" x14ac:dyDescent="0.2">
      <c r="A40" s="1288" t="s">
        <v>5312</v>
      </c>
      <c r="B40" s="1289">
        <v>37597</v>
      </c>
      <c r="C40" s="1289">
        <v>169857</v>
      </c>
      <c r="D40" s="1289">
        <v>59870</v>
      </c>
      <c r="E40" s="1289">
        <v>169857</v>
      </c>
      <c r="F40" s="1185">
        <v>32700</v>
      </c>
      <c r="G40" s="1290">
        <f t="shared" si="0"/>
        <v>22273</v>
      </c>
      <c r="H40" s="1291">
        <f t="shared" si="5"/>
        <v>37.202271588441626</v>
      </c>
      <c r="I40" s="1291">
        <f t="shared" si="1"/>
        <v>-27170</v>
      </c>
      <c r="J40" s="1292">
        <f t="shared" si="3"/>
        <v>-83.088685015290523</v>
      </c>
    </row>
    <row r="41" spans="1:10" ht="13.5" x14ac:dyDescent="0.2">
      <c r="A41" s="1288" t="s">
        <v>5313</v>
      </c>
      <c r="B41" s="1289">
        <v>75901</v>
      </c>
      <c r="C41" s="1289">
        <v>54700</v>
      </c>
      <c r="D41" s="1289">
        <v>28351</v>
      </c>
      <c r="E41" s="1289">
        <v>54700</v>
      </c>
      <c r="F41" s="1185">
        <v>20570</v>
      </c>
      <c r="G41" s="1290">
        <f t="shared" si="0"/>
        <v>-47550</v>
      </c>
      <c r="H41" s="1291">
        <f t="shared" si="5"/>
        <v>-167.71895171246163</v>
      </c>
      <c r="I41" s="1291">
        <f t="shared" si="1"/>
        <v>-7781</v>
      </c>
      <c r="J41" s="1292">
        <f t="shared" si="3"/>
        <v>-37.826932425862907</v>
      </c>
    </row>
    <row r="42" spans="1:10" ht="13.5" x14ac:dyDescent="0.2">
      <c r="A42" s="1288" t="s">
        <v>5314</v>
      </c>
      <c r="B42" s="1289">
        <v>1162104</v>
      </c>
      <c r="C42" s="1289">
        <v>966094</v>
      </c>
      <c r="D42" s="1289">
        <v>239437</v>
      </c>
      <c r="E42" s="1289">
        <v>966094</v>
      </c>
      <c r="F42" s="1185"/>
      <c r="G42" s="1290">
        <f t="shared" si="0"/>
        <v>-922667</v>
      </c>
      <c r="H42" s="1291">
        <f t="shared" si="5"/>
        <v>-385.34854679936683</v>
      </c>
      <c r="I42" s="1291">
        <f t="shared" si="1"/>
        <v>-239437</v>
      </c>
      <c r="J42" s="1292"/>
    </row>
    <row r="43" spans="1:10" ht="13.5" x14ac:dyDescent="0.2">
      <c r="A43" s="1288" t="s">
        <v>5315</v>
      </c>
      <c r="B43" s="1289">
        <v>301229</v>
      </c>
      <c r="C43" s="1289">
        <v>280653</v>
      </c>
      <c r="D43" s="1289">
        <v>189396</v>
      </c>
      <c r="E43" s="1289">
        <v>280653</v>
      </c>
      <c r="F43" s="1185"/>
      <c r="G43" s="1290">
        <f t="shared" si="0"/>
        <v>-111833</v>
      </c>
      <c r="H43" s="1291">
        <f t="shared" si="5"/>
        <v>-59.047181566664555</v>
      </c>
      <c r="I43" s="1291">
        <f t="shared" si="1"/>
        <v>-189396</v>
      </c>
      <c r="J43" s="1292"/>
    </row>
    <row r="44" spans="1:10" ht="13.5" x14ac:dyDescent="0.2">
      <c r="A44" s="1288" t="s">
        <v>5316</v>
      </c>
      <c r="B44" s="1289">
        <v>67220</v>
      </c>
      <c r="C44" s="1289">
        <v>1008758</v>
      </c>
      <c r="D44" s="1289">
        <v>118006</v>
      </c>
      <c r="E44" s="1289">
        <v>1008758</v>
      </c>
      <c r="F44" s="1185">
        <v>333935</v>
      </c>
      <c r="G44" s="1290">
        <f t="shared" si="0"/>
        <v>50786</v>
      </c>
      <c r="H44" s="1291">
        <f t="shared" si="5"/>
        <v>43.036794739250546</v>
      </c>
      <c r="I44" s="1291">
        <f t="shared" si="1"/>
        <v>215929</v>
      </c>
      <c r="J44" s="1292">
        <f t="shared" si="3"/>
        <v>64.661985116864059</v>
      </c>
    </row>
    <row r="45" spans="1:10" ht="13.5" x14ac:dyDescent="0.2">
      <c r="A45" s="1288" t="s">
        <v>5315</v>
      </c>
      <c r="B45" s="1289">
        <v>132883</v>
      </c>
      <c r="C45" s="1289">
        <v>987500</v>
      </c>
      <c r="D45" s="1289">
        <v>571746</v>
      </c>
      <c r="E45" s="1289">
        <v>987500</v>
      </c>
      <c r="F45" s="1185"/>
      <c r="G45" s="1290">
        <f t="shared" si="0"/>
        <v>438863</v>
      </c>
      <c r="H45" s="1291">
        <f t="shared" si="5"/>
        <v>76.758385716734352</v>
      </c>
      <c r="I45" s="1291">
        <f t="shared" si="1"/>
        <v>-571746</v>
      </c>
      <c r="J45" s="1292"/>
    </row>
    <row r="46" spans="1:10" ht="13.5" x14ac:dyDescent="0.2">
      <c r="A46" s="1288" t="s">
        <v>5317</v>
      </c>
      <c r="B46" s="1289">
        <v>0</v>
      </c>
      <c r="C46" s="1289">
        <v>112015</v>
      </c>
      <c r="D46" s="1289">
        <v>0</v>
      </c>
      <c r="E46" s="1289">
        <v>112015</v>
      </c>
      <c r="F46" s="1185">
        <v>40000</v>
      </c>
      <c r="G46" s="1290">
        <f t="shared" si="0"/>
        <v>0</v>
      </c>
      <c r="H46" s="1291"/>
      <c r="I46" s="1291">
        <f t="shared" si="1"/>
        <v>40000</v>
      </c>
      <c r="J46" s="1292">
        <f t="shared" si="3"/>
        <v>100</v>
      </c>
    </row>
    <row r="47" spans="1:10" ht="13.5" x14ac:dyDescent="0.2">
      <c r="A47" s="1288" t="s">
        <v>5318</v>
      </c>
      <c r="B47" s="1289">
        <v>79873</v>
      </c>
      <c r="C47" s="1289">
        <v>97595</v>
      </c>
      <c r="D47" s="1289">
        <v>60502</v>
      </c>
      <c r="E47" s="1289">
        <v>97595</v>
      </c>
      <c r="F47" s="1185">
        <v>41439</v>
      </c>
      <c r="G47" s="1290">
        <f t="shared" si="0"/>
        <v>-19371</v>
      </c>
      <c r="H47" s="1291">
        <f>+G47*100/D47</f>
        <v>-32.017123400879306</v>
      </c>
      <c r="I47" s="1291">
        <f t="shared" si="1"/>
        <v>-19063</v>
      </c>
      <c r="J47" s="1292">
        <f t="shared" si="3"/>
        <v>-46.002557976785155</v>
      </c>
    </row>
    <row r="48" spans="1:10" ht="13.5" x14ac:dyDescent="0.2">
      <c r="A48" s="1288" t="s">
        <v>5319</v>
      </c>
      <c r="B48" s="1289">
        <v>287351</v>
      </c>
      <c r="C48" s="1289">
        <v>319554</v>
      </c>
      <c r="D48" s="1289">
        <v>236558</v>
      </c>
      <c r="E48" s="1289">
        <v>319554</v>
      </c>
      <c r="F48" s="1185"/>
      <c r="G48" s="1290">
        <f t="shared" si="0"/>
        <v>-50793</v>
      </c>
      <c r="H48" s="1291">
        <f>+G48*100/D48</f>
        <v>-21.471689818141851</v>
      </c>
      <c r="I48" s="1291">
        <f t="shared" si="1"/>
        <v>-236558</v>
      </c>
      <c r="J48" s="1292"/>
    </row>
    <row r="49" spans="1:10" ht="13.5" x14ac:dyDescent="0.2">
      <c r="A49" s="1288" t="s">
        <v>5320</v>
      </c>
      <c r="B49" s="1289">
        <v>100</v>
      </c>
      <c r="C49" s="1289">
        <v>5552</v>
      </c>
      <c r="D49" s="1289">
        <v>600</v>
      </c>
      <c r="E49" s="1289">
        <v>5552</v>
      </c>
      <c r="F49" s="1185">
        <v>3000</v>
      </c>
      <c r="G49" s="1290">
        <f t="shared" si="0"/>
        <v>500</v>
      </c>
      <c r="H49" s="1291">
        <f>+G49*100/D49</f>
        <v>83.333333333333329</v>
      </c>
      <c r="I49" s="1291">
        <f t="shared" si="1"/>
        <v>2400</v>
      </c>
      <c r="J49" s="1292">
        <f t="shared" si="3"/>
        <v>80</v>
      </c>
    </row>
    <row r="50" spans="1:10" ht="13.5" x14ac:dyDescent="0.2">
      <c r="A50" s="1288" t="s">
        <v>243</v>
      </c>
      <c r="B50" s="1289">
        <v>550563</v>
      </c>
      <c r="C50" s="1289">
        <v>342408</v>
      </c>
      <c r="D50" s="1289">
        <v>176317</v>
      </c>
      <c r="E50" s="1289">
        <v>342408</v>
      </c>
      <c r="F50" s="1185"/>
      <c r="G50" s="1290">
        <f t="shared" si="0"/>
        <v>-374246</v>
      </c>
      <c r="H50" s="1291">
        <f>+G50*100/D50</f>
        <v>-212.25746808305496</v>
      </c>
      <c r="I50" s="1291">
        <f t="shared" si="1"/>
        <v>-176317</v>
      </c>
      <c r="J50" s="1292"/>
    </row>
    <row r="51" spans="1:10" ht="13.5" x14ac:dyDescent="0.2">
      <c r="A51" s="1288" t="s">
        <v>5321</v>
      </c>
      <c r="B51" s="1215"/>
      <c r="C51" s="1289">
        <v>3517980</v>
      </c>
      <c r="D51" s="1289">
        <v>0</v>
      </c>
      <c r="E51" s="1289">
        <v>3517980</v>
      </c>
      <c r="F51" s="1185"/>
      <c r="G51" s="1290">
        <f t="shared" si="0"/>
        <v>0</v>
      </c>
      <c r="H51" s="1291"/>
      <c r="I51" s="1291">
        <f t="shared" si="1"/>
        <v>0</v>
      </c>
      <c r="J51" s="1292"/>
    </row>
    <row r="52" spans="1:10" ht="13.5" x14ac:dyDescent="0.2">
      <c r="A52" s="1288" t="s">
        <v>5322</v>
      </c>
      <c r="B52" s="1215"/>
      <c r="C52" s="1289">
        <v>5927756</v>
      </c>
      <c r="D52" s="1289">
        <v>0</v>
      </c>
      <c r="E52" s="1215"/>
      <c r="F52" s="1185"/>
      <c r="G52" s="1290">
        <f t="shared" si="0"/>
        <v>0</v>
      </c>
      <c r="H52" s="1291"/>
      <c r="I52" s="1291">
        <f t="shared" si="1"/>
        <v>0</v>
      </c>
      <c r="J52" s="1292"/>
    </row>
    <row r="53" spans="1:10" ht="13.5" x14ac:dyDescent="0.2">
      <c r="A53" s="1288" t="s">
        <v>5323</v>
      </c>
      <c r="B53" s="1289">
        <v>9000</v>
      </c>
      <c r="C53" s="1289">
        <v>3529</v>
      </c>
      <c r="D53" s="1289">
        <v>3529</v>
      </c>
      <c r="E53" s="1215"/>
      <c r="F53" s="1215"/>
      <c r="G53" s="1290">
        <f t="shared" si="0"/>
        <v>-5471</v>
      </c>
      <c r="H53" s="1291">
        <f>+G53*100/D53</f>
        <v>-155.02975347123831</v>
      </c>
      <c r="I53" s="1291">
        <f t="shared" si="1"/>
        <v>-3529</v>
      </c>
      <c r="J53" s="1292"/>
    </row>
    <row r="54" spans="1:10" ht="13.5" x14ac:dyDescent="0.2">
      <c r="A54" s="1288" t="s">
        <v>5323</v>
      </c>
      <c r="B54" s="1215"/>
      <c r="C54" s="1289">
        <v>30000</v>
      </c>
      <c r="D54" s="1289">
        <v>0</v>
      </c>
      <c r="E54" s="1215"/>
      <c r="F54" s="1215"/>
      <c r="G54" s="1290">
        <f t="shared" si="0"/>
        <v>0</v>
      </c>
      <c r="H54" s="1291"/>
      <c r="I54" s="1291">
        <f t="shared" si="1"/>
        <v>0</v>
      </c>
      <c r="J54" s="1292"/>
    </row>
    <row r="55" spans="1:10" ht="13.5" x14ac:dyDescent="0.2">
      <c r="A55" s="1288" t="s">
        <v>5324</v>
      </c>
      <c r="B55" s="1289">
        <v>49272</v>
      </c>
      <c r="C55" s="1289">
        <v>26308</v>
      </c>
      <c r="D55" s="1289">
        <v>19078</v>
      </c>
      <c r="E55" s="1289">
        <v>26308</v>
      </c>
      <c r="F55" s="1185"/>
      <c r="G55" s="1290">
        <f t="shared" si="0"/>
        <v>-30194</v>
      </c>
      <c r="H55" s="1291">
        <f>+G55*100/D55</f>
        <v>-158.2660656253276</v>
      </c>
      <c r="I55" s="1291">
        <f t="shared" si="1"/>
        <v>-19078</v>
      </c>
      <c r="J55" s="1292"/>
    </row>
    <row r="56" spans="1:10" ht="13.5" x14ac:dyDescent="0.2">
      <c r="A56" s="1288" t="s">
        <v>5325</v>
      </c>
      <c r="B56" s="1289">
        <v>246019</v>
      </c>
      <c r="C56" s="1289">
        <v>183105</v>
      </c>
      <c r="D56" s="1289">
        <v>403269</v>
      </c>
      <c r="E56" s="1289">
        <v>183105</v>
      </c>
      <c r="F56" s="1185"/>
      <c r="G56" s="1290">
        <f t="shared" si="0"/>
        <v>157250</v>
      </c>
      <c r="H56" s="1291">
        <f>+G56*100/D56</f>
        <v>38.9938229816822</v>
      </c>
      <c r="I56" s="1291">
        <f t="shared" si="1"/>
        <v>-403269</v>
      </c>
      <c r="J56" s="1292"/>
    </row>
    <row r="57" spans="1:10" ht="13.5" x14ac:dyDescent="0.2">
      <c r="A57" s="1288" t="s">
        <v>5326</v>
      </c>
      <c r="B57" s="1289">
        <v>121401</v>
      </c>
      <c r="C57" s="1289">
        <v>8687</v>
      </c>
      <c r="D57" s="1289">
        <v>72857</v>
      </c>
      <c r="E57" s="1289">
        <v>8687</v>
      </c>
      <c r="F57" s="1185">
        <v>48375</v>
      </c>
      <c r="G57" s="1290">
        <f t="shared" si="0"/>
        <v>-48544</v>
      </c>
      <c r="H57" s="1291">
        <f>+G57*100/D57</f>
        <v>-66.629150253235792</v>
      </c>
      <c r="I57" s="1291">
        <f t="shared" si="1"/>
        <v>-24482</v>
      </c>
      <c r="J57" s="1292">
        <f t="shared" si="3"/>
        <v>-50.60878552971576</v>
      </c>
    </row>
    <row r="58" spans="1:10" ht="13.5" x14ac:dyDescent="0.2">
      <c r="A58" s="1288" t="s">
        <v>5327</v>
      </c>
      <c r="B58" s="1289">
        <v>189469</v>
      </c>
      <c r="C58" s="1289">
        <v>45898</v>
      </c>
      <c r="D58" s="1289">
        <v>203217</v>
      </c>
      <c r="E58" s="1289">
        <v>45898</v>
      </c>
      <c r="F58" s="1185">
        <v>224986</v>
      </c>
      <c r="G58" s="1290">
        <f t="shared" si="0"/>
        <v>13748</v>
      </c>
      <c r="H58" s="1291">
        <f>+G58*100/D58</f>
        <v>6.7651820467775829</v>
      </c>
      <c r="I58" s="1291">
        <f t="shared" si="1"/>
        <v>21769</v>
      </c>
      <c r="J58" s="1292">
        <f t="shared" si="3"/>
        <v>9.67571315548523</v>
      </c>
    </row>
    <row r="59" spans="1:10" ht="13.5" x14ac:dyDescent="0.2">
      <c r="A59" s="1288" t="s">
        <v>5328</v>
      </c>
      <c r="B59" s="1289">
        <v>0</v>
      </c>
      <c r="C59" s="1289">
        <v>1385650</v>
      </c>
      <c r="D59" s="1289">
        <v>0</v>
      </c>
      <c r="E59" s="1289">
        <v>1385650</v>
      </c>
      <c r="F59" s="1185">
        <v>18218</v>
      </c>
      <c r="G59" s="1290">
        <f t="shared" si="0"/>
        <v>0</v>
      </c>
      <c r="H59" s="1291"/>
      <c r="I59" s="1291">
        <f t="shared" si="1"/>
        <v>18218</v>
      </c>
      <c r="J59" s="1292"/>
    </row>
    <row r="60" spans="1:10" ht="13.5" x14ac:dyDescent="0.2">
      <c r="A60" s="1288" t="s">
        <v>5329</v>
      </c>
      <c r="B60" s="1289">
        <v>46625</v>
      </c>
      <c r="C60" s="1289">
        <v>50709</v>
      </c>
      <c r="D60" s="1289">
        <v>38485</v>
      </c>
      <c r="E60" s="1289">
        <v>50709</v>
      </c>
      <c r="F60" s="1185"/>
      <c r="G60" s="1290">
        <f t="shared" si="0"/>
        <v>-8140</v>
      </c>
      <c r="H60" s="1291">
        <f>+G60*100/D60</f>
        <v>-21.151097830323504</v>
      </c>
      <c r="I60" s="1291">
        <f t="shared" si="1"/>
        <v>-38485</v>
      </c>
      <c r="J60" s="1292"/>
    </row>
    <row r="61" spans="1:10" ht="13.5" x14ac:dyDescent="0.2">
      <c r="A61" s="1288" t="s">
        <v>5330</v>
      </c>
      <c r="B61" s="1289">
        <v>211995</v>
      </c>
      <c r="C61" s="1289">
        <v>0</v>
      </c>
      <c r="D61" s="1289">
        <v>402100</v>
      </c>
      <c r="E61" s="1289">
        <v>0</v>
      </c>
      <c r="F61" s="1185"/>
      <c r="G61" s="1290">
        <f t="shared" si="0"/>
        <v>190105</v>
      </c>
      <c r="H61" s="1291">
        <f>+G61*100/D61</f>
        <v>47.27804028848545</v>
      </c>
      <c r="I61" s="1291">
        <f t="shared" si="1"/>
        <v>-402100</v>
      </c>
      <c r="J61" s="1292"/>
    </row>
    <row r="62" spans="1:10" ht="13.5" x14ac:dyDescent="0.2">
      <c r="A62" s="1288" t="s">
        <v>5331</v>
      </c>
      <c r="B62" s="1289">
        <v>15000</v>
      </c>
      <c r="C62" s="1289">
        <v>3000</v>
      </c>
      <c r="D62" s="1289">
        <v>0</v>
      </c>
      <c r="E62" s="1289">
        <v>3000</v>
      </c>
      <c r="F62" s="1185"/>
      <c r="G62" s="1290">
        <f t="shared" si="0"/>
        <v>-15000</v>
      </c>
      <c r="H62" s="1291"/>
      <c r="I62" s="1291">
        <f t="shared" si="1"/>
        <v>0</v>
      </c>
      <c r="J62" s="1292"/>
    </row>
    <row r="63" spans="1:10" ht="13.5" x14ac:dyDescent="0.2">
      <c r="A63" s="1288" t="s">
        <v>5332</v>
      </c>
      <c r="B63" s="1289">
        <v>6036326</v>
      </c>
      <c r="C63" s="1289">
        <v>624670</v>
      </c>
      <c r="D63" s="1289">
        <v>804401</v>
      </c>
      <c r="E63" s="1289">
        <v>624670</v>
      </c>
      <c r="F63" s="1185"/>
      <c r="G63" s="1290">
        <f t="shared" si="0"/>
        <v>-5231925</v>
      </c>
      <c r="H63" s="1291">
        <f t="shared" ref="H63:H71" si="6">+G63*100/D63</f>
        <v>-650.41254299783316</v>
      </c>
      <c r="I63" s="1291">
        <f t="shared" si="1"/>
        <v>-804401</v>
      </c>
      <c r="J63" s="1292"/>
    </row>
    <row r="64" spans="1:10" ht="13.5" x14ac:dyDescent="0.2">
      <c r="A64" s="1288" t="s">
        <v>5333</v>
      </c>
      <c r="B64" s="1289">
        <v>93706</v>
      </c>
      <c r="C64" s="1289">
        <v>86751</v>
      </c>
      <c r="D64" s="1289">
        <v>73439</v>
      </c>
      <c r="E64" s="1289">
        <v>86751</v>
      </c>
      <c r="F64" s="1185"/>
      <c r="G64" s="1290">
        <f t="shared" si="0"/>
        <v>-20267</v>
      </c>
      <c r="H64" s="1291">
        <f t="shared" si="6"/>
        <v>-27.59705333678291</v>
      </c>
      <c r="I64" s="1291">
        <f t="shared" si="1"/>
        <v>-73439</v>
      </c>
      <c r="J64" s="1292"/>
    </row>
    <row r="65" spans="1:10" ht="13.5" x14ac:dyDescent="0.2">
      <c r="A65" s="1288" t="s">
        <v>5334</v>
      </c>
      <c r="B65" s="1215"/>
      <c r="C65" s="1289">
        <v>10264287</v>
      </c>
      <c r="D65" s="1289">
        <v>1691000</v>
      </c>
      <c r="E65" s="1215">
        <v>10264287</v>
      </c>
      <c r="F65" s="1185">
        <v>4291232</v>
      </c>
      <c r="G65" s="1290">
        <f t="shared" si="0"/>
        <v>1691000</v>
      </c>
      <c r="H65" s="1291">
        <f t="shared" si="6"/>
        <v>100</v>
      </c>
      <c r="I65" s="1291">
        <f t="shared" si="1"/>
        <v>2600232</v>
      </c>
      <c r="J65" s="1292">
        <f t="shared" si="3"/>
        <v>60.594067158335882</v>
      </c>
    </row>
    <row r="66" spans="1:10" ht="13.5" x14ac:dyDescent="0.2">
      <c r="A66" s="1288" t="s">
        <v>5335</v>
      </c>
      <c r="B66" s="1289">
        <v>277164</v>
      </c>
      <c r="C66" s="1289">
        <v>55401</v>
      </c>
      <c r="D66" s="1289">
        <v>145785</v>
      </c>
      <c r="E66" s="1289">
        <v>55401</v>
      </c>
      <c r="F66" s="1185"/>
      <c r="G66" s="1290">
        <f t="shared" si="0"/>
        <v>-131379</v>
      </c>
      <c r="H66" s="1291">
        <f t="shared" si="6"/>
        <v>-90.118324930548411</v>
      </c>
      <c r="I66" s="1291">
        <f t="shared" si="1"/>
        <v>-145785</v>
      </c>
      <c r="J66" s="1292"/>
    </row>
    <row r="67" spans="1:10" ht="13.5" x14ac:dyDescent="0.2">
      <c r="A67" s="1288" t="s">
        <v>5336</v>
      </c>
      <c r="B67" s="1289">
        <v>1183519</v>
      </c>
      <c r="C67" s="1289">
        <v>888046</v>
      </c>
      <c r="D67" s="1289">
        <v>360085</v>
      </c>
      <c r="E67" s="1289">
        <v>888046</v>
      </c>
      <c r="F67" s="1185"/>
      <c r="G67" s="1290">
        <f t="shared" si="0"/>
        <v>-823434</v>
      </c>
      <c r="H67" s="1291">
        <f t="shared" si="6"/>
        <v>-228.67767332713109</v>
      </c>
      <c r="I67" s="1291">
        <f t="shared" si="1"/>
        <v>-360085</v>
      </c>
      <c r="J67" s="1292"/>
    </row>
    <row r="68" spans="1:10" ht="13.5" x14ac:dyDescent="0.2">
      <c r="A68" s="1288" t="s">
        <v>5337</v>
      </c>
      <c r="B68" s="1289">
        <v>7927453</v>
      </c>
      <c r="C68" s="1289">
        <v>35550989</v>
      </c>
      <c r="D68" s="1289">
        <v>4965503</v>
      </c>
      <c r="E68" s="1289">
        <v>35550989</v>
      </c>
      <c r="F68" s="1185"/>
      <c r="G68" s="1290">
        <f t="shared" si="0"/>
        <v>-2961950</v>
      </c>
      <c r="H68" s="1291">
        <f t="shared" si="6"/>
        <v>-59.65055302554444</v>
      </c>
      <c r="I68" s="1291">
        <f t="shared" si="1"/>
        <v>-4965503</v>
      </c>
      <c r="J68" s="1292"/>
    </row>
    <row r="69" spans="1:10" ht="13.5" x14ac:dyDescent="0.2">
      <c r="A69" s="1288" t="s">
        <v>5338</v>
      </c>
      <c r="B69" s="1289">
        <v>110503</v>
      </c>
      <c r="C69" s="1289">
        <v>136215</v>
      </c>
      <c r="D69" s="1289">
        <v>71642</v>
      </c>
      <c r="E69" s="1289">
        <v>136215</v>
      </c>
      <c r="F69" s="1185"/>
      <c r="G69" s="1290">
        <f t="shared" si="0"/>
        <v>-38861</v>
      </c>
      <c r="H69" s="1291">
        <f t="shared" si="6"/>
        <v>-54.24332095698054</v>
      </c>
      <c r="I69" s="1291">
        <f t="shared" si="1"/>
        <v>-71642</v>
      </c>
      <c r="J69" s="1292"/>
    </row>
    <row r="70" spans="1:10" ht="13.5" x14ac:dyDescent="0.2">
      <c r="A70" s="1288" t="s">
        <v>5339</v>
      </c>
      <c r="B70" s="1289">
        <v>4850793</v>
      </c>
      <c r="C70" s="1289">
        <v>14210649</v>
      </c>
      <c r="D70" s="1289">
        <v>2625430</v>
      </c>
      <c r="E70" s="1215">
        <v>14210649</v>
      </c>
      <c r="F70" s="1185"/>
      <c r="G70" s="1290">
        <f t="shared" si="0"/>
        <v>-2225363</v>
      </c>
      <c r="H70" s="1291">
        <f t="shared" si="6"/>
        <v>-84.761848535287555</v>
      </c>
      <c r="I70" s="1291">
        <f t="shared" si="1"/>
        <v>-2625430</v>
      </c>
      <c r="J70" s="1292"/>
    </row>
    <row r="71" spans="1:10" ht="13.5" x14ac:dyDescent="0.2">
      <c r="A71" s="1288" t="s">
        <v>5340</v>
      </c>
      <c r="B71" s="1289">
        <v>35200</v>
      </c>
      <c r="C71" s="1289">
        <v>23564</v>
      </c>
      <c r="D71" s="1289">
        <v>11000</v>
      </c>
      <c r="E71" s="1215">
        <v>23564</v>
      </c>
      <c r="F71" s="1185">
        <v>2500</v>
      </c>
      <c r="G71" s="1290">
        <f t="shared" si="0"/>
        <v>-24200</v>
      </c>
      <c r="H71" s="1291">
        <f t="shared" si="6"/>
        <v>-220</v>
      </c>
      <c r="I71" s="1291">
        <f t="shared" si="1"/>
        <v>-8500</v>
      </c>
      <c r="J71" s="1292">
        <f t="shared" si="3"/>
        <v>-340</v>
      </c>
    </row>
    <row r="72" spans="1:10" ht="13.5" x14ac:dyDescent="0.2">
      <c r="A72" s="1288" t="s">
        <v>5341</v>
      </c>
      <c r="B72" s="1289">
        <v>7000</v>
      </c>
      <c r="C72" s="1215"/>
      <c r="D72" s="1215"/>
      <c r="E72" s="1215"/>
      <c r="F72" s="1215"/>
      <c r="G72" s="1290">
        <f t="shared" ref="G72:G135" si="7">D72-B72</f>
        <v>-7000</v>
      </c>
      <c r="H72" s="1291"/>
      <c r="I72" s="1291">
        <f t="shared" ref="I72:I135" si="8">F72-D72</f>
        <v>0</v>
      </c>
      <c r="J72" s="1292"/>
    </row>
    <row r="73" spans="1:10" ht="13.5" x14ac:dyDescent="0.2">
      <c r="A73" s="1288" t="s">
        <v>5342</v>
      </c>
      <c r="B73" s="1289">
        <v>51011</v>
      </c>
      <c r="C73" s="1289">
        <v>57139</v>
      </c>
      <c r="D73" s="1289">
        <v>101625</v>
      </c>
      <c r="E73" s="1289">
        <v>57139</v>
      </c>
      <c r="F73" s="1185">
        <v>37000</v>
      </c>
      <c r="G73" s="1290">
        <f t="shared" si="7"/>
        <v>50614</v>
      </c>
      <c r="H73" s="1291">
        <f>+G73*100/D73</f>
        <v>49.804674046740466</v>
      </c>
      <c r="I73" s="1291">
        <f t="shared" si="8"/>
        <v>-64625</v>
      </c>
      <c r="J73" s="1292">
        <f t="shared" ref="J73:J136" si="9">+I73*100/F73</f>
        <v>-174.66216216216216</v>
      </c>
    </row>
    <row r="74" spans="1:10" ht="13.5" x14ac:dyDescent="0.2">
      <c r="A74" s="1288" t="s">
        <v>22</v>
      </c>
      <c r="B74" s="1289">
        <v>87199</v>
      </c>
      <c r="C74" s="1289">
        <v>152084</v>
      </c>
      <c r="D74" s="1289">
        <v>101054</v>
      </c>
      <c r="E74" s="1289">
        <v>152084</v>
      </c>
      <c r="F74" s="1185"/>
      <c r="G74" s="1290">
        <f t="shared" si="7"/>
        <v>13855</v>
      </c>
      <c r="H74" s="1291">
        <f>+G74*100/D74</f>
        <v>13.710491420428681</v>
      </c>
      <c r="I74" s="1291">
        <f t="shared" si="8"/>
        <v>-101054</v>
      </c>
      <c r="J74" s="1292"/>
    </row>
    <row r="75" spans="1:10" ht="13.5" x14ac:dyDescent="0.2">
      <c r="A75" s="1288" t="s">
        <v>5343</v>
      </c>
      <c r="B75" s="1289">
        <v>136735</v>
      </c>
      <c r="C75" s="1289">
        <v>137729</v>
      </c>
      <c r="D75" s="1289">
        <v>58804</v>
      </c>
      <c r="E75" s="1289">
        <v>137729</v>
      </c>
      <c r="F75" s="1185"/>
      <c r="G75" s="1290">
        <f t="shared" si="7"/>
        <v>-77931</v>
      </c>
      <c r="H75" s="1291">
        <f t="shared" ref="H75:H82" si="10">+G75*100/D75</f>
        <v>-132.52669886402285</v>
      </c>
      <c r="I75" s="1291">
        <f t="shared" si="8"/>
        <v>-58804</v>
      </c>
      <c r="J75" s="1292"/>
    </row>
    <row r="76" spans="1:10" ht="13.5" x14ac:dyDescent="0.2">
      <c r="A76" s="1288" t="s">
        <v>5344</v>
      </c>
      <c r="B76" s="1289">
        <v>1640115</v>
      </c>
      <c r="C76" s="1289">
        <v>937001</v>
      </c>
      <c r="D76" s="1289">
        <v>1418040</v>
      </c>
      <c r="E76" s="1289">
        <v>937001</v>
      </c>
      <c r="F76" s="1185"/>
      <c r="G76" s="1290">
        <f t="shared" si="7"/>
        <v>-222075</v>
      </c>
      <c r="H76" s="1291">
        <f t="shared" si="10"/>
        <v>-15.660700685453161</v>
      </c>
      <c r="I76" s="1291">
        <f t="shared" si="8"/>
        <v>-1418040</v>
      </c>
      <c r="J76" s="1292"/>
    </row>
    <row r="77" spans="1:10" ht="13.5" x14ac:dyDescent="0.2">
      <c r="A77" s="1288" t="s">
        <v>5345</v>
      </c>
      <c r="B77" s="1289">
        <v>3027</v>
      </c>
      <c r="C77" s="1289">
        <v>0</v>
      </c>
      <c r="D77" s="1289">
        <v>300</v>
      </c>
      <c r="E77" s="1289">
        <v>0</v>
      </c>
      <c r="F77" s="1185">
        <v>498</v>
      </c>
      <c r="G77" s="1290">
        <f t="shared" si="7"/>
        <v>-2727</v>
      </c>
      <c r="H77" s="1291">
        <f t="shared" si="10"/>
        <v>-909</v>
      </c>
      <c r="I77" s="1291">
        <f t="shared" si="8"/>
        <v>198</v>
      </c>
      <c r="J77" s="1292">
        <f t="shared" si="9"/>
        <v>39.75903614457831</v>
      </c>
    </row>
    <row r="78" spans="1:10" ht="13.5" x14ac:dyDescent="0.2">
      <c r="A78" s="1288" t="s">
        <v>5346</v>
      </c>
      <c r="B78" s="1289">
        <v>1737177</v>
      </c>
      <c r="C78" s="1289">
        <v>1092769</v>
      </c>
      <c r="D78" s="1289">
        <v>899847</v>
      </c>
      <c r="E78" s="1289">
        <v>1092769</v>
      </c>
      <c r="F78" s="1185">
        <v>1438201</v>
      </c>
      <c r="G78" s="1290">
        <f t="shared" si="7"/>
        <v>-837330</v>
      </c>
      <c r="H78" s="1291">
        <f t="shared" si="10"/>
        <v>-93.052485589216829</v>
      </c>
      <c r="I78" s="1291">
        <f t="shared" si="8"/>
        <v>538354</v>
      </c>
      <c r="J78" s="1292">
        <f t="shared" si="9"/>
        <v>37.432459023460559</v>
      </c>
    </row>
    <row r="79" spans="1:10" ht="13.5" x14ac:dyDescent="0.2">
      <c r="A79" s="1288" t="s">
        <v>5347</v>
      </c>
      <c r="B79" s="1289">
        <v>151033</v>
      </c>
      <c r="C79" s="1289">
        <v>69617</v>
      </c>
      <c r="D79" s="1289">
        <v>75659</v>
      </c>
      <c r="E79" s="1215">
        <v>69617</v>
      </c>
      <c r="F79" s="1185"/>
      <c r="G79" s="1290">
        <f t="shared" si="7"/>
        <v>-75374</v>
      </c>
      <c r="H79" s="1291">
        <f t="shared" si="10"/>
        <v>-99.623309850777829</v>
      </c>
      <c r="I79" s="1291">
        <f t="shared" si="8"/>
        <v>-75659</v>
      </c>
      <c r="J79" s="1292"/>
    </row>
    <row r="80" spans="1:10" ht="13.5" x14ac:dyDescent="0.2">
      <c r="A80" s="1288" t="s">
        <v>5348</v>
      </c>
      <c r="B80" s="1289">
        <v>117696</v>
      </c>
      <c r="C80" s="1289">
        <v>23901</v>
      </c>
      <c r="D80" s="1289">
        <v>43101</v>
      </c>
      <c r="E80" s="1289">
        <v>23901</v>
      </c>
      <c r="F80" s="1185"/>
      <c r="G80" s="1290">
        <f t="shared" si="7"/>
        <v>-74595</v>
      </c>
      <c r="H80" s="1291">
        <f t="shared" si="10"/>
        <v>-173.07023038908611</v>
      </c>
      <c r="I80" s="1291">
        <f t="shared" si="8"/>
        <v>-43101</v>
      </c>
      <c r="J80" s="1292"/>
    </row>
    <row r="81" spans="1:10" ht="13.5" x14ac:dyDescent="0.2">
      <c r="A81" s="1288" t="s">
        <v>5349</v>
      </c>
      <c r="B81" s="1289">
        <v>293993</v>
      </c>
      <c r="C81" s="1289">
        <v>669181</v>
      </c>
      <c r="D81" s="1289">
        <v>93532</v>
      </c>
      <c r="E81" s="1289">
        <v>669181</v>
      </c>
      <c r="F81" s="1185"/>
      <c r="G81" s="1290">
        <f t="shared" si="7"/>
        <v>-200461</v>
      </c>
      <c r="H81" s="1291">
        <f t="shared" si="10"/>
        <v>-214.32344010605996</v>
      </c>
      <c r="I81" s="1291">
        <f t="shared" si="8"/>
        <v>-93532</v>
      </c>
      <c r="J81" s="1292"/>
    </row>
    <row r="82" spans="1:10" ht="13.5" x14ac:dyDescent="0.2">
      <c r="A82" s="1288" t="s">
        <v>5350</v>
      </c>
      <c r="B82" s="1289">
        <v>2000</v>
      </c>
      <c r="C82" s="1289">
        <v>1992</v>
      </c>
      <c r="D82" s="1289">
        <v>272</v>
      </c>
      <c r="E82" s="1289">
        <v>1992</v>
      </c>
      <c r="F82" s="1185"/>
      <c r="G82" s="1290">
        <f t="shared" si="7"/>
        <v>-1728</v>
      </c>
      <c r="H82" s="1291">
        <f t="shared" si="10"/>
        <v>-635.29411764705878</v>
      </c>
      <c r="I82" s="1291">
        <f t="shared" si="8"/>
        <v>-272</v>
      </c>
      <c r="J82" s="1292"/>
    </row>
    <row r="83" spans="1:10" ht="13.5" x14ac:dyDescent="0.2">
      <c r="A83" s="1288" t="s">
        <v>5351</v>
      </c>
      <c r="B83" s="1289">
        <v>1600</v>
      </c>
      <c r="C83" s="1215"/>
      <c r="D83" s="1215"/>
      <c r="E83" s="1215"/>
      <c r="F83" s="1215"/>
      <c r="G83" s="1290">
        <f t="shared" si="7"/>
        <v>-1600</v>
      </c>
      <c r="H83" s="1291"/>
      <c r="I83" s="1291">
        <f t="shared" si="8"/>
        <v>0</v>
      </c>
      <c r="J83" s="1292"/>
    </row>
    <row r="84" spans="1:10" ht="13.5" x14ac:dyDescent="0.2">
      <c r="A84" s="1288" t="s">
        <v>5352</v>
      </c>
      <c r="B84" s="1289">
        <v>111265</v>
      </c>
      <c r="C84" s="1289">
        <v>618740</v>
      </c>
      <c r="D84" s="1289">
        <v>310099</v>
      </c>
      <c r="E84" s="1289">
        <v>618740</v>
      </c>
      <c r="F84" s="1185"/>
      <c r="G84" s="1290">
        <f t="shared" si="7"/>
        <v>198834</v>
      </c>
      <c r="H84" s="1291">
        <f t="shared" ref="H84:H89" si="11">+G84*100/D84</f>
        <v>64.119523120035865</v>
      </c>
      <c r="I84" s="1291">
        <f t="shared" si="8"/>
        <v>-310099</v>
      </c>
      <c r="J84" s="1292"/>
    </row>
    <row r="85" spans="1:10" ht="13.5" x14ac:dyDescent="0.2">
      <c r="A85" s="1288" t="s">
        <v>5353</v>
      </c>
      <c r="B85" s="1289">
        <v>14941</v>
      </c>
      <c r="C85" s="1289">
        <v>26310</v>
      </c>
      <c r="D85" s="1289">
        <v>29241</v>
      </c>
      <c r="E85" s="1289">
        <v>26310</v>
      </c>
      <c r="F85" s="1185">
        <v>22525</v>
      </c>
      <c r="G85" s="1290">
        <f t="shared" si="7"/>
        <v>14300</v>
      </c>
      <c r="H85" s="1291">
        <f t="shared" si="11"/>
        <v>48.903936253890087</v>
      </c>
      <c r="I85" s="1291">
        <f t="shared" si="8"/>
        <v>-6716</v>
      </c>
      <c r="J85" s="1292">
        <f t="shared" si="9"/>
        <v>-29.815760266370699</v>
      </c>
    </row>
    <row r="86" spans="1:10" ht="13.5" x14ac:dyDescent="0.2">
      <c r="A86" s="1288" t="s">
        <v>5354</v>
      </c>
      <c r="B86" s="1289">
        <v>52418</v>
      </c>
      <c r="C86" s="1289">
        <v>61340</v>
      </c>
      <c r="D86" s="1289">
        <v>40340</v>
      </c>
      <c r="E86" s="1289">
        <v>61340</v>
      </c>
      <c r="F86" s="1185">
        <v>37659</v>
      </c>
      <c r="G86" s="1290">
        <f t="shared" si="7"/>
        <v>-12078</v>
      </c>
      <c r="H86" s="1291">
        <f t="shared" si="11"/>
        <v>-29.940505701536935</v>
      </c>
      <c r="I86" s="1291">
        <f t="shared" si="8"/>
        <v>-2681</v>
      </c>
      <c r="J86" s="1292">
        <f t="shared" si="9"/>
        <v>-7.1191481451976948</v>
      </c>
    </row>
    <row r="87" spans="1:10" ht="13.5" x14ac:dyDescent="0.2">
      <c r="A87" s="1288" t="s">
        <v>5355</v>
      </c>
      <c r="B87" s="1289">
        <v>1360</v>
      </c>
      <c r="C87" s="1289">
        <v>6200</v>
      </c>
      <c r="D87" s="1289">
        <v>3200</v>
      </c>
      <c r="E87" s="1289">
        <v>6200</v>
      </c>
      <c r="F87" s="1185"/>
      <c r="G87" s="1290">
        <f t="shared" si="7"/>
        <v>1840</v>
      </c>
      <c r="H87" s="1291">
        <f t="shared" si="11"/>
        <v>57.5</v>
      </c>
      <c r="I87" s="1291">
        <f t="shared" si="8"/>
        <v>-3200</v>
      </c>
      <c r="J87" s="1292"/>
    </row>
    <row r="88" spans="1:10" ht="13.5" x14ac:dyDescent="0.2">
      <c r="A88" s="1288" t="s">
        <v>5356</v>
      </c>
      <c r="B88" s="1289">
        <v>1417860</v>
      </c>
      <c r="C88" s="1289">
        <v>77300</v>
      </c>
      <c r="D88" s="1289">
        <v>200000</v>
      </c>
      <c r="E88" s="1215">
        <v>77300</v>
      </c>
      <c r="F88" s="1185">
        <v>658777</v>
      </c>
      <c r="G88" s="1290">
        <f t="shared" si="7"/>
        <v>-1217860</v>
      </c>
      <c r="H88" s="1291">
        <f t="shared" si="11"/>
        <v>-608.92999999999995</v>
      </c>
      <c r="I88" s="1291">
        <f t="shared" si="8"/>
        <v>458777</v>
      </c>
      <c r="J88" s="1292">
        <f t="shared" si="9"/>
        <v>69.640713018214058</v>
      </c>
    </row>
    <row r="89" spans="1:10" ht="13.5" x14ac:dyDescent="0.2">
      <c r="A89" s="1288" t="s">
        <v>5357</v>
      </c>
      <c r="B89" s="1289">
        <v>268823</v>
      </c>
      <c r="C89" s="1289">
        <v>169496</v>
      </c>
      <c r="D89" s="1289">
        <v>77396</v>
      </c>
      <c r="E89" s="1289">
        <v>169496</v>
      </c>
      <c r="F89" s="1185">
        <v>78634</v>
      </c>
      <c r="G89" s="1290">
        <f t="shared" si="7"/>
        <v>-191427</v>
      </c>
      <c r="H89" s="1291">
        <f t="shared" si="11"/>
        <v>-247.33448757041708</v>
      </c>
      <c r="I89" s="1291">
        <f t="shared" si="8"/>
        <v>1238</v>
      </c>
      <c r="J89" s="1292">
        <f t="shared" si="9"/>
        <v>1.5743825825978583</v>
      </c>
    </row>
    <row r="90" spans="1:10" ht="13.5" x14ac:dyDescent="0.2">
      <c r="A90" s="1288" t="s">
        <v>5358</v>
      </c>
      <c r="B90" s="1289">
        <v>0</v>
      </c>
      <c r="C90" s="1289">
        <v>96559</v>
      </c>
      <c r="D90" s="1289">
        <v>0</v>
      </c>
      <c r="E90" s="1289">
        <v>96559</v>
      </c>
      <c r="F90" s="1185"/>
      <c r="G90" s="1290">
        <f t="shared" si="7"/>
        <v>0</v>
      </c>
      <c r="H90" s="1291"/>
      <c r="I90" s="1291">
        <f t="shared" si="8"/>
        <v>0</v>
      </c>
      <c r="J90" s="1292"/>
    </row>
    <row r="91" spans="1:10" ht="13.5" x14ac:dyDescent="0.2">
      <c r="A91" s="1288" t="s">
        <v>5358</v>
      </c>
      <c r="B91" s="1289">
        <v>0</v>
      </c>
      <c r="C91" s="1289">
        <v>1041028</v>
      </c>
      <c r="D91" s="1289">
        <v>0</v>
      </c>
      <c r="E91" s="1289">
        <v>1041028</v>
      </c>
      <c r="F91" s="1185"/>
      <c r="G91" s="1290">
        <f t="shared" si="7"/>
        <v>0</v>
      </c>
      <c r="H91" s="1291"/>
      <c r="I91" s="1291">
        <f t="shared" si="8"/>
        <v>0</v>
      </c>
      <c r="J91" s="1292"/>
    </row>
    <row r="92" spans="1:10" ht="13.5" x14ac:dyDescent="0.2">
      <c r="A92" s="1288" t="s">
        <v>5359</v>
      </c>
      <c r="B92" s="1289">
        <v>4069194</v>
      </c>
      <c r="C92" s="1289">
        <v>2955623</v>
      </c>
      <c r="D92" s="1289">
        <v>5070428</v>
      </c>
      <c r="E92" s="1289">
        <v>2955623</v>
      </c>
      <c r="F92" s="1185"/>
      <c r="G92" s="1290">
        <f t="shared" si="7"/>
        <v>1001234</v>
      </c>
      <c r="H92" s="1291">
        <f t="shared" ref="H92:H98" si="12">+G92*100/D92</f>
        <v>19.746538162064425</v>
      </c>
      <c r="I92" s="1291">
        <f t="shared" si="8"/>
        <v>-5070428</v>
      </c>
      <c r="J92" s="1292"/>
    </row>
    <row r="93" spans="1:10" ht="13.5" x14ac:dyDescent="0.2">
      <c r="A93" s="1288" t="s">
        <v>5360</v>
      </c>
      <c r="B93" s="1289">
        <v>1621150</v>
      </c>
      <c r="C93" s="1289">
        <v>3350957</v>
      </c>
      <c r="D93" s="1289">
        <v>206177</v>
      </c>
      <c r="E93" s="1289">
        <v>3350957</v>
      </c>
      <c r="F93" s="1185"/>
      <c r="G93" s="1290">
        <f t="shared" si="7"/>
        <v>-1414973</v>
      </c>
      <c r="H93" s="1291">
        <f t="shared" si="12"/>
        <v>-686.29042036696626</v>
      </c>
      <c r="I93" s="1291">
        <f t="shared" si="8"/>
        <v>-206177</v>
      </c>
      <c r="J93" s="1292"/>
    </row>
    <row r="94" spans="1:10" ht="13.5" x14ac:dyDescent="0.2">
      <c r="A94" s="1288" t="s">
        <v>5361</v>
      </c>
      <c r="B94" s="1289">
        <v>83374</v>
      </c>
      <c r="C94" s="1289">
        <v>86240</v>
      </c>
      <c r="D94" s="1289">
        <v>53962</v>
      </c>
      <c r="E94" s="1215">
        <v>86240</v>
      </c>
      <c r="F94" s="1185"/>
      <c r="G94" s="1290">
        <f t="shared" si="7"/>
        <v>-29412</v>
      </c>
      <c r="H94" s="1291">
        <f t="shared" si="12"/>
        <v>-54.505022052555503</v>
      </c>
      <c r="I94" s="1291">
        <f t="shared" si="8"/>
        <v>-53962</v>
      </c>
      <c r="J94" s="1292"/>
    </row>
    <row r="95" spans="1:10" ht="13.5" x14ac:dyDescent="0.2">
      <c r="A95" s="1288" t="s">
        <v>5362</v>
      </c>
      <c r="B95" s="1289">
        <v>109084</v>
      </c>
      <c r="C95" s="1289">
        <v>46437</v>
      </c>
      <c r="D95" s="1289">
        <v>31404</v>
      </c>
      <c r="E95" s="1289">
        <v>46437</v>
      </c>
      <c r="F95" s="1185"/>
      <c r="G95" s="1290">
        <f t="shared" si="7"/>
        <v>-77680</v>
      </c>
      <c r="H95" s="1291">
        <f t="shared" si="12"/>
        <v>-247.3570245828557</v>
      </c>
      <c r="I95" s="1291">
        <f t="shared" si="8"/>
        <v>-31404</v>
      </c>
      <c r="J95" s="1292"/>
    </row>
    <row r="96" spans="1:10" ht="13.5" x14ac:dyDescent="0.2">
      <c r="A96" s="1288" t="s">
        <v>5363</v>
      </c>
      <c r="B96" s="1289">
        <v>31148</v>
      </c>
      <c r="C96" s="1289">
        <v>93263</v>
      </c>
      <c r="D96" s="1289">
        <v>13616</v>
      </c>
      <c r="E96" s="1289">
        <v>93263</v>
      </c>
      <c r="F96" s="1185"/>
      <c r="G96" s="1290">
        <f t="shared" si="7"/>
        <v>-17532</v>
      </c>
      <c r="H96" s="1291">
        <f t="shared" si="12"/>
        <v>-128.7602820211516</v>
      </c>
      <c r="I96" s="1291">
        <f t="shared" si="8"/>
        <v>-13616</v>
      </c>
      <c r="J96" s="1292"/>
    </row>
    <row r="97" spans="1:10" ht="13.5" x14ac:dyDescent="0.2">
      <c r="A97" s="1288" t="s">
        <v>23</v>
      </c>
      <c r="B97" s="1289">
        <v>16056</v>
      </c>
      <c r="C97" s="1289">
        <v>0</v>
      </c>
      <c r="D97" s="1289">
        <v>5000</v>
      </c>
      <c r="E97" s="1289">
        <v>0</v>
      </c>
      <c r="F97" s="1185"/>
      <c r="G97" s="1290">
        <f t="shared" si="7"/>
        <v>-11056</v>
      </c>
      <c r="H97" s="1291">
        <f t="shared" si="12"/>
        <v>-221.12</v>
      </c>
      <c r="I97" s="1291">
        <f t="shared" si="8"/>
        <v>-5000</v>
      </c>
      <c r="J97" s="1292"/>
    </row>
    <row r="98" spans="1:10" ht="13.5" x14ac:dyDescent="0.2">
      <c r="A98" s="1288" t="s">
        <v>23</v>
      </c>
      <c r="B98" s="1289">
        <v>1174812</v>
      </c>
      <c r="C98" s="1289">
        <v>568605</v>
      </c>
      <c r="D98" s="1289">
        <v>685855</v>
      </c>
      <c r="E98" s="1289">
        <v>568605</v>
      </c>
      <c r="F98" s="1185">
        <v>649103</v>
      </c>
      <c r="G98" s="1290">
        <f t="shared" si="7"/>
        <v>-488957</v>
      </c>
      <c r="H98" s="1291">
        <f t="shared" si="12"/>
        <v>-71.291599536345146</v>
      </c>
      <c r="I98" s="1291">
        <f t="shared" si="8"/>
        <v>-36752</v>
      </c>
      <c r="J98" s="1292">
        <f t="shared" si="9"/>
        <v>-5.6619673611121808</v>
      </c>
    </row>
    <row r="99" spans="1:10" ht="13.5" x14ac:dyDescent="0.2">
      <c r="A99" s="1288" t="s">
        <v>5364</v>
      </c>
      <c r="B99" s="1289">
        <v>0</v>
      </c>
      <c r="C99" s="1289">
        <v>3419524</v>
      </c>
      <c r="D99" s="1289">
        <v>0</v>
      </c>
      <c r="E99" s="1289">
        <v>3419524</v>
      </c>
      <c r="F99" s="1185"/>
      <c r="G99" s="1290">
        <f t="shared" si="7"/>
        <v>0</v>
      </c>
      <c r="H99" s="1291"/>
      <c r="I99" s="1291">
        <f t="shared" si="8"/>
        <v>0</v>
      </c>
      <c r="J99" s="1292"/>
    </row>
    <row r="100" spans="1:10" ht="13.5" x14ac:dyDescent="0.2">
      <c r="A100" s="1288" t="s">
        <v>5365</v>
      </c>
      <c r="B100" s="1289">
        <v>1000</v>
      </c>
      <c r="C100" s="1289">
        <v>3000</v>
      </c>
      <c r="D100" s="1289">
        <v>0</v>
      </c>
      <c r="E100" s="1289">
        <v>3000</v>
      </c>
      <c r="F100" s="1185">
        <v>24240</v>
      </c>
      <c r="G100" s="1290">
        <f t="shared" si="7"/>
        <v>-1000</v>
      </c>
      <c r="H100" s="1291"/>
      <c r="I100" s="1291">
        <f t="shared" si="8"/>
        <v>24240</v>
      </c>
      <c r="J100" s="1292">
        <f t="shared" si="9"/>
        <v>100</v>
      </c>
    </row>
    <row r="101" spans="1:10" ht="13.5" x14ac:dyDescent="0.2">
      <c r="A101" s="1288" t="s">
        <v>5366</v>
      </c>
      <c r="B101" s="1289">
        <v>56735</v>
      </c>
      <c r="C101" s="1289">
        <v>79746</v>
      </c>
      <c r="D101" s="1289">
        <v>44365</v>
      </c>
      <c r="E101" s="1289">
        <v>79746</v>
      </c>
      <c r="F101" s="1185"/>
      <c r="G101" s="1290">
        <f t="shared" si="7"/>
        <v>-12370</v>
      </c>
      <c r="H101" s="1291">
        <f t="shared" ref="H101:H113" si="13">+G101*100/D101</f>
        <v>-27.8823396821819</v>
      </c>
      <c r="I101" s="1291">
        <f t="shared" si="8"/>
        <v>-44365</v>
      </c>
      <c r="J101" s="1292"/>
    </row>
    <row r="102" spans="1:10" ht="13.5" x14ac:dyDescent="0.2">
      <c r="A102" s="1288" t="s">
        <v>5367</v>
      </c>
      <c r="B102" s="1289">
        <v>42155</v>
      </c>
      <c r="C102" s="1289">
        <v>301105</v>
      </c>
      <c r="D102" s="1289">
        <v>6807</v>
      </c>
      <c r="E102" s="1289">
        <v>301105</v>
      </c>
      <c r="F102" s="1185"/>
      <c r="G102" s="1290">
        <f t="shared" si="7"/>
        <v>-35348</v>
      </c>
      <c r="H102" s="1291">
        <f t="shared" si="13"/>
        <v>-519.28896723960634</v>
      </c>
      <c r="I102" s="1291">
        <f t="shared" si="8"/>
        <v>-6807</v>
      </c>
      <c r="J102" s="1292"/>
    </row>
    <row r="103" spans="1:10" ht="13.5" x14ac:dyDescent="0.2">
      <c r="A103" s="1288" t="s">
        <v>5368</v>
      </c>
      <c r="B103" s="1289">
        <v>791273</v>
      </c>
      <c r="C103" s="1289">
        <v>151146</v>
      </c>
      <c r="D103" s="1289">
        <v>170954</v>
      </c>
      <c r="E103" s="1289">
        <v>151146</v>
      </c>
      <c r="F103" s="1185">
        <v>348676</v>
      </c>
      <c r="G103" s="1290">
        <f t="shared" si="7"/>
        <v>-620319</v>
      </c>
      <c r="H103" s="1291">
        <f t="shared" si="13"/>
        <v>-362.85725984767834</v>
      </c>
      <c r="I103" s="1291">
        <f t="shared" si="8"/>
        <v>177722</v>
      </c>
      <c r="J103" s="1292">
        <f t="shared" si="9"/>
        <v>50.970528513577072</v>
      </c>
    </row>
    <row r="104" spans="1:10" ht="13.5" x14ac:dyDescent="0.2">
      <c r="A104" s="1288" t="s">
        <v>5369</v>
      </c>
      <c r="B104" s="1289">
        <v>214359</v>
      </c>
      <c r="C104" s="1289">
        <v>783240</v>
      </c>
      <c r="D104" s="1289">
        <v>80958</v>
      </c>
      <c r="E104" s="1289">
        <v>783240</v>
      </c>
      <c r="F104" s="1185">
        <v>39195</v>
      </c>
      <c r="G104" s="1290">
        <f t="shared" si="7"/>
        <v>-133401</v>
      </c>
      <c r="H104" s="1291">
        <f t="shared" si="13"/>
        <v>-164.77803305417623</v>
      </c>
      <c r="I104" s="1291">
        <f t="shared" si="8"/>
        <v>-41763</v>
      </c>
      <c r="J104" s="1292">
        <f t="shared" si="9"/>
        <v>-106.55185610409491</v>
      </c>
    </row>
    <row r="105" spans="1:10" ht="13.5" x14ac:dyDescent="0.2">
      <c r="A105" s="1288" t="s">
        <v>5370</v>
      </c>
      <c r="B105" s="1289">
        <v>139086</v>
      </c>
      <c r="C105" s="1289">
        <v>189691</v>
      </c>
      <c r="D105" s="1289">
        <v>191191</v>
      </c>
      <c r="E105" s="1289">
        <v>189691</v>
      </c>
      <c r="F105" s="1185">
        <v>60986</v>
      </c>
      <c r="G105" s="1290">
        <f t="shared" si="7"/>
        <v>52105</v>
      </c>
      <c r="H105" s="1291">
        <f t="shared" si="13"/>
        <v>27.252851860181703</v>
      </c>
      <c r="I105" s="1291">
        <f t="shared" si="8"/>
        <v>-130205</v>
      </c>
      <c r="J105" s="1292">
        <f t="shared" si="9"/>
        <v>-213.49981963073492</v>
      </c>
    </row>
    <row r="106" spans="1:10" ht="13.5" x14ac:dyDescent="0.2">
      <c r="A106" s="1288" t="s">
        <v>242</v>
      </c>
      <c r="B106" s="1289">
        <v>1121563</v>
      </c>
      <c r="C106" s="1289">
        <v>147100</v>
      </c>
      <c r="D106" s="1289">
        <v>483462</v>
      </c>
      <c r="E106" s="1289">
        <v>147100</v>
      </c>
      <c r="F106" s="1185"/>
      <c r="G106" s="1290">
        <f t="shared" si="7"/>
        <v>-638101</v>
      </c>
      <c r="H106" s="1291">
        <f t="shared" si="13"/>
        <v>-131.98576103189083</v>
      </c>
      <c r="I106" s="1291">
        <f t="shared" si="8"/>
        <v>-483462</v>
      </c>
      <c r="J106" s="1292"/>
    </row>
    <row r="107" spans="1:10" ht="13.5" x14ac:dyDescent="0.2">
      <c r="A107" s="1288" t="s">
        <v>5371</v>
      </c>
      <c r="B107" s="1289">
        <v>165517</v>
      </c>
      <c r="C107" s="1289">
        <v>50300</v>
      </c>
      <c r="D107" s="1289">
        <v>92367</v>
      </c>
      <c r="E107" s="1289">
        <v>50300</v>
      </c>
      <c r="F107" s="1185"/>
      <c r="G107" s="1290">
        <f t="shared" si="7"/>
        <v>-73150</v>
      </c>
      <c r="H107" s="1291">
        <f t="shared" si="13"/>
        <v>-79.194950577587235</v>
      </c>
      <c r="I107" s="1291">
        <f t="shared" si="8"/>
        <v>-92367</v>
      </c>
      <c r="J107" s="1292"/>
    </row>
    <row r="108" spans="1:10" ht="13.5" x14ac:dyDescent="0.2">
      <c r="A108" s="1288" t="s">
        <v>5372</v>
      </c>
      <c r="B108" s="1289">
        <v>17000</v>
      </c>
      <c r="C108" s="1289">
        <v>29120</v>
      </c>
      <c r="D108" s="1289">
        <v>23120</v>
      </c>
      <c r="E108" s="1289">
        <v>29120</v>
      </c>
      <c r="F108" s="1185">
        <v>17200</v>
      </c>
      <c r="G108" s="1290">
        <f t="shared" si="7"/>
        <v>6120</v>
      </c>
      <c r="H108" s="1291">
        <f t="shared" si="13"/>
        <v>26.470588235294116</v>
      </c>
      <c r="I108" s="1291">
        <f t="shared" si="8"/>
        <v>-5920</v>
      </c>
      <c r="J108" s="1292"/>
    </row>
    <row r="109" spans="1:10" ht="13.5" x14ac:dyDescent="0.2">
      <c r="A109" s="1288" t="s">
        <v>5373</v>
      </c>
      <c r="B109" s="1289">
        <v>344608</v>
      </c>
      <c r="C109" s="1289">
        <v>56588</v>
      </c>
      <c r="D109" s="1289">
        <v>218790</v>
      </c>
      <c r="E109" s="1289">
        <v>56588</v>
      </c>
      <c r="F109" s="1185"/>
      <c r="G109" s="1290">
        <f t="shared" si="7"/>
        <v>-125818</v>
      </c>
      <c r="H109" s="1291">
        <f t="shared" si="13"/>
        <v>-57.506284565108096</v>
      </c>
      <c r="I109" s="1291">
        <f t="shared" si="8"/>
        <v>-218790</v>
      </c>
      <c r="J109" s="1292"/>
    </row>
    <row r="110" spans="1:10" ht="13.5" x14ac:dyDescent="0.2">
      <c r="A110" s="1288" t="s">
        <v>5374</v>
      </c>
      <c r="B110" s="1289">
        <v>949792</v>
      </c>
      <c r="C110" s="1289">
        <v>641728</v>
      </c>
      <c r="D110" s="1289">
        <v>537447</v>
      </c>
      <c r="E110" s="1289">
        <v>641728</v>
      </c>
      <c r="F110" s="1185">
        <v>136986</v>
      </c>
      <c r="G110" s="1290">
        <f t="shared" si="7"/>
        <v>-412345</v>
      </c>
      <c r="H110" s="1291">
        <f t="shared" si="13"/>
        <v>-76.722914073387699</v>
      </c>
      <c r="I110" s="1291">
        <f t="shared" si="8"/>
        <v>-400461</v>
      </c>
      <c r="J110" s="1292">
        <f t="shared" si="9"/>
        <v>-292.33717314178091</v>
      </c>
    </row>
    <row r="111" spans="1:10" ht="13.5" x14ac:dyDescent="0.2">
      <c r="A111" s="1288" t="s">
        <v>5375</v>
      </c>
      <c r="B111" s="1289">
        <v>5341150</v>
      </c>
      <c r="C111" s="1289">
        <v>5567614</v>
      </c>
      <c r="D111" s="1289">
        <v>5462217</v>
      </c>
      <c r="E111" s="1289">
        <v>5567614</v>
      </c>
      <c r="F111" s="1185">
        <v>6911095</v>
      </c>
      <c r="G111" s="1290">
        <f t="shared" si="7"/>
        <v>121067</v>
      </c>
      <c r="H111" s="1291">
        <f t="shared" si="13"/>
        <v>2.216444348512701</v>
      </c>
      <c r="I111" s="1291">
        <f t="shared" si="8"/>
        <v>1448878</v>
      </c>
      <c r="J111" s="1292">
        <f t="shared" si="9"/>
        <v>20.964521541087194</v>
      </c>
    </row>
    <row r="112" spans="1:10" ht="13.5" x14ac:dyDescent="0.2">
      <c r="A112" s="1288" t="s">
        <v>5376</v>
      </c>
      <c r="B112" s="1289">
        <v>422180</v>
      </c>
      <c r="C112" s="1289">
        <v>1734882</v>
      </c>
      <c r="D112" s="1289">
        <v>1403930</v>
      </c>
      <c r="E112" s="1289">
        <v>1734882</v>
      </c>
      <c r="F112" s="1185">
        <v>1069914</v>
      </c>
      <c r="G112" s="1290">
        <f t="shared" si="7"/>
        <v>981750</v>
      </c>
      <c r="H112" s="1291">
        <f t="shared" si="13"/>
        <v>69.928700148867819</v>
      </c>
      <c r="I112" s="1291">
        <f t="shared" si="8"/>
        <v>-334016</v>
      </c>
      <c r="J112" s="1292">
        <f t="shared" si="9"/>
        <v>-31.218957785392096</v>
      </c>
    </row>
    <row r="113" spans="1:10" ht="13.5" x14ac:dyDescent="0.2">
      <c r="A113" s="1288" t="s">
        <v>4900</v>
      </c>
      <c r="B113" s="1289">
        <v>861840</v>
      </c>
      <c r="C113" s="1289">
        <v>1335304</v>
      </c>
      <c r="D113" s="1289">
        <v>949297</v>
      </c>
      <c r="E113" s="1289">
        <v>1335304</v>
      </c>
      <c r="F113" s="1185">
        <v>1031378</v>
      </c>
      <c r="G113" s="1290">
        <f t="shared" si="7"/>
        <v>87457</v>
      </c>
      <c r="H113" s="1291">
        <f t="shared" si="13"/>
        <v>9.2128174849388547</v>
      </c>
      <c r="I113" s="1291">
        <f t="shared" si="8"/>
        <v>82081</v>
      </c>
      <c r="J113" s="1292">
        <f t="shared" si="9"/>
        <v>7.9583818929626187</v>
      </c>
    </row>
    <row r="114" spans="1:10" ht="13.5" x14ac:dyDescent="0.2">
      <c r="A114" s="1288" t="s">
        <v>5377</v>
      </c>
      <c r="B114" s="1289">
        <v>0</v>
      </c>
      <c r="C114" s="1215"/>
      <c r="D114" s="1215"/>
      <c r="E114" s="1215"/>
      <c r="F114" s="1185"/>
      <c r="G114" s="1290">
        <f t="shared" si="7"/>
        <v>0</v>
      </c>
      <c r="H114" s="1291"/>
      <c r="I114" s="1291">
        <f t="shared" si="8"/>
        <v>0</v>
      </c>
      <c r="J114" s="1292"/>
    </row>
    <row r="115" spans="1:10" ht="13.5" x14ac:dyDescent="0.2">
      <c r="A115" s="1288" t="s">
        <v>5378</v>
      </c>
      <c r="B115" s="1289">
        <v>407468</v>
      </c>
      <c r="C115" s="1289">
        <v>364598</v>
      </c>
      <c r="D115" s="1289">
        <v>450329</v>
      </c>
      <c r="E115" s="1289">
        <v>364598</v>
      </c>
      <c r="F115" s="1185">
        <v>396457</v>
      </c>
      <c r="G115" s="1290">
        <f t="shared" si="7"/>
        <v>42861</v>
      </c>
      <c r="H115" s="1291">
        <f>+G115*100/D115</f>
        <v>9.5177081644753052</v>
      </c>
      <c r="I115" s="1291">
        <f t="shared" si="8"/>
        <v>-53872</v>
      </c>
      <c r="J115" s="1292">
        <f t="shared" si="9"/>
        <v>-13.58835888885806</v>
      </c>
    </row>
    <row r="116" spans="1:10" ht="13.5" x14ac:dyDescent="0.2">
      <c r="A116" s="1288" t="s">
        <v>5379</v>
      </c>
      <c r="B116" s="1289">
        <v>6045329</v>
      </c>
      <c r="C116" s="1289">
        <v>7144928</v>
      </c>
      <c r="D116" s="1289">
        <v>6151913</v>
      </c>
      <c r="E116" s="1289">
        <v>7144928</v>
      </c>
      <c r="F116" s="1185">
        <v>6587928</v>
      </c>
      <c r="G116" s="1290">
        <f t="shared" si="7"/>
        <v>106584</v>
      </c>
      <c r="H116" s="1291">
        <f>+G116*100/D116</f>
        <v>1.7325342539792095</v>
      </c>
      <c r="I116" s="1291">
        <f t="shared" si="8"/>
        <v>436015</v>
      </c>
      <c r="J116" s="1292">
        <f t="shared" si="9"/>
        <v>6.6183935222121431</v>
      </c>
    </row>
    <row r="117" spans="1:10" ht="13.5" x14ac:dyDescent="0.2">
      <c r="A117" s="1288" t="s">
        <v>5380</v>
      </c>
      <c r="B117" s="1289">
        <v>577984</v>
      </c>
      <c r="C117" s="1289">
        <v>555044</v>
      </c>
      <c r="D117" s="1289">
        <v>618694</v>
      </c>
      <c r="E117" s="1289">
        <v>555044</v>
      </c>
      <c r="F117" s="1185">
        <v>539295</v>
      </c>
      <c r="G117" s="1290">
        <f t="shared" si="7"/>
        <v>40710</v>
      </c>
      <c r="H117" s="1291">
        <f>+G117*100/D117</f>
        <v>6.5799894616724908</v>
      </c>
      <c r="I117" s="1291">
        <f t="shared" si="8"/>
        <v>-79399</v>
      </c>
      <c r="J117" s="1292">
        <f t="shared" si="9"/>
        <v>-14.722739873353174</v>
      </c>
    </row>
    <row r="118" spans="1:10" ht="13.5" x14ac:dyDescent="0.2">
      <c r="A118" s="1288" t="s">
        <v>5381</v>
      </c>
      <c r="B118" s="1289">
        <v>337023</v>
      </c>
      <c r="C118" s="1289">
        <v>441146</v>
      </c>
      <c r="D118" s="1289">
        <v>327016</v>
      </c>
      <c r="E118" s="1289">
        <v>441146</v>
      </c>
      <c r="F118" s="1185">
        <v>331484</v>
      </c>
      <c r="G118" s="1290">
        <f t="shared" si="7"/>
        <v>-10007</v>
      </c>
      <c r="H118" s="1291">
        <f>+G118*100/D118</f>
        <v>-3.0600949189030504</v>
      </c>
      <c r="I118" s="1291">
        <f t="shared" si="8"/>
        <v>4468</v>
      </c>
      <c r="J118" s="1292">
        <f t="shared" si="9"/>
        <v>1.3478780272954352</v>
      </c>
    </row>
    <row r="119" spans="1:10" ht="13.5" x14ac:dyDescent="0.2">
      <c r="A119" s="1288" t="s">
        <v>5382</v>
      </c>
      <c r="B119" s="1289">
        <v>40000</v>
      </c>
      <c r="C119" s="1289">
        <v>7638175</v>
      </c>
      <c r="D119" s="1289">
        <v>0</v>
      </c>
      <c r="E119" s="1289">
        <v>7638175</v>
      </c>
      <c r="F119" s="1185"/>
      <c r="G119" s="1290">
        <f t="shared" si="7"/>
        <v>-40000</v>
      </c>
      <c r="H119" s="1291"/>
      <c r="I119" s="1291">
        <f t="shared" si="8"/>
        <v>0</v>
      </c>
      <c r="J119" s="1292"/>
    </row>
    <row r="120" spans="1:10" ht="13.5" x14ac:dyDescent="0.2">
      <c r="A120" s="1288" t="s">
        <v>5383</v>
      </c>
      <c r="B120" s="1289">
        <v>917067</v>
      </c>
      <c r="C120" s="1289">
        <v>1222560</v>
      </c>
      <c r="D120" s="1289">
        <v>672000</v>
      </c>
      <c r="E120" s="1289">
        <v>1222560</v>
      </c>
      <c r="F120" s="1185">
        <v>954738</v>
      </c>
      <c r="G120" s="1290">
        <f t="shared" si="7"/>
        <v>-245067</v>
      </c>
      <c r="H120" s="1291">
        <f>+G120*100/D120</f>
        <v>-36.468303571428571</v>
      </c>
      <c r="I120" s="1291">
        <f t="shared" si="8"/>
        <v>282738</v>
      </c>
      <c r="J120" s="1292">
        <f t="shared" si="9"/>
        <v>29.614197821810802</v>
      </c>
    </row>
    <row r="121" spans="1:10" ht="13.5" x14ac:dyDescent="0.2">
      <c r="A121" s="1288" t="s">
        <v>5384</v>
      </c>
      <c r="B121" s="1289"/>
      <c r="C121" s="1289">
        <v>114402</v>
      </c>
      <c r="D121" s="1289">
        <v>600000</v>
      </c>
      <c r="E121" s="1289">
        <v>114402</v>
      </c>
      <c r="F121" s="1185">
        <v>600000</v>
      </c>
      <c r="G121" s="1290">
        <f t="shared" si="7"/>
        <v>600000</v>
      </c>
      <c r="H121" s="1291">
        <f>+G121*100/D121</f>
        <v>100</v>
      </c>
      <c r="I121" s="1291">
        <f t="shared" si="8"/>
        <v>0</v>
      </c>
      <c r="J121" s="1292">
        <f t="shared" si="9"/>
        <v>0</v>
      </c>
    </row>
    <row r="122" spans="1:10" ht="13.5" x14ac:dyDescent="0.2">
      <c r="A122" s="1288" t="s">
        <v>5385</v>
      </c>
      <c r="B122" s="1289">
        <v>0</v>
      </c>
      <c r="C122" s="1215"/>
      <c r="D122" s="1215"/>
      <c r="E122" s="1215"/>
      <c r="F122" s="1215"/>
      <c r="G122" s="1290">
        <f t="shared" si="7"/>
        <v>0</v>
      </c>
      <c r="H122" s="1291"/>
      <c r="I122" s="1291">
        <f t="shared" si="8"/>
        <v>0</v>
      </c>
      <c r="J122" s="1292"/>
    </row>
    <row r="123" spans="1:10" ht="13.5" x14ac:dyDescent="0.2">
      <c r="A123" s="1288" t="s">
        <v>5386</v>
      </c>
      <c r="B123" s="1289">
        <v>5500</v>
      </c>
      <c r="C123" s="1289">
        <v>8675</v>
      </c>
      <c r="D123" s="1289">
        <v>3000</v>
      </c>
      <c r="E123" s="1289">
        <v>8675</v>
      </c>
      <c r="F123" s="1185">
        <v>10800</v>
      </c>
      <c r="G123" s="1290">
        <f t="shared" si="7"/>
        <v>-2500</v>
      </c>
      <c r="H123" s="1291">
        <f>+G123*100/D123</f>
        <v>-83.333333333333329</v>
      </c>
      <c r="I123" s="1291">
        <f t="shared" si="8"/>
        <v>7800</v>
      </c>
      <c r="J123" s="1292">
        <f t="shared" si="9"/>
        <v>72.222222222222229</v>
      </c>
    </row>
    <row r="124" spans="1:10" ht="13.5" x14ac:dyDescent="0.2">
      <c r="A124" s="1288" t="s">
        <v>5387</v>
      </c>
      <c r="B124" s="1289">
        <v>26300</v>
      </c>
      <c r="C124" s="1289">
        <v>137931</v>
      </c>
      <c r="D124" s="1289">
        <v>67600</v>
      </c>
      <c r="E124" s="1289">
        <v>137931</v>
      </c>
      <c r="F124" s="1185">
        <v>120000</v>
      </c>
      <c r="G124" s="1290">
        <f t="shared" si="7"/>
        <v>41300</v>
      </c>
      <c r="H124" s="1291">
        <f>+G124*100/D124</f>
        <v>61.094674556213015</v>
      </c>
      <c r="I124" s="1291">
        <f t="shared" si="8"/>
        <v>52400</v>
      </c>
      <c r="J124" s="1292">
        <f t="shared" si="9"/>
        <v>43.666666666666664</v>
      </c>
    </row>
    <row r="125" spans="1:10" ht="13.5" x14ac:dyDescent="0.2">
      <c r="A125" s="1288" t="s">
        <v>5388</v>
      </c>
      <c r="B125" s="1289">
        <v>105260</v>
      </c>
      <c r="C125" s="1289">
        <v>614621</v>
      </c>
      <c r="D125" s="1289">
        <v>270323</v>
      </c>
      <c r="E125" s="1289">
        <v>614621</v>
      </c>
      <c r="F125" s="1185">
        <v>481765</v>
      </c>
      <c r="G125" s="1290">
        <f t="shared" si="7"/>
        <v>165063</v>
      </c>
      <c r="H125" s="1291">
        <f>+G125*100/D125</f>
        <v>61.06139692146062</v>
      </c>
      <c r="I125" s="1291">
        <f t="shared" si="8"/>
        <v>211442</v>
      </c>
      <c r="J125" s="1292">
        <f t="shared" si="9"/>
        <v>43.889033034778365</v>
      </c>
    </row>
    <row r="126" spans="1:10" ht="13.5" x14ac:dyDescent="0.2">
      <c r="A126" s="1288" t="s">
        <v>5389</v>
      </c>
      <c r="B126" s="1289">
        <v>8425263</v>
      </c>
      <c r="C126" s="1289">
        <v>12186241</v>
      </c>
      <c r="D126" s="1289">
        <v>4401022</v>
      </c>
      <c r="E126" s="1289">
        <v>12186241</v>
      </c>
      <c r="F126" s="1185">
        <v>6088813</v>
      </c>
      <c r="G126" s="1290">
        <f t="shared" si="7"/>
        <v>-4024241</v>
      </c>
      <c r="H126" s="1291">
        <f>+G126*100/D126</f>
        <v>-91.438783991536511</v>
      </c>
      <c r="I126" s="1291">
        <f t="shared" si="8"/>
        <v>1687791</v>
      </c>
      <c r="J126" s="1292">
        <f t="shared" si="9"/>
        <v>27.719540738071608</v>
      </c>
    </row>
    <row r="127" spans="1:10" ht="13.5" x14ac:dyDescent="0.2">
      <c r="A127" s="1288" t="s">
        <v>5390</v>
      </c>
      <c r="B127" s="1289">
        <v>60000</v>
      </c>
      <c r="C127" s="1289">
        <v>55480</v>
      </c>
      <c r="D127" s="1289">
        <v>0</v>
      </c>
      <c r="E127" s="1289">
        <v>55480</v>
      </c>
      <c r="F127" s="1185">
        <v>63500</v>
      </c>
      <c r="G127" s="1290">
        <f t="shared" si="7"/>
        <v>-60000</v>
      </c>
      <c r="H127" s="1291"/>
      <c r="I127" s="1291">
        <f t="shared" si="8"/>
        <v>63500</v>
      </c>
      <c r="J127" s="1292">
        <f t="shared" si="9"/>
        <v>100</v>
      </c>
    </row>
    <row r="128" spans="1:10" ht="13.5" x14ac:dyDescent="0.2">
      <c r="A128" s="1288" t="s">
        <v>5391</v>
      </c>
      <c r="B128" s="1289">
        <v>41236</v>
      </c>
      <c r="C128" s="1289">
        <v>25996</v>
      </c>
      <c r="D128" s="1289">
        <v>0</v>
      </c>
      <c r="E128" s="1289">
        <v>25996</v>
      </c>
      <c r="F128" s="1185"/>
      <c r="G128" s="1290">
        <f t="shared" si="7"/>
        <v>-41236</v>
      </c>
      <c r="H128" s="1291"/>
      <c r="I128" s="1291">
        <f t="shared" si="8"/>
        <v>0</v>
      </c>
      <c r="J128" s="1292"/>
    </row>
    <row r="129" spans="1:10" ht="13.5" x14ac:dyDescent="0.2">
      <c r="A129" s="1288" t="s">
        <v>5392</v>
      </c>
      <c r="B129" s="1289">
        <v>156340</v>
      </c>
      <c r="C129" s="1289">
        <v>19594</v>
      </c>
      <c r="D129" s="1289">
        <v>15904</v>
      </c>
      <c r="E129" s="1289">
        <v>19594</v>
      </c>
      <c r="F129" s="1185">
        <v>37487</v>
      </c>
      <c r="G129" s="1290">
        <f t="shared" si="7"/>
        <v>-140436</v>
      </c>
      <c r="H129" s="1291">
        <f>+G129*100/D129</f>
        <v>-883.02313883299803</v>
      </c>
      <c r="I129" s="1291">
        <f t="shared" si="8"/>
        <v>21583</v>
      </c>
      <c r="J129" s="1292">
        <f t="shared" si="9"/>
        <v>57.574625870301702</v>
      </c>
    </row>
    <row r="130" spans="1:10" ht="13.5" x14ac:dyDescent="0.2">
      <c r="A130" s="1288" t="s">
        <v>5393</v>
      </c>
      <c r="B130" s="1289">
        <v>168452</v>
      </c>
      <c r="C130" s="1289">
        <v>34087</v>
      </c>
      <c r="D130" s="1289">
        <v>129662</v>
      </c>
      <c r="E130" s="1289">
        <v>34087</v>
      </c>
      <c r="F130" s="1185"/>
      <c r="G130" s="1290">
        <f t="shared" si="7"/>
        <v>-38790</v>
      </c>
      <c r="H130" s="1291">
        <f>+G130*100/D130</f>
        <v>-29.916243772269439</v>
      </c>
      <c r="I130" s="1291">
        <f t="shared" si="8"/>
        <v>-129662</v>
      </c>
      <c r="J130" s="1292"/>
    </row>
    <row r="131" spans="1:10" ht="13.5" x14ac:dyDescent="0.2">
      <c r="A131" s="1288" t="s">
        <v>5394</v>
      </c>
      <c r="B131" s="1289">
        <v>36703</v>
      </c>
      <c r="C131" s="1289">
        <v>105833</v>
      </c>
      <c r="D131" s="1289">
        <v>81833</v>
      </c>
      <c r="E131" s="1289">
        <v>105833</v>
      </c>
      <c r="F131" s="1185">
        <v>77132</v>
      </c>
      <c r="G131" s="1290">
        <f t="shared" si="7"/>
        <v>45130</v>
      </c>
      <c r="H131" s="1291">
        <f>+G131*100/D131</f>
        <v>55.148900810186596</v>
      </c>
      <c r="I131" s="1291">
        <f t="shared" si="8"/>
        <v>-4701</v>
      </c>
      <c r="J131" s="1292">
        <f t="shared" si="9"/>
        <v>-6.0947466680495772</v>
      </c>
    </row>
    <row r="132" spans="1:10" ht="13.5" x14ac:dyDescent="0.2">
      <c r="A132" s="1288" t="s">
        <v>5395</v>
      </c>
      <c r="B132" s="1289">
        <v>716</v>
      </c>
      <c r="C132" s="1289">
        <v>19866</v>
      </c>
      <c r="D132" s="1289">
        <v>4866</v>
      </c>
      <c r="E132" s="1289">
        <v>19866</v>
      </c>
      <c r="F132" s="1185"/>
      <c r="G132" s="1290">
        <f t="shared" si="7"/>
        <v>4150</v>
      </c>
      <c r="H132" s="1291">
        <f>+G132*100/D132</f>
        <v>85.285655569256065</v>
      </c>
      <c r="I132" s="1291">
        <f t="shared" si="8"/>
        <v>-4866</v>
      </c>
      <c r="J132" s="1292"/>
    </row>
    <row r="133" spans="1:10" ht="13.5" x14ac:dyDescent="0.2">
      <c r="A133" s="1288" t="s">
        <v>5396</v>
      </c>
      <c r="B133" s="1289">
        <v>5052</v>
      </c>
      <c r="C133" s="1289">
        <v>1186</v>
      </c>
      <c r="D133" s="1289">
        <v>0</v>
      </c>
      <c r="E133" s="1289">
        <v>1186</v>
      </c>
      <c r="F133" s="1185"/>
      <c r="G133" s="1290">
        <f t="shared" si="7"/>
        <v>-5052</v>
      </c>
      <c r="H133" s="1291"/>
      <c r="I133" s="1291">
        <f t="shared" si="8"/>
        <v>0</v>
      </c>
      <c r="J133" s="1292"/>
    </row>
    <row r="134" spans="1:10" ht="13.5" x14ac:dyDescent="0.2">
      <c r="A134" s="1288" t="s">
        <v>5397</v>
      </c>
      <c r="B134" s="1289">
        <v>337626</v>
      </c>
      <c r="C134" s="1289">
        <v>1006987</v>
      </c>
      <c r="D134" s="1289">
        <v>267578</v>
      </c>
      <c r="E134" s="1289">
        <v>1006987</v>
      </c>
      <c r="F134" s="1185"/>
      <c r="G134" s="1290">
        <f t="shared" si="7"/>
        <v>-70048</v>
      </c>
      <c r="H134" s="1291">
        <f>+G134*100/D134</f>
        <v>-26.178534857125772</v>
      </c>
      <c r="I134" s="1291">
        <f t="shared" si="8"/>
        <v>-267578</v>
      </c>
      <c r="J134" s="1292"/>
    </row>
    <row r="135" spans="1:10" ht="13.5" x14ac:dyDescent="0.2">
      <c r="A135" s="1288" t="s">
        <v>5398</v>
      </c>
      <c r="B135" s="1289">
        <v>1702972</v>
      </c>
      <c r="C135" s="1289">
        <v>2937602</v>
      </c>
      <c r="D135" s="1289">
        <v>1651475</v>
      </c>
      <c r="E135" s="1289">
        <v>2937602</v>
      </c>
      <c r="F135" s="1185">
        <v>1723220</v>
      </c>
      <c r="G135" s="1290">
        <f t="shared" si="7"/>
        <v>-51497</v>
      </c>
      <c r="H135" s="1291">
        <f>+G135*100/D135</f>
        <v>-3.1182427829667421</v>
      </c>
      <c r="I135" s="1291">
        <f t="shared" si="8"/>
        <v>71745</v>
      </c>
      <c r="J135" s="1292">
        <f t="shared" si="9"/>
        <v>4.1634266083262732</v>
      </c>
    </row>
    <row r="136" spans="1:10" ht="13.5" x14ac:dyDescent="0.2">
      <c r="A136" s="1288" t="s">
        <v>5399</v>
      </c>
      <c r="B136" s="1289">
        <v>678607</v>
      </c>
      <c r="C136" s="1289">
        <v>4741677</v>
      </c>
      <c r="D136" s="1289">
        <v>1260851</v>
      </c>
      <c r="E136" s="1289">
        <v>4741677</v>
      </c>
      <c r="F136" s="1185">
        <v>36175</v>
      </c>
      <c r="G136" s="1290">
        <f t="shared" ref="G136:G141" si="14">D136-B136</f>
        <v>582244</v>
      </c>
      <c r="H136" s="1291">
        <f>+G136*100/D136</f>
        <v>46.178652354639844</v>
      </c>
      <c r="I136" s="1291">
        <f t="shared" ref="I136:I141" si="15">F136-D136</f>
        <v>-1224676</v>
      </c>
      <c r="J136" s="1292">
        <f t="shared" si="9"/>
        <v>-3385.4208707671041</v>
      </c>
    </row>
    <row r="137" spans="1:10" ht="13.5" x14ac:dyDescent="0.2">
      <c r="A137" s="1288" t="s">
        <v>5400</v>
      </c>
      <c r="B137" s="1215"/>
      <c r="C137" s="1289">
        <v>1000</v>
      </c>
      <c r="D137" s="1289">
        <v>0</v>
      </c>
      <c r="E137" s="1289">
        <v>1000</v>
      </c>
      <c r="F137" s="1185"/>
      <c r="G137" s="1290">
        <f t="shared" si="14"/>
        <v>0</v>
      </c>
      <c r="H137" s="1291"/>
      <c r="I137" s="1291">
        <f t="shared" si="15"/>
        <v>0</v>
      </c>
      <c r="J137" s="1292"/>
    </row>
    <row r="138" spans="1:10" ht="13.5" x14ac:dyDescent="0.2">
      <c r="A138" s="1288" t="s">
        <v>5401</v>
      </c>
      <c r="B138" s="1289">
        <v>2178460</v>
      </c>
      <c r="C138" s="1289">
        <v>3591403</v>
      </c>
      <c r="D138" s="1289">
        <v>2733036</v>
      </c>
      <c r="E138" s="1289">
        <v>3591403</v>
      </c>
      <c r="F138" s="1185"/>
      <c r="G138" s="1290">
        <f t="shared" si="14"/>
        <v>554576</v>
      </c>
      <c r="H138" s="1291">
        <f>+G138*100/D138</f>
        <v>20.291573180887482</v>
      </c>
      <c r="I138" s="1291">
        <f t="shared" si="15"/>
        <v>-2733036</v>
      </c>
      <c r="J138" s="1292"/>
    </row>
    <row r="139" spans="1:10" ht="13.5" x14ac:dyDescent="0.2">
      <c r="A139" s="1288" t="s">
        <v>5402</v>
      </c>
      <c r="B139" s="1289">
        <v>2918642</v>
      </c>
      <c r="C139" s="1289">
        <v>5000</v>
      </c>
      <c r="D139" s="1289">
        <v>0</v>
      </c>
      <c r="E139" s="1289">
        <v>5000</v>
      </c>
      <c r="F139" s="1185"/>
      <c r="G139" s="1290">
        <f t="shared" si="14"/>
        <v>-2918642</v>
      </c>
      <c r="H139" s="1291"/>
      <c r="I139" s="1291">
        <f t="shared" si="15"/>
        <v>0</v>
      </c>
      <c r="J139" s="1292"/>
    </row>
    <row r="140" spans="1:10" ht="13.5" x14ac:dyDescent="0.2">
      <c r="A140" s="1288" t="s">
        <v>5403</v>
      </c>
      <c r="B140" s="1215"/>
      <c r="C140" s="1289">
        <v>1864166</v>
      </c>
      <c r="D140" s="1289">
        <v>1500360</v>
      </c>
      <c r="E140" s="1289">
        <v>1864166</v>
      </c>
      <c r="F140" s="1185">
        <v>1552705</v>
      </c>
      <c r="G140" s="1290">
        <f t="shared" si="14"/>
        <v>1500360</v>
      </c>
      <c r="H140" s="1291">
        <f>+G140*100/D140</f>
        <v>100</v>
      </c>
      <c r="I140" s="1291">
        <f t="shared" si="15"/>
        <v>52345</v>
      </c>
      <c r="J140" s="1292">
        <f t="shared" ref="J140:J141" si="16">+I140*100/F140</f>
        <v>3.3712134629565824</v>
      </c>
    </row>
    <row r="141" spans="1:10" ht="14.25" thickBot="1" x14ac:dyDescent="0.25">
      <c r="A141" s="1293" t="s">
        <v>5404</v>
      </c>
      <c r="B141" s="1294">
        <v>157941</v>
      </c>
      <c r="C141" s="1295">
        <v>242131</v>
      </c>
      <c r="D141" s="1294">
        <v>157941</v>
      </c>
      <c r="E141" s="1296"/>
      <c r="F141" s="85">
        <v>30000</v>
      </c>
      <c r="G141" s="1297">
        <f t="shared" si="14"/>
        <v>0</v>
      </c>
      <c r="H141" s="1298">
        <f>+G141*100/D141</f>
        <v>0</v>
      </c>
      <c r="I141" s="1299">
        <f t="shared" si="15"/>
        <v>-127941</v>
      </c>
      <c r="J141" s="1292">
        <f t="shared" si="16"/>
        <v>-426.47</v>
      </c>
    </row>
    <row r="142" spans="1:10" ht="12.75" thickBot="1" x14ac:dyDescent="0.25">
      <c r="A142" s="1300" t="s">
        <v>38</v>
      </c>
      <c r="B142" s="1301">
        <f t="shared" ref="B142:J142" si="17">SUM(B8:B141)</f>
        <v>199888889</v>
      </c>
      <c r="C142" s="1302">
        <f t="shared" si="17"/>
        <v>342503689</v>
      </c>
      <c r="D142" s="1302">
        <f t="shared" si="17"/>
        <v>152719894</v>
      </c>
      <c r="E142" s="1302">
        <f t="shared" si="17"/>
        <v>336286273</v>
      </c>
      <c r="F142" s="1302">
        <f t="shared" si="17"/>
        <v>134907354</v>
      </c>
      <c r="G142" s="1302">
        <f t="shared" si="17"/>
        <v>-47168995</v>
      </c>
      <c r="H142" s="1302">
        <f t="shared" si="17"/>
        <v>-9717.7425811107241</v>
      </c>
      <c r="I142" s="1302">
        <f t="shared" si="17"/>
        <v>-17812540</v>
      </c>
      <c r="J142" s="1303">
        <f t="shared" si="17"/>
        <v>-4568.7199716321511</v>
      </c>
    </row>
    <row r="143" spans="1:10" x14ac:dyDescent="0.2">
      <c r="A143" s="1" t="s">
        <v>39</v>
      </c>
      <c r="B143" s="2"/>
      <c r="C143" s="2"/>
      <c r="D143" s="2"/>
      <c r="E143" s="2"/>
      <c r="F143" s="2"/>
      <c r="G143" s="2"/>
      <c r="H143" s="1304"/>
      <c r="I143" s="1304"/>
      <c r="J143" s="1287"/>
    </row>
    <row r="144" spans="1:10" x14ac:dyDescent="0.2">
      <c r="A144" s="1" t="s">
        <v>318</v>
      </c>
      <c r="B144" s="35"/>
      <c r="C144" s="35"/>
      <c r="D144" s="35"/>
      <c r="E144" s="35"/>
      <c r="F144" s="35"/>
      <c r="G144" s="35"/>
      <c r="H144" s="1305"/>
      <c r="I144" s="1305"/>
      <c r="J144" s="1287"/>
    </row>
    <row r="145" spans="1:10" x14ac:dyDescent="0.2">
      <c r="A145" s="1" t="s">
        <v>144</v>
      </c>
      <c r="B145" s="2"/>
      <c r="C145" s="2"/>
      <c r="D145" s="2"/>
      <c r="E145" s="2"/>
      <c r="F145" s="2"/>
      <c r="G145" s="2"/>
      <c r="H145" s="1304"/>
      <c r="I145" s="1304"/>
      <c r="J145" s="1287"/>
    </row>
    <row r="146" spans="1:10" x14ac:dyDescent="0.2">
      <c r="A146" s="1"/>
      <c r="B146" s="2"/>
      <c r="C146" s="2"/>
      <c r="D146" s="2"/>
      <c r="E146" s="2"/>
      <c r="F146" s="2"/>
      <c r="G146" s="2"/>
      <c r="H146" s="1304"/>
      <c r="I146" s="1304"/>
      <c r="J146" s="1287"/>
    </row>
  </sheetData>
  <sortState xmlns:xlrd2="http://schemas.microsoft.com/office/spreadsheetml/2017/richdata2" ref="A8:K42">
    <sortCondition ref="A8:A42"/>
  </sortState>
  <mergeCells count="11">
    <mergeCell ref="A2:J2"/>
    <mergeCell ref="A6:A7"/>
    <mergeCell ref="B6:B7"/>
    <mergeCell ref="C6:C7"/>
    <mergeCell ref="D6:D7"/>
    <mergeCell ref="E6:E7"/>
    <mergeCell ref="F6:F7"/>
    <mergeCell ref="G6:G7"/>
    <mergeCell ref="H6:H7"/>
    <mergeCell ref="I6:I7"/>
    <mergeCell ref="J6:J7"/>
  </mergeCells>
  <phoneticPr fontId="0" type="noConversion"/>
  <printOptions horizontalCentered="1"/>
  <pageMargins left="0.25" right="0.25" top="0.75" bottom="0.75" header="0.3" footer="0.3"/>
  <pageSetup paperSize="9" scale="8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AC160"/>
  <sheetViews>
    <sheetView topLeftCell="A157" zoomScaleNormal="100" zoomScaleSheetLayoutView="90" zoomScalePageLayoutView="85" workbookViewId="0">
      <selection activeCell="E176" sqref="E176"/>
    </sheetView>
  </sheetViews>
  <sheetFormatPr baseColWidth="10" defaultColWidth="11.42578125" defaultRowHeight="12" x14ac:dyDescent="0.2"/>
  <cols>
    <col min="1" max="1" width="53.140625" style="3" customWidth="1"/>
    <col min="2" max="3" width="15.5703125" style="3" customWidth="1"/>
    <col min="4" max="5" width="15.5703125" style="64" customWidth="1"/>
    <col min="6" max="7" width="15.5703125" style="40" customWidth="1"/>
    <col min="8" max="8" width="36.42578125" style="64" customWidth="1"/>
    <col min="9" max="11" width="15.5703125" style="40" customWidth="1"/>
    <col min="12" max="13" width="15.5703125" style="3" customWidth="1"/>
    <col min="14" max="14" width="15.5703125" style="40" customWidth="1"/>
    <col min="15" max="16384" width="11.42578125" style="3"/>
  </cols>
  <sheetData>
    <row r="1" spans="1:25" s="5" customFormat="1" ht="15.75" customHeight="1" x14ac:dyDescent="0.2">
      <c r="A1" s="86" t="s">
        <v>388</v>
      </c>
      <c r="B1" s="86"/>
      <c r="C1" s="86"/>
      <c r="D1" s="86"/>
      <c r="E1" s="86"/>
      <c r="F1" s="86"/>
      <c r="G1" s="86"/>
      <c r="H1" s="86"/>
      <c r="I1" s="86"/>
      <c r="J1" s="86"/>
      <c r="K1" s="86"/>
      <c r="L1" s="86"/>
      <c r="M1" s="86"/>
      <c r="N1" s="86"/>
    </row>
    <row r="2" spans="1:25" s="5" customFormat="1" x14ac:dyDescent="0.2">
      <c r="A2" s="86" t="s">
        <v>313</v>
      </c>
      <c r="B2" s="86"/>
      <c r="C2" s="86"/>
      <c r="D2" s="86"/>
      <c r="E2" s="86"/>
      <c r="F2" s="86"/>
      <c r="G2" s="86"/>
      <c r="H2" s="86"/>
      <c r="I2" s="86"/>
      <c r="J2" s="86"/>
      <c r="K2" s="86"/>
      <c r="L2" s="86"/>
      <c r="M2" s="86"/>
      <c r="N2" s="86"/>
      <c r="O2" s="86"/>
      <c r="P2" s="86"/>
      <c r="Q2" s="86"/>
      <c r="R2" s="86"/>
      <c r="S2" s="86"/>
      <c r="T2" s="86"/>
      <c r="U2" s="86"/>
      <c r="V2" s="86"/>
      <c r="W2" s="86"/>
      <c r="X2" s="86"/>
      <c r="Y2" s="86"/>
    </row>
    <row r="3" spans="1:25" s="40" customFormat="1" ht="12.75" thickBot="1" x14ac:dyDescent="0.25">
      <c r="A3" s="7"/>
      <c r="B3" s="9"/>
      <c r="D3" s="64"/>
      <c r="E3" s="64"/>
      <c r="G3" s="9"/>
      <c r="H3" s="9"/>
    </row>
    <row r="4" spans="1:25" ht="13.5" hidden="1" customHeight="1" x14ac:dyDescent="0.2">
      <c r="A4" s="32" t="s">
        <v>64</v>
      </c>
      <c r="B4" s="31"/>
      <c r="C4" s="27"/>
      <c r="D4" s="66"/>
      <c r="E4" s="66"/>
      <c r="F4" s="41"/>
      <c r="G4" s="41"/>
      <c r="H4" s="66"/>
      <c r="I4" s="41"/>
      <c r="J4" s="41"/>
      <c r="K4" s="41"/>
      <c r="L4" s="27"/>
      <c r="M4" s="27"/>
      <c r="N4" s="41"/>
    </row>
    <row r="5" spans="1:25" ht="57" customHeight="1" thickBot="1" x14ac:dyDescent="0.25">
      <c r="A5" s="146" t="s">
        <v>68</v>
      </c>
      <c r="B5" s="149" t="s">
        <v>69</v>
      </c>
      <c r="C5" s="147" t="s">
        <v>70</v>
      </c>
      <c r="D5" s="147" t="s">
        <v>174</v>
      </c>
      <c r="E5" s="147" t="s">
        <v>175</v>
      </c>
      <c r="F5" s="147" t="s">
        <v>211</v>
      </c>
      <c r="G5" s="147" t="s">
        <v>146</v>
      </c>
      <c r="H5" s="147" t="s">
        <v>173</v>
      </c>
      <c r="I5" s="147" t="s">
        <v>148</v>
      </c>
      <c r="J5" s="147" t="s">
        <v>147</v>
      </c>
      <c r="K5" s="147" t="s">
        <v>149</v>
      </c>
      <c r="L5" s="147" t="s">
        <v>150</v>
      </c>
      <c r="M5" s="147" t="s">
        <v>151</v>
      </c>
      <c r="N5" s="147" t="s">
        <v>152</v>
      </c>
    </row>
    <row r="6" spans="1:25" x14ac:dyDescent="0.2">
      <c r="A6" s="1182" t="s">
        <v>4028</v>
      </c>
      <c r="B6" s="1183"/>
      <c r="C6" s="1184"/>
      <c r="D6" s="1184"/>
      <c r="E6" s="1184"/>
      <c r="F6" s="1183"/>
      <c r="G6" s="1185"/>
      <c r="H6" s="1185"/>
      <c r="I6" s="1185"/>
      <c r="J6" s="1185"/>
      <c r="K6" s="1185"/>
      <c r="L6" s="1185"/>
      <c r="M6" s="1185"/>
      <c r="N6" s="1185"/>
    </row>
    <row r="7" spans="1:25" ht="60" x14ac:dyDescent="0.2">
      <c r="A7" s="1186" t="s">
        <v>4029</v>
      </c>
      <c r="B7" s="1187">
        <v>2485427</v>
      </c>
      <c r="C7" s="1188" t="s">
        <v>4030</v>
      </c>
      <c r="D7" s="1188" t="s">
        <v>4031</v>
      </c>
      <c r="E7" s="1188" t="s">
        <v>4032</v>
      </c>
      <c r="F7" s="1189">
        <v>868000</v>
      </c>
      <c r="G7" s="1190">
        <v>43993</v>
      </c>
      <c r="H7" s="1188" t="s">
        <v>4033</v>
      </c>
      <c r="I7" s="1188" t="s">
        <v>4034</v>
      </c>
      <c r="J7" s="1190">
        <v>44025</v>
      </c>
      <c r="K7" s="1191"/>
      <c r="L7" s="1191"/>
      <c r="M7" s="1185"/>
      <c r="N7" s="1185"/>
    </row>
    <row r="8" spans="1:25" x14ac:dyDescent="0.2">
      <c r="A8" s="1182" t="s">
        <v>4035</v>
      </c>
      <c r="B8" s="1183"/>
      <c r="C8" s="1185"/>
      <c r="D8" s="1185"/>
      <c r="E8" s="1185"/>
      <c r="F8" s="1185"/>
      <c r="G8" s="1191"/>
      <c r="H8" s="1185"/>
      <c r="I8" s="1185"/>
      <c r="J8" s="1191"/>
      <c r="K8" s="1191"/>
      <c r="L8" s="1191"/>
      <c r="M8" s="1185"/>
      <c r="N8" s="1185"/>
    </row>
    <row r="9" spans="1:25" ht="60" x14ac:dyDescent="0.2">
      <c r="A9" s="1192" t="s">
        <v>4036</v>
      </c>
      <c r="B9" s="1187"/>
      <c r="C9" s="1193" t="s">
        <v>4037</v>
      </c>
      <c r="D9" s="1188"/>
      <c r="E9" s="1194">
        <v>40</v>
      </c>
      <c r="F9" s="1189">
        <v>107585</v>
      </c>
      <c r="G9" s="1195" t="s">
        <v>4038</v>
      </c>
      <c r="H9" s="1193" t="s">
        <v>4039</v>
      </c>
      <c r="I9" s="1188"/>
      <c r="J9" s="1188"/>
      <c r="K9" s="1185"/>
      <c r="L9" s="1185"/>
      <c r="M9" s="1185"/>
      <c r="N9" s="1185"/>
    </row>
    <row r="10" spans="1:25" ht="140.25" customHeight="1" x14ac:dyDescent="0.2">
      <c r="A10" s="1192" t="s">
        <v>4040</v>
      </c>
      <c r="B10" s="1187"/>
      <c r="C10" s="1193" t="s">
        <v>4041</v>
      </c>
      <c r="D10" s="1188"/>
      <c r="E10" s="1194">
        <v>109</v>
      </c>
      <c r="F10" s="1189">
        <v>2183084.5299999998</v>
      </c>
      <c r="G10" s="1195" t="s">
        <v>4042</v>
      </c>
      <c r="H10" s="1193" t="s">
        <v>4043</v>
      </c>
      <c r="I10" s="1188"/>
      <c r="J10" s="1188"/>
      <c r="K10" s="1185"/>
      <c r="L10" s="1185"/>
      <c r="M10" s="1185"/>
      <c r="N10" s="1185"/>
    </row>
    <row r="11" spans="1:25" ht="48" x14ac:dyDescent="0.2">
      <c r="A11" s="1192" t="s">
        <v>4044</v>
      </c>
      <c r="B11" s="1187"/>
      <c r="C11" s="1193" t="s">
        <v>4045</v>
      </c>
      <c r="D11" s="1188"/>
      <c r="E11" s="1194">
        <v>40</v>
      </c>
      <c r="F11" s="1189">
        <v>107585</v>
      </c>
      <c r="G11" s="1195" t="s">
        <v>4046</v>
      </c>
      <c r="H11" s="1193" t="s">
        <v>4039</v>
      </c>
      <c r="I11" s="1188"/>
      <c r="J11" s="1188"/>
      <c r="K11" s="1185"/>
      <c r="L11" s="1185"/>
      <c r="M11" s="1185"/>
      <c r="N11" s="1185"/>
    </row>
    <row r="12" spans="1:25" ht="84" x14ac:dyDescent="0.2">
      <c r="A12" s="1192" t="s">
        <v>4047</v>
      </c>
      <c r="B12" s="1187"/>
      <c r="C12" s="1193" t="s">
        <v>4048</v>
      </c>
      <c r="D12" s="1188"/>
      <c r="E12" s="1194">
        <v>30</v>
      </c>
      <c r="F12" s="1189">
        <v>109918.71</v>
      </c>
      <c r="G12" s="1195" t="s">
        <v>4049</v>
      </c>
      <c r="H12" s="1193" t="s">
        <v>4050</v>
      </c>
      <c r="I12" s="1188"/>
      <c r="J12" s="1188"/>
      <c r="K12" s="1185"/>
      <c r="L12" s="1185"/>
      <c r="M12" s="1185"/>
      <c r="N12" s="1185"/>
    </row>
    <row r="13" spans="1:25" ht="84" x14ac:dyDescent="0.2">
      <c r="A13" s="1192" t="s">
        <v>4051</v>
      </c>
      <c r="B13" s="1187"/>
      <c r="C13" s="1193" t="s">
        <v>4052</v>
      </c>
      <c r="D13" s="1188"/>
      <c r="E13" s="1194">
        <v>84</v>
      </c>
      <c r="F13" s="1189">
        <v>282173.06</v>
      </c>
      <c r="G13" s="1195" t="s">
        <v>4053</v>
      </c>
      <c r="H13" s="1193" t="s">
        <v>4054</v>
      </c>
      <c r="I13" s="1188"/>
      <c r="J13" s="1188"/>
      <c r="K13" s="1185"/>
      <c r="L13" s="1185"/>
      <c r="M13" s="1185"/>
      <c r="N13" s="1185"/>
    </row>
    <row r="14" spans="1:25" ht="72" x14ac:dyDescent="0.2">
      <c r="A14" s="1192" t="s">
        <v>4055</v>
      </c>
      <c r="B14" s="1187"/>
      <c r="C14" s="1193" t="s">
        <v>4056</v>
      </c>
      <c r="D14" s="1188"/>
      <c r="E14" s="1194">
        <v>88</v>
      </c>
      <c r="F14" s="1189">
        <v>347253</v>
      </c>
      <c r="G14" s="1195" t="s">
        <v>4057</v>
      </c>
      <c r="H14" s="1193" t="s">
        <v>4058</v>
      </c>
      <c r="I14" s="1188"/>
      <c r="J14" s="1188"/>
      <c r="K14" s="1185"/>
      <c r="L14" s="1185"/>
      <c r="M14" s="1185"/>
      <c r="N14" s="1185"/>
    </row>
    <row r="15" spans="1:25" ht="108" x14ac:dyDescent="0.2">
      <c r="A15" s="1192" t="s">
        <v>4059</v>
      </c>
      <c r="B15" s="1187"/>
      <c r="C15" s="1193" t="s">
        <v>4060</v>
      </c>
      <c r="D15" s="1188"/>
      <c r="E15" s="1194">
        <v>97</v>
      </c>
      <c r="F15" s="1189">
        <v>698075.28</v>
      </c>
      <c r="G15" s="1195" t="s">
        <v>4061</v>
      </c>
      <c r="H15" s="1193" t="s">
        <v>4062</v>
      </c>
      <c r="I15" s="1188"/>
      <c r="J15" s="1188"/>
      <c r="K15" s="1185"/>
      <c r="L15" s="1185"/>
      <c r="M15" s="1185"/>
      <c r="N15" s="1185"/>
    </row>
    <row r="16" spans="1:25" ht="60" x14ac:dyDescent="0.2">
      <c r="A16" s="1192" t="s">
        <v>4063</v>
      </c>
      <c r="B16" s="1187"/>
      <c r="C16" s="1193" t="s">
        <v>4064</v>
      </c>
      <c r="D16" s="1188"/>
      <c r="E16" s="1194">
        <v>77</v>
      </c>
      <c r="F16" s="1189">
        <v>79513.119999999995</v>
      </c>
      <c r="G16" s="1195" t="s">
        <v>4065</v>
      </c>
      <c r="H16" s="1193" t="s">
        <v>4066</v>
      </c>
      <c r="I16" s="1188"/>
      <c r="J16" s="1188"/>
      <c r="K16" s="1185"/>
      <c r="L16" s="1185"/>
      <c r="M16" s="1185"/>
      <c r="N16" s="1185"/>
    </row>
    <row r="17" spans="1:29" ht="72" x14ac:dyDescent="0.2">
      <c r="A17" s="1192" t="s">
        <v>4067</v>
      </c>
      <c r="B17" s="1187"/>
      <c r="C17" s="1193" t="s">
        <v>4068</v>
      </c>
      <c r="D17" s="1188"/>
      <c r="E17" s="1194">
        <v>49</v>
      </c>
      <c r="F17" s="1189">
        <v>100030.6</v>
      </c>
      <c r="G17" s="1195" t="s">
        <v>4069</v>
      </c>
      <c r="H17" s="1193" t="s">
        <v>4070</v>
      </c>
      <c r="I17" s="1188"/>
      <c r="J17" s="1188"/>
      <c r="K17" s="1185"/>
      <c r="L17" s="1185"/>
      <c r="M17" s="1185"/>
      <c r="N17" s="1185"/>
    </row>
    <row r="18" spans="1:29" ht="36" x14ac:dyDescent="0.2">
      <c r="A18" s="1192" t="s">
        <v>4071</v>
      </c>
      <c r="B18" s="1187"/>
      <c r="C18" s="1193" t="s">
        <v>4072</v>
      </c>
      <c r="D18" s="1188"/>
      <c r="E18" s="1194">
        <v>36</v>
      </c>
      <c r="F18" s="1189">
        <v>1096000</v>
      </c>
      <c r="G18" s="1195" t="s">
        <v>4073</v>
      </c>
      <c r="H18" s="1193" t="s">
        <v>4074</v>
      </c>
      <c r="I18" s="1188"/>
      <c r="J18" s="1188"/>
      <c r="K18" s="1185"/>
      <c r="L18" s="1185"/>
      <c r="M18" s="1185"/>
      <c r="N18" s="1185"/>
    </row>
    <row r="19" spans="1:29" ht="36" x14ac:dyDescent="0.2">
      <c r="A19" s="1196" t="s">
        <v>4075</v>
      </c>
      <c r="B19" s="1187"/>
      <c r="C19" s="1197" t="s">
        <v>4076</v>
      </c>
      <c r="D19" s="1188"/>
      <c r="E19" s="1194">
        <v>10</v>
      </c>
      <c r="F19" s="1198">
        <v>47175</v>
      </c>
      <c r="G19" s="1199"/>
      <c r="H19" s="1197" t="s">
        <v>4077</v>
      </c>
      <c r="I19" s="1188"/>
      <c r="J19" s="1188"/>
      <c r="K19" s="1185"/>
      <c r="L19" s="1185"/>
      <c r="M19" s="1185"/>
      <c r="N19" s="1185"/>
      <c r="Q19" s="2"/>
      <c r="R19" s="2"/>
      <c r="S19" s="2"/>
      <c r="T19" s="2"/>
      <c r="U19" s="2"/>
      <c r="V19" s="2"/>
      <c r="W19" s="2"/>
      <c r="X19" s="2"/>
      <c r="Y19" s="2"/>
      <c r="Z19" s="2"/>
      <c r="AA19" s="2"/>
      <c r="AB19" s="40"/>
      <c r="AC19" s="40"/>
    </row>
    <row r="20" spans="1:29" ht="72" x14ac:dyDescent="0.2">
      <c r="A20" s="1196" t="s">
        <v>4078</v>
      </c>
      <c r="B20" s="1187"/>
      <c r="C20" s="1197" t="s">
        <v>4079</v>
      </c>
      <c r="D20" s="1188"/>
      <c r="E20" s="1194">
        <v>11</v>
      </c>
      <c r="F20" s="1198">
        <v>37800</v>
      </c>
      <c r="G20" s="1199"/>
      <c r="H20" s="1197" t="s">
        <v>4080</v>
      </c>
      <c r="I20" s="1188"/>
      <c r="J20" s="1188"/>
      <c r="K20" s="1185"/>
      <c r="L20" s="1185"/>
      <c r="M20" s="1185"/>
      <c r="N20" s="1185"/>
    </row>
    <row r="21" spans="1:29" ht="72" x14ac:dyDescent="0.2">
      <c r="A21" s="1196" t="s">
        <v>4081</v>
      </c>
      <c r="B21" s="1187"/>
      <c r="C21" s="1197" t="s">
        <v>4082</v>
      </c>
      <c r="D21" s="1188"/>
      <c r="E21" s="1194">
        <v>9</v>
      </c>
      <c r="F21" s="1198">
        <v>51000</v>
      </c>
      <c r="G21" s="1199"/>
      <c r="H21" s="1197" t="s">
        <v>4083</v>
      </c>
      <c r="I21" s="1188"/>
      <c r="J21" s="1188"/>
      <c r="K21" s="1185"/>
      <c r="L21" s="1185"/>
      <c r="M21" s="1185"/>
      <c r="N21" s="1185"/>
    </row>
    <row r="22" spans="1:29" ht="60" x14ac:dyDescent="0.2">
      <c r="A22" s="1196" t="s">
        <v>4084</v>
      </c>
      <c r="B22" s="1187"/>
      <c r="C22" s="1197" t="s">
        <v>4085</v>
      </c>
      <c r="D22" s="1188"/>
      <c r="E22" s="1194">
        <v>8</v>
      </c>
      <c r="F22" s="1198">
        <v>57400</v>
      </c>
      <c r="G22" s="1199"/>
      <c r="H22" s="1197" t="s">
        <v>4086</v>
      </c>
      <c r="I22" s="1188"/>
      <c r="J22" s="1188"/>
      <c r="K22" s="1185"/>
      <c r="L22" s="1185"/>
      <c r="M22" s="1185"/>
      <c r="N22" s="1185"/>
    </row>
    <row r="23" spans="1:29" ht="84" x14ac:dyDescent="0.2">
      <c r="A23" s="1196" t="s">
        <v>4087</v>
      </c>
      <c r="B23" s="1187"/>
      <c r="C23" s="1197" t="s">
        <v>4088</v>
      </c>
      <c r="D23" s="1188"/>
      <c r="E23" s="1194">
        <v>56</v>
      </c>
      <c r="F23" s="1198">
        <v>164000</v>
      </c>
      <c r="G23" s="1199" t="s">
        <v>4089</v>
      </c>
      <c r="H23" s="1197" t="s">
        <v>4090</v>
      </c>
      <c r="I23" s="1188"/>
      <c r="J23" s="1188"/>
      <c r="K23" s="1185"/>
      <c r="L23" s="1185"/>
      <c r="M23" s="1185"/>
      <c r="N23" s="1185"/>
    </row>
    <row r="24" spans="1:29" ht="108" x14ac:dyDescent="0.2">
      <c r="A24" s="1196" t="s">
        <v>4091</v>
      </c>
      <c r="B24" s="1187"/>
      <c r="C24" s="1197" t="s">
        <v>4092</v>
      </c>
      <c r="D24" s="1188"/>
      <c r="E24" s="1194">
        <v>73</v>
      </c>
      <c r="F24" s="1198">
        <v>206115</v>
      </c>
      <c r="G24" s="1199" t="s">
        <v>4093</v>
      </c>
      <c r="H24" s="1197" t="s">
        <v>4094</v>
      </c>
      <c r="I24" s="1188"/>
      <c r="J24" s="1188"/>
      <c r="K24" s="1185"/>
      <c r="L24" s="1185"/>
      <c r="M24" s="1185"/>
      <c r="N24" s="1185"/>
    </row>
    <row r="25" spans="1:29" ht="72" x14ac:dyDescent="0.2">
      <c r="A25" s="1196" t="s">
        <v>4095</v>
      </c>
      <c r="B25" s="1187"/>
      <c r="C25" s="1197" t="s">
        <v>4096</v>
      </c>
      <c r="D25" s="1188"/>
      <c r="E25" s="1194">
        <v>74</v>
      </c>
      <c r="F25" s="1198">
        <v>2173478.15</v>
      </c>
      <c r="G25" s="1199" t="s">
        <v>4097</v>
      </c>
      <c r="H25" s="1197" t="s">
        <v>4098</v>
      </c>
      <c r="I25" s="1188"/>
      <c r="J25" s="1188"/>
      <c r="K25" s="1185"/>
      <c r="L25" s="1185"/>
      <c r="M25" s="1185"/>
      <c r="N25" s="1185"/>
    </row>
    <row r="26" spans="1:29" ht="108" x14ac:dyDescent="0.2">
      <c r="A26" s="1196" t="s">
        <v>4099</v>
      </c>
      <c r="B26" s="1187"/>
      <c r="C26" s="1197" t="s">
        <v>4100</v>
      </c>
      <c r="D26" s="1188"/>
      <c r="E26" s="1194">
        <v>79</v>
      </c>
      <c r="F26" s="1198">
        <v>377377.54</v>
      </c>
      <c r="G26" s="1199" t="s">
        <v>4101</v>
      </c>
      <c r="H26" s="1197" t="s">
        <v>4102</v>
      </c>
      <c r="I26" s="1188"/>
      <c r="J26" s="1188"/>
      <c r="K26" s="1185"/>
      <c r="L26" s="1185"/>
      <c r="M26" s="1185"/>
      <c r="N26" s="1185"/>
    </row>
    <row r="27" spans="1:29" ht="72" x14ac:dyDescent="0.2">
      <c r="A27" s="1196" t="s">
        <v>4103</v>
      </c>
      <c r="B27" s="1187"/>
      <c r="C27" s="1197" t="s">
        <v>4104</v>
      </c>
      <c r="D27" s="1188"/>
      <c r="E27" s="1194">
        <v>78</v>
      </c>
      <c r="F27" s="1198">
        <v>680327.45</v>
      </c>
      <c r="G27" s="1199" t="s">
        <v>4105</v>
      </c>
      <c r="H27" s="1197" t="s">
        <v>4106</v>
      </c>
      <c r="I27" s="1188"/>
      <c r="J27" s="1188"/>
      <c r="K27" s="1185"/>
      <c r="L27" s="1185"/>
      <c r="M27" s="1185"/>
      <c r="N27" s="1185"/>
    </row>
    <row r="28" spans="1:29" s="40" customFormat="1" ht="60" x14ac:dyDescent="0.2">
      <c r="A28" s="1196" t="s">
        <v>4107</v>
      </c>
      <c r="B28" s="1187"/>
      <c r="C28" s="1197" t="s">
        <v>4108</v>
      </c>
      <c r="D28" s="1188"/>
      <c r="E28" s="1194">
        <v>56</v>
      </c>
      <c r="F28" s="1198">
        <v>160000</v>
      </c>
      <c r="G28" s="1199"/>
      <c r="H28" s="1197"/>
      <c r="I28" s="1188"/>
      <c r="J28" s="1188"/>
      <c r="K28" s="1185"/>
      <c r="L28" s="1185"/>
      <c r="M28" s="1185"/>
      <c r="N28" s="1185"/>
    </row>
    <row r="29" spans="1:29" ht="84" x14ac:dyDescent="0.2">
      <c r="A29" s="1196" t="s">
        <v>4109</v>
      </c>
      <c r="B29" s="1200"/>
      <c r="C29" s="1197" t="s">
        <v>4110</v>
      </c>
      <c r="D29" s="1201"/>
      <c r="E29" s="1200">
        <v>71</v>
      </c>
      <c r="F29" s="1198">
        <v>90620</v>
      </c>
      <c r="G29" s="1199"/>
      <c r="H29" s="1197"/>
      <c r="I29" s="1188"/>
      <c r="J29" s="1188"/>
      <c r="K29" s="1185"/>
      <c r="L29" s="1185"/>
      <c r="M29" s="1185"/>
      <c r="N29" s="1185"/>
    </row>
    <row r="30" spans="1:29" ht="72" x14ac:dyDescent="0.2">
      <c r="A30" s="1196" t="s">
        <v>4111</v>
      </c>
      <c r="B30" s="1194"/>
      <c r="C30" s="1197" t="s">
        <v>4112</v>
      </c>
      <c r="D30" s="1188"/>
      <c r="E30" s="1194">
        <v>58</v>
      </c>
      <c r="F30" s="1198">
        <v>259380</v>
      </c>
      <c r="G30" s="1199"/>
      <c r="H30" s="1197"/>
      <c r="I30" s="1188"/>
      <c r="J30" s="1188"/>
      <c r="K30" s="1185"/>
      <c r="L30" s="1185"/>
      <c r="M30" s="1185"/>
      <c r="N30" s="1185"/>
    </row>
    <row r="31" spans="1:29" ht="84" x14ac:dyDescent="0.2">
      <c r="A31" s="1196" t="s">
        <v>4113</v>
      </c>
      <c r="B31" s="1188"/>
      <c r="C31" s="1197" t="s">
        <v>4114</v>
      </c>
      <c r="D31" s="1188"/>
      <c r="E31" s="1194">
        <v>57</v>
      </c>
      <c r="F31" s="1198">
        <v>176693.8</v>
      </c>
      <c r="G31" s="1199"/>
      <c r="H31" s="1197"/>
      <c r="I31" s="1188"/>
      <c r="J31" s="1188"/>
      <c r="K31" s="1185"/>
      <c r="L31" s="1185"/>
      <c r="M31" s="1185"/>
      <c r="N31" s="1185"/>
    </row>
    <row r="32" spans="1:29" ht="48" x14ac:dyDescent="0.2">
      <c r="A32" s="1196" t="s">
        <v>4115</v>
      </c>
      <c r="B32" s="1202"/>
      <c r="C32" s="1197" t="s">
        <v>4116</v>
      </c>
      <c r="D32" s="912"/>
      <c r="E32" s="914">
        <v>46</v>
      </c>
      <c r="F32" s="1198">
        <v>42254.86</v>
      </c>
      <c r="G32" s="1199"/>
      <c r="H32" s="1197"/>
      <c r="I32" s="1188"/>
      <c r="J32" s="1188"/>
      <c r="K32" s="1185"/>
      <c r="L32" s="1185"/>
      <c r="M32" s="1185"/>
      <c r="N32" s="1185"/>
    </row>
    <row r="33" spans="1:14" ht="108" x14ac:dyDescent="0.2">
      <c r="A33" s="1196" t="s">
        <v>4117</v>
      </c>
      <c r="B33" s="912"/>
      <c r="C33" s="1197" t="s">
        <v>4118</v>
      </c>
      <c r="D33" s="912"/>
      <c r="E33" s="914">
        <v>81</v>
      </c>
      <c r="F33" s="1198">
        <v>179200</v>
      </c>
      <c r="G33" s="1199"/>
      <c r="H33" s="1197"/>
      <c r="I33" s="1188"/>
      <c r="J33" s="1188"/>
      <c r="K33" s="1185"/>
      <c r="L33" s="1185"/>
      <c r="M33" s="1185"/>
      <c r="N33" s="1185"/>
    </row>
    <row r="34" spans="1:14" ht="24" x14ac:dyDescent="0.2">
      <c r="A34" s="1196" t="s">
        <v>4119</v>
      </c>
      <c r="B34" s="912"/>
      <c r="C34" s="1197" t="s">
        <v>4120</v>
      </c>
      <c r="D34" s="912"/>
      <c r="E34" s="914">
        <v>17</v>
      </c>
      <c r="F34" s="1198">
        <v>1100000</v>
      </c>
      <c r="G34" s="1199"/>
      <c r="H34" s="1197"/>
      <c r="I34" s="1188"/>
      <c r="J34" s="1188"/>
      <c r="K34" s="1185"/>
      <c r="L34" s="1185"/>
      <c r="M34" s="1185"/>
      <c r="N34" s="1185"/>
    </row>
    <row r="35" spans="1:14" ht="108" x14ac:dyDescent="0.2">
      <c r="A35" s="1196" t="s">
        <v>4121</v>
      </c>
      <c r="B35" s="912"/>
      <c r="C35" s="1197" t="s">
        <v>4122</v>
      </c>
      <c r="D35" s="912"/>
      <c r="E35" s="914">
        <v>80</v>
      </c>
      <c r="F35" s="1198">
        <v>375521.7</v>
      </c>
      <c r="G35" s="1199"/>
      <c r="H35" s="1197"/>
      <c r="I35" s="1188"/>
      <c r="J35" s="1188"/>
      <c r="K35" s="1185"/>
      <c r="L35" s="1185"/>
      <c r="M35" s="1185"/>
      <c r="N35" s="1185"/>
    </row>
    <row r="36" spans="1:14" ht="96" x14ac:dyDescent="0.2">
      <c r="A36" s="1196" t="s">
        <v>4123</v>
      </c>
      <c r="B36" s="912"/>
      <c r="C36" s="1197" t="s">
        <v>4124</v>
      </c>
      <c r="D36" s="912"/>
      <c r="E36" s="914">
        <v>68</v>
      </c>
      <c r="F36" s="1198">
        <v>49669.36</v>
      </c>
      <c r="G36" s="1199"/>
      <c r="H36" s="1197"/>
      <c r="I36" s="1188"/>
      <c r="J36" s="1188"/>
      <c r="K36" s="1185"/>
      <c r="L36" s="1185"/>
      <c r="M36" s="1185"/>
      <c r="N36" s="1185"/>
    </row>
    <row r="37" spans="1:14" ht="84" x14ac:dyDescent="0.2">
      <c r="A37" s="1196" t="s">
        <v>4125</v>
      </c>
      <c r="B37" s="912"/>
      <c r="C37" s="1197" t="s">
        <v>4126</v>
      </c>
      <c r="D37" s="912"/>
      <c r="E37" s="914">
        <v>69</v>
      </c>
      <c r="F37" s="1198">
        <v>86636.55</v>
      </c>
      <c r="G37" s="1199"/>
      <c r="H37" s="1197"/>
      <c r="I37" s="1188"/>
      <c r="J37" s="1188"/>
      <c r="K37" s="1185"/>
      <c r="L37" s="1185"/>
      <c r="M37" s="1185"/>
      <c r="N37" s="1185"/>
    </row>
    <row r="38" spans="1:14" ht="72" x14ac:dyDescent="0.2">
      <c r="A38" s="1196" t="s">
        <v>4127</v>
      </c>
      <c r="B38" s="912"/>
      <c r="C38" s="1197" t="s">
        <v>4128</v>
      </c>
      <c r="D38" s="912"/>
      <c r="E38" s="914">
        <v>67</v>
      </c>
      <c r="F38" s="1198">
        <v>457165.98</v>
      </c>
      <c r="G38" s="1199"/>
      <c r="H38" s="1197"/>
      <c r="I38" s="1188"/>
      <c r="J38" s="1188"/>
      <c r="K38" s="1185"/>
      <c r="L38" s="1185"/>
      <c r="M38" s="1185"/>
      <c r="N38" s="1185"/>
    </row>
    <row r="39" spans="1:14" ht="60" x14ac:dyDescent="0.2">
      <c r="A39" s="1196" t="s">
        <v>4129</v>
      </c>
      <c r="B39" s="912"/>
      <c r="C39" s="1197" t="s">
        <v>4130</v>
      </c>
      <c r="D39" s="912"/>
      <c r="E39" s="914">
        <v>54</v>
      </c>
      <c r="F39" s="1198">
        <v>50277.55</v>
      </c>
      <c r="G39" s="1199"/>
      <c r="H39" s="1197"/>
      <c r="I39" s="1188"/>
      <c r="J39" s="1188"/>
      <c r="K39" s="1185"/>
      <c r="L39" s="1185"/>
      <c r="M39" s="1185"/>
      <c r="N39" s="1185"/>
    </row>
    <row r="40" spans="1:14" ht="96" x14ac:dyDescent="0.2">
      <c r="A40" s="1196" t="s">
        <v>4131</v>
      </c>
      <c r="B40" s="912"/>
      <c r="C40" s="1197" t="s">
        <v>4132</v>
      </c>
      <c r="D40" s="912"/>
      <c r="E40" s="914">
        <v>53</v>
      </c>
      <c r="F40" s="1198">
        <v>190666.97</v>
      </c>
      <c r="G40" s="1199"/>
      <c r="H40" s="1197"/>
      <c r="I40" s="1188"/>
      <c r="J40" s="1188"/>
      <c r="K40" s="1185"/>
      <c r="L40" s="1185"/>
      <c r="M40" s="1185"/>
      <c r="N40" s="1185"/>
    </row>
    <row r="41" spans="1:14" ht="84" x14ac:dyDescent="0.2">
      <c r="A41" s="1196" t="s">
        <v>4133</v>
      </c>
      <c r="B41" s="912"/>
      <c r="C41" s="1197" t="s">
        <v>4134</v>
      </c>
      <c r="D41" s="912"/>
      <c r="E41" s="914">
        <v>50</v>
      </c>
      <c r="F41" s="1198">
        <v>153433.79999999999</v>
      </c>
      <c r="G41" s="1199"/>
      <c r="H41" s="1197"/>
      <c r="I41" s="1188"/>
      <c r="J41" s="1188"/>
      <c r="K41" s="1185"/>
      <c r="L41" s="1185"/>
      <c r="M41" s="1185"/>
      <c r="N41" s="1185"/>
    </row>
    <row r="42" spans="1:14" ht="72" x14ac:dyDescent="0.2">
      <c r="A42" s="1196" t="s">
        <v>4135</v>
      </c>
      <c r="B42" s="912"/>
      <c r="C42" s="1197" t="s">
        <v>4136</v>
      </c>
      <c r="D42" s="912"/>
      <c r="E42" s="914">
        <v>27</v>
      </c>
      <c r="F42" s="1198">
        <v>78529</v>
      </c>
      <c r="G42" s="1199"/>
      <c r="H42" s="1197"/>
      <c r="I42" s="1188"/>
      <c r="J42" s="1188"/>
      <c r="K42" s="1185"/>
      <c r="L42" s="1185"/>
      <c r="M42" s="1185"/>
      <c r="N42" s="1185"/>
    </row>
    <row r="43" spans="1:14" ht="72" x14ac:dyDescent="0.2">
      <c r="A43" s="1196" t="s">
        <v>4137</v>
      </c>
      <c r="B43" s="912"/>
      <c r="C43" s="1197" t="s">
        <v>4138</v>
      </c>
      <c r="D43" s="912"/>
      <c r="E43" s="914">
        <v>37</v>
      </c>
      <c r="F43" s="1198">
        <v>117488.77</v>
      </c>
      <c r="G43" s="1199"/>
      <c r="H43" s="1197"/>
      <c r="I43" s="1188"/>
      <c r="J43" s="1188"/>
      <c r="K43" s="1185"/>
      <c r="L43" s="1185"/>
      <c r="M43" s="1185"/>
      <c r="N43" s="1185"/>
    </row>
    <row r="44" spans="1:14" ht="60" x14ac:dyDescent="0.2">
      <c r="A44" s="1196" t="s">
        <v>4139</v>
      </c>
      <c r="B44" s="912"/>
      <c r="C44" s="1197" t="s">
        <v>4140</v>
      </c>
      <c r="D44" s="912"/>
      <c r="E44" s="914">
        <v>23</v>
      </c>
      <c r="F44" s="1198">
        <v>43050.16</v>
      </c>
      <c r="G44" s="1199"/>
      <c r="H44" s="1197"/>
      <c r="I44" s="1188"/>
      <c r="J44" s="1188"/>
      <c r="K44" s="1185"/>
      <c r="L44" s="1185"/>
      <c r="M44" s="1185"/>
      <c r="N44" s="1185"/>
    </row>
    <row r="45" spans="1:14" ht="84" x14ac:dyDescent="0.2">
      <c r="A45" s="1196" t="s">
        <v>4141</v>
      </c>
      <c r="B45" s="912"/>
      <c r="C45" s="1197" t="s">
        <v>4142</v>
      </c>
      <c r="D45" s="912"/>
      <c r="E45" s="914">
        <v>39</v>
      </c>
      <c r="F45" s="1198">
        <v>61200</v>
      </c>
      <c r="G45" s="1199"/>
      <c r="H45" s="1197"/>
      <c r="I45" s="1188"/>
      <c r="J45" s="1188"/>
      <c r="K45" s="1185"/>
      <c r="L45" s="1185"/>
      <c r="M45" s="1185"/>
      <c r="N45" s="1185"/>
    </row>
    <row r="46" spans="1:14" ht="72" x14ac:dyDescent="0.2">
      <c r="A46" s="1196" t="s">
        <v>4143</v>
      </c>
      <c r="B46" s="912"/>
      <c r="C46" s="1197" t="s">
        <v>4144</v>
      </c>
      <c r="D46" s="912"/>
      <c r="E46" s="914">
        <v>77</v>
      </c>
      <c r="F46" s="1198">
        <v>117333.33</v>
      </c>
      <c r="G46" s="1199" t="s">
        <v>4145</v>
      </c>
      <c r="H46" s="1197" t="s">
        <v>4146</v>
      </c>
      <c r="I46" s="1188"/>
      <c r="J46" s="1188"/>
      <c r="K46" s="1185"/>
      <c r="L46" s="1185"/>
      <c r="M46" s="1185"/>
      <c r="N46" s="1185"/>
    </row>
    <row r="47" spans="1:14" ht="60" x14ac:dyDescent="0.2">
      <c r="A47" s="1196" t="s">
        <v>4147</v>
      </c>
      <c r="B47" s="912"/>
      <c r="C47" s="1197" t="s">
        <v>4148</v>
      </c>
      <c r="D47" s="912"/>
      <c r="E47" s="914">
        <v>33</v>
      </c>
      <c r="F47" s="1198">
        <v>62508.75</v>
      </c>
      <c r="G47" s="1199" t="s">
        <v>4149</v>
      </c>
      <c r="H47" s="1197" t="s">
        <v>4150</v>
      </c>
      <c r="I47" s="1188"/>
      <c r="J47" s="1188"/>
      <c r="K47" s="1185"/>
      <c r="L47" s="1185"/>
      <c r="M47" s="1185"/>
      <c r="N47" s="1185"/>
    </row>
    <row r="48" spans="1:14" ht="72" x14ac:dyDescent="0.2">
      <c r="A48" s="1196" t="s">
        <v>4151</v>
      </c>
      <c r="B48" s="912"/>
      <c r="C48" s="1197" t="s">
        <v>4152</v>
      </c>
      <c r="D48" s="912"/>
      <c r="E48" s="914">
        <v>39</v>
      </c>
      <c r="F48" s="1198">
        <v>108500</v>
      </c>
      <c r="G48" s="1199" t="s">
        <v>4153</v>
      </c>
      <c r="H48" s="1197" t="s">
        <v>4154</v>
      </c>
      <c r="I48" s="1185"/>
      <c r="J48" s="1191"/>
      <c r="K48" s="1191"/>
      <c r="L48" s="1191"/>
      <c r="M48" s="1185"/>
      <c r="N48" s="1185"/>
    </row>
    <row r="49" spans="1:14" ht="36" x14ac:dyDescent="0.2">
      <c r="A49" s="1196" t="s">
        <v>4155</v>
      </c>
      <c r="B49" s="912"/>
      <c r="C49" s="1197" t="s">
        <v>4156</v>
      </c>
      <c r="D49" s="912"/>
      <c r="E49" s="914">
        <v>38</v>
      </c>
      <c r="F49" s="1198">
        <v>98736.25</v>
      </c>
      <c r="G49" s="1199" t="s">
        <v>4157</v>
      </c>
      <c r="H49" s="1197" t="s">
        <v>4150</v>
      </c>
      <c r="I49" s="1185"/>
      <c r="J49" s="1185"/>
      <c r="K49" s="1185"/>
      <c r="L49" s="1185"/>
      <c r="M49" s="1185"/>
      <c r="N49" s="1185"/>
    </row>
    <row r="50" spans="1:14" ht="84" x14ac:dyDescent="0.2">
      <c r="A50" s="1196" t="s">
        <v>4158</v>
      </c>
      <c r="B50" s="912"/>
      <c r="C50" s="1197" t="s">
        <v>4159</v>
      </c>
      <c r="D50" s="912"/>
      <c r="E50" s="914">
        <v>91</v>
      </c>
      <c r="F50" s="1198">
        <v>195726.6</v>
      </c>
      <c r="G50" s="1199"/>
      <c r="H50" s="1197" t="s">
        <v>4160</v>
      </c>
      <c r="I50" s="1185"/>
      <c r="J50" s="1185"/>
      <c r="K50" s="1185"/>
      <c r="L50" s="1185"/>
      <c r="M50" s="1185"/>
      <c r="N50" s="1185"/>
    </row>
    <row r="51" spans="1:14" ht="60" x14ac:dyDescent="0.2">
      <c r="A51" s="1196" t="s">
        <v>4161</v>
      </c>
      <c r="B51" s="912"/>
      <c r="C51" s="1197" t="s">
        <v>4162</v>
      </c>
      <c r="D51" s="912"/>
      <c r="E51" s="914">
        <v>90</v>
      </c>
      <c r="F51" s="1198">
        <v>48500</v>
      </c>
      <c r="G51" s="1199"/>
      <c r="H51" s="1197" t="s">
        <v>4163</v>
      </c>
      <c r="I51" s="1185"/>
      <c r="J51" s="1185"/>
      <c r="K51" s="1185"/>
      <c r="L51" s="1185"/>
      <c r="M51" s="1185"/>
      <c r="N51" s="1185"/>
    </row>
    <row r="52" spans="1:14" ht="108" x14ac:dyDescent="0.2">
      <c r="A52" s="1196" t="s">
        <v>4164</v>
      </c>
      <c r="B52" s="912"/>
      <c r="C52" s="1197" t="s">
        <v>4165</v>
      </c>
      <c r="D52" s="912"/>
      <c r="E52" s="914">
        <v>60</v>
      </c>
      <c r="F52" s="1198">
        <v>183796.8</v>
      </c>
      <c r="G52" s="1199" t="s">
        <v>4166</v>
      </c>
      <c r="H52" s="1197" t="s">
        <v>4167</v>
      </c>
      <c r="I52" s="1185"/>
      <c r="J52" s="1185"/>
      <c r="K52" s="1185"/>
      <c r="L52" s="1185"/>
      <c r="M52" s="1185"/>
      <c r="N52" s="1185"/>
    </row>
    <row r="53" spans="1:14" ht="60" x14ac:dyDescent="0.2">
      <c r="A53" s="1196" t="s">
        <v>4168</v>
      </c>
      <c r="B53" s="912"/>
      <c r="C53" s="1197" t="s">
        <v>4169</v>
      </c>
      <c r="D53" s="912"/>
      <c r="E53" s="914">
        <v>67</v>
      </c>
      <c r="F53" s="1198">
        <v>395153.75</v>
      </c>
      <c r="G53" s="1199" t="s">
        <v>4170</v>
      </c>
      <c r="H53" s="1197" t="s">
        <v>4171</v>
      </c>
      <c r="I53" s="1185"/>
      <c r="J53" s="1185"/>
      <c r="K53" s="1185"/>
      <c r="L53" s="1185"/>
      <c r="M53" s="1185"/>
      <c r="N53" s="1185"/>
    </row>
    <row r="54" spans="1:14" ht="72" x14ac:dyDescent="0.2">
      <c r="A54" s="1196" t="s">
        <v>4172</v>
      </c>
      <c r="B54" s="912"/>
      <c r="C54" s="1197" t="s">
        <v>4173</v>
      </c>
      <c r="D54" s="912"/>
      <c r="E54" s="914">
        <v>36</v>
      </c>
      <c r="F54" s="1198">
        <v>286313.2</v>
      </c>
      <c r="G54" s="1199" t="s">
        <v>4174</v>
      </c>
      <c r="H54" s="1197" t="s">
        <v>4175</v>
      </c>
      <c r="I54" s="1185"/>
      <c r="J54" s="1185"/>
      <c r="K54" s="1185"/>
      <c r="L54" s="1185"/>
      <c r="M54" s="1185"/>
      <c r="N54" s="1185"/>
    </row>
    <row r="55" spans="1:14" ht="60" x14ac:dyDescent="0.2">
      <c r="A55" s="1196" t="s">
        <v>4176</v>
      </c>
      <c r="B55" s="912"/>
      <c r="C55" s="1197" t="s">
        <v>4177</v>
      </c>
      <c r="D55" s="912"/>
      <c r="E55" s="914">
        <v>1</v>
      </c>
      <c r="F55" s="1198">
        <v>270352</v>
      </c>
      <c r="G55" s="1199" t="s">
        <v>4178</v>
      </c>
      <c r="H55" s="1197" t="s">
        <v>4179</v>
      </c>
      <c r="I55" s="1185"/>
      <c r="J55" s="1185"/>
      <c r="K55" s="1185"/>
      <c r="L55" s="1185"/>
      <c r="M55" s="1185"/>
      <c r="N55" s="1185"/>
    </row>
    <row r="56" spans="1:14" ht="60" x14ac:dyDescent="0.2">
      <c r="A56" s="1196" t="s">
        <v>4180</v>
      </c>
      <c r="B56" s="912"/>
      <c r="C56" s="1197" t="s">
        <v>4181</v>
      </c>
      <c r="D56" s="912"/>
      <c r="E56" s="914">
        <v>64</v>
      </c>
      <c r="F56" s="1198">
        <v>94197.25</v>
      </c>
      <c r="G56" s="1199" t="s">
        <v>4182</v>
      </c>
      <c r="H56" s="1197" t="s">
        <v>4183</v>
      </c>
      <c r="I56" s="1185"/>
      <c r="J56" s="1185"/>
      <c r="K56" s="1185"/>
      <c r="L56" s="1185"/>
      <c r="M56" s="1185"/>
      <c r="N56" s="1185"/>
    </row>
    <row r="57" spans="1:14" ht="84" x14ac:dyDescent="0.2">
      <c r="A57" s="1196" t="s">
        <v>4184</v>
      </c>
      <c r="B57" s="912"/>
      <c r="C57" s="1197" t="s">
        <v>4185</v>
      </c>
      <c r="D57" s="912"/>
      <c r="E57" s="914">
        <v>35</v>
      </c>
      <c r="F57" s="1198">
        <v>64170</v>
      </c>
      <c r="G57" s="1199" t="s">
        <v>4186</v>
      </c>
      <c r="H57" s="1197" t="s">
        <v>4187</v>
      </c>
      <c r="I57" s="1185"/>
      <c r="J57" s="1185"/>
      <c r="K57" s="1185"/>
      <c r="L57" s="1185"/>
      <c r="M57" s="1185"/>
      <c r="N57" s="1185"/>
    </row>
    <row r="58" spans="1:14" ht="60" x14ac:dyDescent="0.2">
      <c r="A58" s="1196" t="s">
        <v>4188</v>
      </c>
      <c r="B58" s="912"/>
      <c r="C58" s="1197" t="s">
        <v>4189</v>
      </c>
      <c r="D58" s="912"/>
      <c r="E58" s="914">
        <v>32</v>
      </c>
      <c r="F58" s="1198">
        <v>202500</v>
      </c>
      <c r="G58" s="1199" t="s">
        <v>4190</v>
      </c>
      <c r="H58" s="1197" t="s">
        <v>4175</v>
      </c>
      <c r="I58" s="1185"/>
      <c r="J58" s="1185"/>
      <c r="K58" s="1185"/>
      <c r="L58" s="1185"/>
      <c r="M58" s="1185"/>
      <c r="N58" s="1185"/>
    </row>
    <row r="59" spans="1:14" ht="48" x14ac:dyDescent="0.2">
      <c r="A59" s="1196" t="s">
        <v>4191</v>
      </c>
      <c r="B59" s="912"/>
      <c r="C59" s="1197" t="s">
        <v>4192</v>
      </c>
      <c r="D59" s="912"/>
      <c r="E59" s="914">
        <v>31</v>
      </c>
      <c r="F59" s="1198">
        <v>147582.63</v>
      </c>
      <c r="G59" s="1199" t="s">
        <v>4193</v>
      </c>
      <c r="H59" s="1197" t="s">
        <v>4194</v>
      </c>
      <c r="I59" s="1185"/>
      <c r="J59" s="1185"/>
      <c r="K59" s="1185"/>
      <c r="L59" s="1185"/>
      <c r="M59" s="1185"/>
      <c r="N59" s="1185"/>
    </row>
    <row r="60" spans="1:14" ht="48" x14ac:dyDescent="0.2">
      <c r="A60" s="1196" t="s">
        <v>4195</v>
      </c>
      <c r="B60" s="912"/>
      <c r="C60" s="1197" t="s">
        <v>4196</v>
      </c>
      <c r="D60" s="912"/>
      <c r="E60" s="914">
        <v>17</v>
      </c>
      <c r="F60" s="1198">
        <v>154775</v>
      </c>
      <c r="G60" s="1199"/>
      <c r="H60" s="1197" t="s">
        <v>4197</v>
      </c>
      <c r="I60" s="1185"/>
      <c r="J60" s="1185"/>
      <c r="K60" s="1185"/>
      <c r="L60" s="1185"/>
      <c r="M60" s="1185"/>
      <c r="N60" s="1185"/>
    </row>
    <row r="61" spans="1:14" ht="60" x14ac:dyDescent="0.2">
      <c r="A61" s="1196" t="s">
        <v>4198</v>
      </c>
      <c r="B61" s="912"/>
      <c r="C61" s="1197" t="s">
        <v>4199</v>
      </c>
      <c r="D61" s="912"/>
      <c r="E61" s="914">
        <v>59</v>
      </c>
      <c r="F61" s="1198">
        <v>201450</v>
      </c>
      <c r="G61" s="1199" t="s">
        <v>4200</v>
      </c>
      <c r="H61" s="1197" t="s">
        <v>4201</v>
      </c>
      <c r="I61" s="1185"/>
      <c r="J61" s="1185"/>
      <c r="K61" s="1185"/>
      <c r="L61" s="1185"/>
      <c r="M61" s="1185"/>
      <c r="N61" s="1185"/>
    </row>
    <row r="62" spans="1:14" ht="48" x14ac:dyDescent="0.2">
      <c r="A62" s="1196" t="s">
        <v>4202</v>
      </c>
      <c r="B62" s="912"/>
      <c r="C62" s="1197" t="s">
        <v>4203</v>
      </c>
      <c r="D62" s="912"/>
      <c r="E62" s="914">
        <v>3</v>
      </c>
      <c r="F62" s="1198">
        <v>75000</v>
      </c>
      <c r="G62" s="1199" t="s">
        <v>4204</v>
      </c>
      <c r="H62" s="1197" t="s">
        <v>4205</v>
      </c>
      <c r="I62" s="1185"/>
      <c r="J62" s="1185"/>
      <c r="K62" s="1185"/>
      <c r="L62" s="1185"/>
      <c r="M62" s="1185"/>
      <c r="N62" s="1185"/>
    </row>
    <row r="63" spans="1:14" ht="60" x14ac:dyDescent="0.2">
      <c r="A63" s="1196" t="s">
        <v>4206</v>
      </c>
      <c r="B63" s="912"/>
      <c r="C63" s="1197" t="s">
        <v>4207</v>
      </c>
      <c r="D63" s="912"/>
      <c r="E63" s="914">
        <v>13</v>
      </c>
      <c r="F63" s="1198">
        <v>74782.97</v>
      </c>
      <c r="G63" s="1199" t="s">
        <v>4208</v>
      </c>
      <c r="H63" s="1197" t="s">
        <v>4209</v>
      </c>
      <c r="I63" s="1185"/>
      <c r="J63" s="1185"/>
      <c r="K63" s="1185"/>
      <c r="L63" s="1185"/>
      <c r="M63" s="1185"/>
      <c r="N63" s="1185"/>
    </row>
    <row r="64" spans="1:14" ht="72" x14ac:dyDescent="0.2">
      <c r="A64" s="1196" t="s">
        <v>4210</v>
      </c>
      <c r="B64" s="912"/>
      <c r="C64" s="1197" t="s">
        <v>4211</v>
      </c>
      <c r="D64" s="912"/>
      <c r="E64" s="914">
        <v>9</v>
      </c>
      <c r="F64" s="1198">
        <v>494676.34</v>
      </c>
      <c r="G64" s="1199" t="s">
        <v>4212</v>
      </c>
      <c r="H64" s="1197" t="s">
        <v>4213</v>
      </c>
      <c r="I64" s="1185"/>
      <c r="J64" s="1185"/>
      <c r="K64" s="1185"/>
      <c r="L64" s="1185"/>
      <c r="M64" s="1185"/>
      <c r="N64" s="1185"/>
    </row>
    <row r="65" spans="1:14" ht="60" x14ac:dyDescent="0.2">
      <c r="A65" s="1196" t="s">
        <v>4214</v>
      </c>
      <c r="B65" s="912"/>
      <c r="C65" s="1197" t="s">
        <v>4215</v>
      </c>
      <c r="D65" s="912"/>
      <c r="E65" s="914">
        <v>8</v>
      </c>
      <c r="F65" s="1198">
        <v>528484.68999999994</v>
      </c>
      <c r="G65" s="1199" t="s">
        <v>4216</v>
      </c>
      <c r="H65" s="1197" t="s">
        <v>4217</v>
      </c>
      <c r="I65" s="1185"/>
      <c r="J65" s="1185"/>
      <c r="K65" s="1185"/>
      <c r="L65" s="1185"/>
      <c r="M65" s="1185"/>
      <c r="N65" s="1185"/>
    </row>
    <row r="66" spans="1:14" ht="48" x14ac:dyDescent="0.2">
      <c r="A66" s="1196" t="s">
        <v>4218</v>
      </c>
      <c r="B66" s="912"/>
      <c r="C66" s="1197" t="s">
        <v>4219</v>
      </c>
      <c r="D66" s="912"/>
      <c r="E66" s="914">
        <v>30</v>
      </c>
      <c r="F66" s="1198">
        <v>228024.15</v>
      </c>
      <c r="G66" s="1199" t="s">
        <v>4220</v>
      </c>
      <c r="H66" s="1197" t="s">
        <v>4150</v>
      </c>
      <c r="I66" s="1185"/>
      <c r="J66" s="1185"/>
      <c r="K66" s="1185"/>
      <c r="L66" s="1185"/>
      <c r="M66" s="1185"/>
      <c r="N66" s="1185"/>
    </row>
    <row r="67" spans="1:14" ht="48" x14ac:dyDescent="0.2">
      <c r="A67" s="1196" t="s">
        <v>4221</v>
      </c>
      <c r="B67" s="912"/>
      <c r="C67" s="1197" t="s">
        <v>4222</v>
      </c>
      <c r="D67" s="912"/>
      <c r="E67" s="914">
        <v>56</v>
      </c>
      <c r="F67" s="1198">
        <v>63860</v>
      </c>
      <c r="G67" s="1199" t="s">
        <v>4223</v>
      </c>
      <c r="H67" s="1197" t="s">
        <v>4224</v>
      </c>
      <c r="I67" s="1185"/>
      <c r="J67" s="1185"/>
      <c r="K67" s="1185"/>
      <c r="L67" s="1185"/>
      <c r="M67" s="1185"/>
      <c r="N67" s="1185"/>
    </row>
    <row r="68" spans="1:14" ht="48" x14ac:dyDescent="0.2">
      <c r="A68" s="1196" t="s">
        <v>4225</v>
      </c>
      <c r="B68" s="912"/>
      <c r="C68" s="1197" t="s">
        <v>4226</v>
      </c>
      <c r="D68" s="912"/>
      <c r="E68" s="914">
        <v>29</v>
      </c>
      <c r="F68" s="1198">
        <v>99758.75</v>
      </c>
      <c r="G68" s="1199" t="s">
        <v>4227</v>
      </c>
      <c r="H68" s="1197" t="s">
        <v>4179</v>
      </c>
      <c r="I68" s="1185"/>
      <c r="J68" s="1185"/>
      <c r="K68" s="1185"/>
      <c r="L68" s="1185"/>
      <c r="M68" s="1185"/>
      <c r="N68" s="1185"/>
    </row>
    <row r="69" spans="1:14" ht="60" x14ac:dyDescent="0.2">
      <c r="A69" s="1196" t="s">
        <v>4228</v>
      </c>
      <c r="B69" s="912"/>
      <c r="C69" s="1197" t="s">
        <v>4229</v>
      </c>
      <c r="D69" s="912"/>
      <c r="E69" s="914">
        <v>53</v>
      </c>
      <c r="F69" s="1198">
        <v>51901</v>
      </c>
      <c r="G69" s="1199"/>
      <c r="H69" s="1197" t="s">
        <v>4230</v>
      </c>
      <c r="I69" s="1185"/>
      <c r="J69" s="1185"/>
      <c r="K69" s="1185"/>
      <c r="L69" s="1185"/>
      <c r="M69" s="1185"/>
      <c r="N69" s="1185"/>
    </row>
    <row r="70" spans="1:14" ht="60" x14ac:dyDescent="0.2">
      <c r="A70" s="1196" t="s">
        <v>4231</v>
      </c>
      <c r="B70" s="912"/>
      <c r="C70" s="1203" t="s">
        <v>4232</v>
      </c>
      <c r="D70" s="912"/>
      <c r="E70" s="914">
        <v>52</v>
      </c>
      <c r="F70" s="1198">
        <v>165780</v>
      </c>
      <c r="G70" s="1199" t="s">
        <v>4233</v>
      </c>
      <c r="H70" s="1197" t="s">
        <v>4234</v>
      </c>
      <c r="I70" s="1185"/>
      <c r="J70" s="1185"/>
      <c r="K70" s="1185"/>
      <c r="L70" s="1185"/>
      <c r="M70" s="1185"/>
      <c r="N70" s="1185"/>
    </row>
    <row r="71" spans="1:14" ht="60" x14ac:dyDescent="0.2">
      <c r="A71" s="1196" t="s">
        <v>4235</v>
      </c>
      <c r="B71" s="912"/>
      <c r="C71" s="1197" t="s">
        <v>4236</v>
      </c>
      <c r="D71" s="912"/>
      <c r="E71" s="914">
        <v>24</v>
      </c>
      <c r="F71" s="1198">
        <v>157000</v>
      </c>
      <c r="G71" s="1199" t="s">
        <v>4237</v>
      </c>
      <c r="H71" s="1197" t="s">
        <v>4238</v>
      </c>
      <c r="I71" s="1185"/>
      <c r="J71" s="1185"/>
      <c r="K71" s="1185"/>
      <c r="L71" s="1185"/>
      <c r="M71" s="1185"/>
      <c r="N71" s="1185"/>
    </row>
    <row r="72" spans="1:14" ht="60" x14ac:dyDescent="0.2">
      <c r="A72" s="1196" t="s">
        <v>4239</v>
      </c>
      <c r="B72" s="912"/>
      <c r="C72" s="1197" t="s">
        <v>4240</v>
      </c>
      <c r="D72" s="912"/>
      <c r="E72" s="914">
        <v>2</v>
      </c>
      <c r="F72" s="1198">
        <v>222675</v>
      </c>
      <c r="G72" s="1199" t="s">
        <v>4241</v>
      </c>
      <c r="H72" s="1197" t="s">
        <v>4242</v>
      </c>
      <c r="I72" s="1185"/>
      <c r="J72" s="1185"/>
      <c r="K72" s="1185"/>
      <c r="L72" s="1185"/>
      <c r="M72" s="1185"/>
      <c r="N72" s="1185"/>
    </row>
    <row r="73" spans="1:14" ht="48" x14ac:dyDescent="0.2">
      <c r="A73" s="1196" t="s">
        <v>4243</v>
      </c>
      <c r="B73" s="912"/>
      <c r="C73" s="1197" t="s">
        <v>4244</v>
      </c>
      <c r="D73" s="912"/>
      <c r="E73" s="914">
        <v>99</v>
      </c>
      <c r="F73" s="1198">
        <v>187056.91</v>
      </c>
      <c r="G73" s="1199" t="s">
        <v>4245</v>
      </c>
      <c r="H73" s="1197" t="s">
        <v>4246</v>
      </c>
      <c r="I73" s="1185"/>
      <c r="J73" s="1185"/>
      <c r="K73" s="1185"/>
      <c r="L73" s="1185"/>
      <c r="M73" s="1185"/>
      <c r="N73" s="1185"/>
    </row>
    <row r="74" spans="1:14" ht="60" x14ac:dyDescent="0.2">
      <c r="A74" s="1196" t="s">
        <v>4247</v>
      </c>
      <c r="B74" s="912"/>
      <c r="C74" s="1197" t="s">
        <v>4248</v>
      </c>
      <c r="D74" s="912"/>
      <c r="E74" s="914">
        <v>25</v>
      </c>
      <c r="F74" s="1198">
        <v>199325</v>
      </c>
      <c r="G74" s="1199" t="s">
        <v>4249</v>
      </c>
      <c r="H74" s="1197" t="s">
        <v>4250</v>
      </c>
      <c r="I74" s="1185"/>
      <c r="J74" s="1185"/>
      <c r="K74" s="1185"/>
      <c r="L74" s="1185"/>
      <c r="M74" s="1185"/>
      <c r="N74" s="1185"/>
    </row>
    <row r="75" spans="1:14" ht="60" x14ac:dyDescent="0.2">
      <c r="A75" s="1196" t="s">
        <v>4251</v>
      </c>
      <c r="B75" s="912"/>
      <c r="C75" s="1197" t="s">
        <v>4252</v>
      </c>
      <c r="D75" s="912"/>
      <c r="E75" s="914">
        <v>33</v>
      </c>
      <c r="F75" s="1198">
        <v>232500</v>
      </c>
      <c r="G75" s="1199" t="s">
        <v>4253</v>
      </c>
      <c r="H75" s="1197" t="s">
        <v>4254</v>
      </c>
      <c r="I75" s="1185"/>
      <c r="J75" s="1185"/>
      <c r="K75" s="1185"/>
      <c r="L75" s="1185"/>
      <c r="M75" s="1185"/>
      <c r="N75" s="1185"/>
    </row>
    <row r="76" spans="1:14" ht="48" x14ac:dyDescent="0.2">
      <c r="A76" s="1196" t="s">
        <v>4255</v>
      </c>
      <c r="B76" s="912"/>
      <c r="C76" s="1197" t="s">
        <v>4256</v>
      </c>
      <c r="D76" s="912"/>
      <c r="E76" s="914">
        <v>10</v>
      </c>
      <c r="F76" s="1198">
        <v>156785.28</v>
      </c>
      <c r="G76" s="1199" t="s">
        <v>4257</v>
      </c>
      <c r="H76" s="1197" t="s">
        <v>4258</v>
      </c>
      <c r="I76" s="1185"/>
      <c r="J76" s="1185"/>
      <c r="K76" s="1185"/>
      <c r="L76" s="1185"/>
      <c r="M76" s="1185"/>
      <c r="N76" s="1185"/>
    </row>
    <row r="77" spans="1:14" ht="60" x14ac:dyDescent="0.2">
      <c r="A77" s="1196" t="s">
        <v>4259</v>
      </c>
      <c r="B77" s="912"/>
      <c r="C77" s="1197" t="s">
        <v>4260</v>
      </c>
      <c r="D77" s="912"/>
      <c r="E77" s="914">
        <v>46</v>
      </c>
      <c r="F77" s="1198">
        <v>70500</v>
      </c>
      <c r="G77" s="1199" t="s">
        <v>4261</v>
      </c>
      <c r="H77" s="1197" t="s">
        <v>4230</v>
      </c>
      <c r="I77" s="1185"/>
      <c r="J77" s="1185"/>
      <c r="K77" s="1185"/>
      <c r="L77" s="1185"/>
      <c r="M77" s="1185"/>
      <c r="N77" s="1185"/>
    </row>
    <row r="78" spans="1:14" ht="48" x14ac:dyDescent="0.2">
      <c r="A78" s="1196" t="s">
        <v>4262</v>
      </c>
      <c r="B78" s="912"/>
      <c r="C78" s="1197" t="s">
        <v>4263</v>
      </c>
      <c r="D78" s="912"/>
      <c r="E78" s="914">
        <v>42</v>
      </c>
      <c r="F78" s="1198">
        <v>70311.850000000006</v>
      </c>
      <c r="G78" s="1199" t="s">
        <v>4264</v>
      </c>
      <c r="H78" s="1197" t="s">
        <v>4265</v>
      </c>
      <c r="I78" s="1185"/>
      <c r="J78" s="1185"/>
      <c r="K78" s="1185"/>
      <c r="L78" s="1185"/>
      <c r="M78" s="1185"/>
      <c r="N78" s="1185"/>
    </row>
    <row r="79" spans="1:14" ht="60" x14ac:dyDescent="0.2">
      <c r="A79" s="1196" t="s">
        <v>4266</v>
      </c>
      <c r="B79" s="912"/>
      <c r="C79" s="1197" t="s">
        <v>4267</v>
      </c>
      <c r="D79" s="912"/>
      <c r="E79" s="914">
        <v>50</v>
      </c>
      <c r="F79" s="1198">
        <v>84974.28</v>
      </c>
      <c r="G79" s="1199" t="s">
        <v>4268</v>
      </c>
      <c r="H79" s="1197" t="s">
        <v>4265</v>
      </c>
      <c r="I79" s="1185"/>
      <c r="J79" s="1185"/>
      <c r="K79" s="1185"/>
      <c r="L79" s="1185"/>
      <c r="M79" s="1185"/>
      <c r="N79" s="1185"/>
    </row>
    <row r="80" spans="1:14" ht="60" x14ac:dyDescent="0.2">
      <c r="A80" s="1196" t="s">
        <v>4269</v>
      </c>
      <c r="B80" s="912"/>
      <c r="C80" s="1197" t="s">
        <v>4270</v>
      </c>
      <c r="D80" s="912"/>
      <c r="E80" s="914">
        <v>44</v>
      </c>
      <c r="F80" s="1198">
        <v>230562.5</v>
      </c>
      <c r="G80" s="1199" t="s">
        <v>4271</v>
      </c>
      <c r="H80" s="1197" t="s">
        <v>4272</v>
      </c>
      <c r="I80" s="1185"/>
      <c r="J80" s="1185"/>
      <c r="K80" s="1185"/>
      <c r="L80" s="1185"/>
      <c r="M80" s="1185"/>
      <c r="N80" s="1185"/>
    </row>
    <row r="81" spans="1:14" ht="96" x14ac:dyDescent="0.2">
      <c r="A81" s="1196" t="s">
        <v>4273</v>
      </c>
      <c r="B81" s="912"/>
      <c r="C81" s="1197" t="s">
        <v>4274</v>
      </c>
      <c r="D81" s="912"/>
      <c r="E81" s="914">
        <v>52</v>
      </c>
      <c r="F81" s="1198">
        <v>1201000</v>
      </c>
      <c r="G81" s="1199" t="s">
        <v>4275</v>
      </c>
      <c r="H81" s="1197" t="s">
        <v>4276</v>
      </c>
      <c r="I81" s="1185"/>
      <c r="J81" s="1185"/>
      <c r="K81" s="1185"/>
      <c r="L81" s="1185"/>
      <c r="M81" s="1185"/>
      <c r="N81" s="1185"/>
    </row>
    <row r="82" spans="1:14" ht="48" x14ac:dyDescent="0.2">
      <c r="A82" s="1196" t="s">
        <v>4277</v>
      </c>
      <c r="B82" s="912"/>
      <c r="C82" s="1197" t="s">
        <v>4278</v>
      </c>
      <c r="D82" s="912"/>
      <c r="E82" s="914">
        <v>49</v>
      </c>
      <c r="F82" s="1198">
        <v>126610</v>
      </c>
      <c r="G82" s="1199" t="s">
        <v>4279</v>
      </c>
      <c r="H82" s="1197" t="s">
        <v>4280</v>
      </c>
      <c r="I82" s="1185"/>
      <c r="J82" s="1185"/>
      <c r="K82" s="1185"/>
      <c r="L82" s="1185"/>
      <c r="M82" s="1185"/>
      <c r="N82" s="1185"/>
    </row>
    <row r="83" spans="1:14" ht="60" x14ac:dyDescent="0.2">
      <c r="A83" s="1196" t="s">
        <v>4281</v>
      </c>
      <c r="B83" s="912"/>
      <c r="C83" s="1197" t="s">
        <v>4282</v>
      </c>
      <c r="D83" s="912"/>
      <c r="E83" s="914">
        <v>28</v>
      </c>
      <c r="F83" s="1198">
        <v>56925</v>
      </c>
      <c r="G83" s="1199" t="s">
        <v>4283</v>
      </c>
      <c r="H83" s="1197" t="s">
        <v>4175</v>
      </c>
      <c r="I83" s="1185"/>
      <c r="J83" s="1185"/>
      <c r="K83" s="1185"/>
      <c r="L83" s="1185"/>
      <c r="M83" s="1185"/>
      <c r="N83" s="1185"/>
    </row>
    <row r="84" spans="1:14" ht="48" x14ac:dyDescent="0.2">
      <c r="A84" s="1196" t="s">
        <v>4284</v>
      </c>
      <c r="B84" s="912"/>
      <c r="C84" s="1197" t="s">
        <v>4285</v>
      </c>
      <c r="D84" s="912"/>
      <c r="E84" s="914">
        <v>40</v>
      </c>
      <c r="F84" s="1198">
        <v>165243</v>
      </c>
      <c r="G84" s="1199" t="s">
        <v>4286</v>
      </c>
      <c r="H84" s="1197" t="s">
        <v>4265</v>
      </c>
      <c r="I84" s="1185"/>
      <c r="J84" s="1185"/>
      <c r="K84" s="1185"/>
      <c r="L84" s="1185"/>
      <c r="M84" s="1185"/>
      <c r="N84" s="1185"/>
    </row>
    <row r="85" spans="1:14" ht="60" x14ac:dyDescent="0.2">
      <c r="A85" s="1196" t="s">
        <v>4287</v>
      </c>
      <c r="B85" s="912"/>
      <c r="C85" s="1197" t="s">
        <v>4288</v>
      </c>
      <c r="D85" s="912"/>
      <c r="E85" s="914">
        <v>43</v>
      </c>
      <c r="F85" s="1198">
        <v>107446</v>
      </c>
      <c r="G85" s="1199" t="s">
        <v>4289</v>
      </c>
      <c r="H85" s="1197" t="s">
        <v>4290</v>
      </c>
      <c r="I85" s="1185"/>
      <c r="J85" s="1185"/>
      <c r="K85" s="1185"/>
      <c r="L85" s="1185"/>
      <c r="M85" s="1185"/>
      <c r="N85" s="1185"/>
    </row>
    <row r="86" spans="1:14" ht="60" x14ac:dyDescent="0.2">
      <c r="A86" s="1196" t="s">
        <v>4291</v>
      </c>
      <c r="B86" s="912"/>
      <c r="C86" s="1197" t="s">
        <v>4292</v>
      </c>
      <c r="D86" s="912"/>
      <c r="E86" s="914">
        <v>34</v>
      </c>
      <c r="F86" s="1198">
        <v>235200</v>
      </c>
      <c r="G86" s="1199" t="s">
        <v>4293</v>
      </c>
      <c r="H86" s="1197" t="s">
        <v>4294</v>
      </c>
      <c r="I86" s="1185"/>
      <c r="J86" s="1185"/>
      <c r="K86" s="1185"/>
      <c r="L86" s="1185"/>
      <c r="M86" s="1185"/>
      <c r="N86" s="1185"/>
    </row>
    <row r="87" spans="1:14" ht="60" x14ac:dyDescent="0.2">
      <c r="A87" s="1196" t="s">
        <v>4295</v>
      </c>
      <c r="B87" s="912"/>
      <c r="C87" s="1197" t="s">
        <v>4296</v>
      </c>
      <c r="D87" s="912"/>
      <c r="E87" s="914">
        <v>43</v>
      </c>
      <c r="F87" s="1198">
        <v>244673</v>
      </c>
      <c r="G87" s="1199" t="s">
        <v>4297</v>
      </c>
      <c r="H87" s="1197" t="s">
        <v>4298</v>
      </c>
      <c r="I87" s="1185"/>
      <c r="J87" s="1185"/>
      <c r="K87" s="1185"/>
      <c r="L87" s="1185"/>
      <c r="M87" s="1185"/>
      <c r="N87" s="1185"/>
    </row>
    <row r="88" spans="1:14" ht="60" x14ac:dyDescent="0.2">
      <c r="A88" s="1196" t="s">
        <v>4299</v>
      </c>
      <c r="B88" s="912"/>
      <c r="C88" s="1197" t="s">
        <v>4300</v>
      </c>
      <c r="D88" s="912"/>
      <c r="E88" s="914">
        <v>42</v>
      </c>
      <c r="F88" s="1198">
        <v>180746.5</v>
      </c>
      <c r="G88" s="1199" t="s">
        <v>4301</v>
      </c>
      <c r="H88" s="1197" t="s">
        <v>4302</v>
      </c>
      <c r="I88" s="1185"/>
      <c r="J88" s="1185"/>
      <c r="K88" s="1185"/>
      <c r="L88" s="1185"/>
      <c r="M88" s="1185"/>
      <c r="N88" s="1185"/>
    </row>
    <row r="89" spans="1:14" ht="60" x14ac:dyDescent="0.2">
      <c r="A89" s="1196" t="s">
        <v>4303</v>
      </c>
      <c r="B89" s="912"/>
      <c r="C89" s="1197" t="s">
        <v>4304</v>
      </c>
      <c r="D89" s="912"/>
      <c r="E89" s="914">
        <v>41</v>
      </c>
      <c r="F89" s="1198">
        <v>131747</v>
      </c>
      <c r="G89" s="1199" t="s">
        <v>4305</v>
      </c>
      <c r="H89" s="1197" t="s">
        <v>4306</v>
      </c>
      <c r="I89" s="1185"/>
      <c r="J89" s="1185"/>
      <c r="K89" s="1185"/>
      <c r="L89" s="1185"/>
      <c r="M89" s="1185"/>
      <c r="N89" s="1185"/>
    </row>
    <row r="90" spans="1:14" ht="48" x14ac:dyDescent="0.2">
      <c r="A90" s="1196" t="s">
        <v>4307</v>
      </c>
      <c r="B90" s="912"/>
      <c r="C90" s="1197" t="s">
        <v>4308</v>
      </c>
      <c r="D90" s="912"/>
      <c r="E90" s="914">
        <v>14</v>
      </c>
      <c r="F90" s="1198">
        <v>19569156.949999999</v>
      </c>
      <c r="G90" s="1199" t="s">
        <v>4309</v>
      </c>
      <c r="H90" s="1197" t="s">
        <v>4310</v>
      </c>
      <c r="I90" s="1185"/>
      <c r="J90" s="1185"/>
      <c r="K90" s="1185"/>
      <c r="L90" s="1185"/>
      <c r="M90" s="1185"/>
      <c r="N90" s="1185"/>
    </row>
    <row r="91" spans="1:14" ht="72" x14ac:dyDescent="0.2">
      <c r="A91" s="1196" t="s">
        <v>4311</v>
      </c>
      <c r="B91" s="912"/>
      <c r="C91" s="1197" t="s">
        <v>4312</v>
      </c>
      <c r="D91" s="912"/>
      <c r="E91" s="914">
        <v>6</v>
      </c>
      <c r="F91" s="1198">
        <v>10539784.27</v>
      </c>
      <c r="G91" s="1199" t="s">
        <v>4216</v>
      </c>
      <c r="H91" s="1197" t="s">
        <v>4313</v>
      </c>
      <c r="I91" s="1185"/>
      <c r="J91" s="1185"/>
      <c r="K91" s="1185"/>
      <c r="L91" s="1185"/>
      <c r="M91" s="1185"/>
      <c r="N91" s="1185"/>
    </row>
    <row r="92" spans="1:14" ht="72" x14ac:dyDescent="0.2">
      <c r="A92" s="1196" t="s">
        <v>4314</v>
      </c>
      <c r="B92" s="912"/>
      <c r="C92" s="1197" t="s">
        <v>4315</v>
      </c>
      <c r="D92" s="912"/>
      <c r="E92" s="914">
        <v>7</v>
      </c>
      <c r="F92" s="1198">
        <v>7838292.1900000004</v>
      </c>
      <c r="G92" s="1199" t="s">
        <v>4316</v>
      </c>
      <c r="H92" s="1197" t="s">
        <v>4317</v>
      </c>
      <c r="I92" s="1185"/>
      <c r="J92" s="1185"/>
      <c r="K92" s="1185"/>
      <c r="L92" s="1185"/>
      <c r="M92" s="1185"/>
      <c r="N92" s="1185"/>
    </row>
    <row r="93" spans="1:14" ht="48" x14ac:dyDescent="0.2">
      <c r="A93" s="1196" t="s">
        <v>4318</v>
      </c>
      <c r="B93" s="912"/>
      <c r="C93" s="1197" t="s">
        <v>4319</v>
      </c>
      <c r="D93" s="912"/>
      <c r="E93" s="914">
        <v>16</v>
      </c>
      <c r="F93" s="1198">
        <v>127171.67</v>
      </c>
      <c r="G93" s="1199" t="s">
        <v>4320</v>
      </c>
      <c r="H93" s="1197" t="s">
        <v>4321</v>
      </c>
      <c r="I93" s="1185"/>
      <c r="J93" s="1185"/>
      <c r="K93" s="1185"/>
      <c r="L93" s="1185"/>
      <c r="M93" s="1185"/>
      <c r="N93" s="1185"/>
    </row>
    <row r="94" spans="1:14" ht="60" x14ac:dyDescent="0.2">
      <c r="A94" s="1196" t="s">
        <v>4322</v>
      </c>
      <c r="B94" s="912"/>
      <c r="C94" s="1197" t="s">
        <v>4323</v>
      </c>
      <c r="D94" s="912"/>
      <c r="E94" s="914">
        <v>47</v>
      </c>
      <c r="F94" s="1198">
        <v>201000</v>
      </c>
      <c r="G94" s="1199" t="s">
        <v>4324</v>
      </c>
      <c r="H94" s="1197" t="s">
        <v>4325</v>
      </c>
      <c r="I94" s="1185"/>
      <c r="J94" s="1185"/>
      <c r="K94" s="1185"/>
      <c r="L94" s="1185"/>
      <c r="M94" s="1185"/>
      <c r="N94" s="1185"/>
    </row>
    <row r="95" spans="1:14" ht="60" x14ac:dyDescent="0.2">
      <c r="A95" s="1196" t="s">
        <v>4326</v>
      </c>
      <c r="B95" s="912"/>
      <c r="C95" s="1197" t="s">
        <v>4327</v>
      </c>
      <c r="D95" s="912"/>
      <c r="E95" s="914">
        <v>27</v>
      </c>
      <c r="F95" s="1198">
        <v>1120166.67</v>
      </c>
      <c r="G95" s="1199" t="s">
        <v>4328</v>
      </c>
      <c r="H95" s="1197" t="s">
        <v>4175</v>
      </c>
      <c r="I95" s="1185"/>
      <c r="J95" s="1185"/>
      <c r="K95" s="1185"/>
      <c r="L95" s="1185"/>
      <c r="M95" s="1185"/>
      <c r="N95" s="1185"/>
    </row>
    <row r="96" spans="1:14" ht="72" x14ac:dyDescent="0.2">
      <c r="A96" s="1196" t="s">
        <v>4329</v>
      </c>
      <c r="B96" s="912"/>
      <c r="C96" s="1203" t="s">
        <v>4330</v>
      </c>
      <c r="D96" s="912"/>
      <c r="E96" s="914">
        <v>39</v>
      </c>
      <c r="F96" s="1198">
        <v>99169.56</v>
      </c>
      <c r="G96" s="1199" t="s">
        <v>4331</v>
      </c>
      <c r="H96" s="1197" t="s">
        <v>4332</v>
      </c>
      <c r="I96" s="1185"/>
      <c r="J96" s="1185"/>
      <c r="K96" s="1185"/>
      <c r="L96" s="1185"/>
      <c r="M96" s="1185"/>
      <c r="N96" s="1185"/>
    </row>
    <row r="97" spans="1:14" ht="60" x14ac:dyDescent="0.2">
      <c r="A97" s="1196" t="s">
        <v>4291</v>
      </c>
      <c r="B97" s="912"/>
      <c r="C97" s="1197" t="s">
        <v>4292</v>
      </c>
      <c r="D97" s="912"/>
      <c r="E97" s="914">
        <v>34</v>
      </c>
      <c r="F97" s="1198">
        <v>235200</v>
      </c>
      <c r="G97" s="1199" t="s">
        <v>4333</v>
      </c>
      <c r="H97" s="1197" t="s">
        <v>4334</v>
      </c>
      <c r="I97" s="1185"/>
      <c r="J97" s="1185"/>
      <c r="K97" s="1185"/>
      <c r="L97" s="1185"/>
      <c r="M97" s="1185"/>
      <c r="N97" s="1185"/>
    </row>
    <row r="98" spans="1:14" ht="72" x14ac:dyDescent="0.2">
      <c r="A98" s="1196" t="s">
        <v>4335</v>
      </c>
      <c r="B98" s="912"/>
      <c r="C98" s="1197" t="s">
        <v>4336</v>
      </c>
      <c r="D98" s="912"/>
      <c r="E98" s="914">
        <v>37</v>
      </c>
      <c r="F98" s="1198">
        <v>172500</v>
      </c>
      <c r="G98" s="1199" t="s">
        <v>4337</v>
      </c>
      <c r="H98" s="1197" t="s">
        <v>4338</v>
      </c>
      <c r="I98" s="1185"/>
      <c r="J98" s="1185"/>
      <c r="K98" s="1185"/>
      <c r="L98" s="1185"/>
      <c r="M98" s="1185"/>
      <c r="N98" s="1185"/>
    </row>
    <row r="99" spans="1:14" ht="72" x14ac:dyDescent="0.2">
      <c r="A99" s="1196" t="s">
        <v>4339</v>
      </c>
      <c r="B99" s="912"/>
      <c r="C99" s="1197" t="s">
        <v>4340</v>
      </c>
      <c r="D99" s="912"/>
      <c r="E99" s="914">
        <v>6</v>
      </c>
      <c r="F99" s="1198">
        <v>852254.48</v>
      </c>
      <c r="G99" s="1199" t="s">
        <v>4341</v>
      </c>
      <c r="H99" s="1197" t="s">
        <v>4342</v>
      </c>
      <c r="I99" s="1185"/>
      <c r="J99" s="1185"/>
      <c r="K99" s="1185"/>
      <c r="L99" s="1185"/>
      <c r="M99" s="1185"/>
      <c r="N99" s="1185"/>
    </row>
    <row r="100" spans="1:14" ht="72" x14ac:dyDescent="0.2">
      <c r="A100" s="1196" t="s">
        <v>4343</v>
      </c>
      <c r="B100" s="912"/>
      <c r="C100" s="1197" t="s">
        <v>4344</v>
      </c>
      <c r="D100" s="912"/>
      <c r="E100" s="914">
        <v>5</v>
      </c>
      <c r="F100" s="1198">
        <v>771832.82</v>
      </c>
      <c r="G100" s="1199" t="s">
        <v>4345</v>
      </c>
      <c r="H100" s="1197" t="s">
        <v>4346</v>
      </c>
      <c r="I100" s="1185"/>
      <c r="J100" s="1185"/>
      <c r="K100" s="1185"/>
      <c r="L100" s="1185"/>
      <c r="M100" s="1185"/>
      <c r="N100" s="1185"/>
    </row>
    <row r="101" spans="1:14" ht="72" x14ac:dyDescent="0.2">
      <c r="A101" s="1196" t="s">
        <v>4347</v>
      </c>
      <c r="B101" s="912"/>
      <c r="C101" s="1197" t="s">
        <v>4348</v>
      </c>
      <c r="D101" s="912"/>
      <c r="E101" s="914">
        <v>41</v>
      </c>
      <c r="F101" s="1198">
        <v>83230</v>
      </c>
      <c r="G101" s="1199" t="s">
        <v>4349</v>
      </c>
      <c r="H101" s="1197" t="s">
        <v>4294</v>
      </c>
      <c r="I101" s="1185"/>
      <c r="J101" s="1185"/>
      <c r="K101" s="1185"/>
      <c r="L101" s="1185"/>
      <c r="M101" s="1185"/>
      <c r="N101" s="1185"/>
    </row>
    <row r="102" spans="1:14" ht="60" x14ac:dyDescent="0.2">
      <c r="A102" s="1196" t="s">
        <v>4350</v>
      </c>
      <c r="B102" s="912"/>
      <c r="C102" s="1197" t="s">
        <v>4351</v>
      </c>
      <c r="D102" s="912"/>
      <c r="E102" s="914">
        <v>23</v>
      </c>
      <c r="F102" s="1198">
        <v>160693.32999999999</v>
      </c>
      <c r="G102" s="1199" t="s">
        <v>4352</v>
      </c>
      <c r="H102" s="1197" t="s">
        <v>4353</v>
      </c>
      <c r="I102" s="1185"/>
      <c r="J102" s="1185"/>
      <c r="K102" s="1185"/>
      <c r="L102" s="1185"/>
      <c r="M102" s="1185"/>
      <c r="N102" s="1185"/>
    </row>
    <row r="103" spans="1:14" ht="60" x14ac:dyDescent="0.2">
      <c r="A103" s="1196" t="s">
        <v>4354</v>
      </c>
      <c r="B103" s="912"/>
      <c r="C103" s="1197" t="s">
        <v>4355</v>
      </c>
      <c r="D103" s="912"/>
      <c r="E103" s="914">
        <v>38</v>
      </c>
      <c r="F103" s="1198">
        <v>80465</v>
      </c>
      <c r="G103" s="1199" t="s">
        <v>4356</v>
      </c>
      <c r="H103" s="1197" t="s">
        <v>4357</v>
      </c>
      <c r="I103" s="1185"/>
      <c r="J103" s="1185"/>
      <c r="K103" s="1185"/>
      <c r="L103" s="1185"/>
      <c r="M103" s="1185"/>
      <c r="N103" s="1185"/>
    </row>
    <row r="104" spans="1:14" ht="48" x14ac:dyDescent="0.2">
      <c r="A104" s="1196" t="s">
        <v>4358</v>
      </c>
      <c r="B104" s="912"/>
      <c r="C104" s="1197" t="s">
        <v>4359</v>
      </c>
      <c r="D104" s="912"/>
      <c r="E104" s="914">
        <v>5</v>
      </c>
      <c r="F104" s="1198">
        <v>51100</v>
      </c>
      <c r="G104" s="1199" t="s">
        <v>4360</v>
      </c>
      <c r="H104" s="1199" t="s">
        <v>4361</v>
      </c>
      <c r="I104" s="1185"/>
      <c r="J104" s="1185"/>
      <c r="K104" s="1185"/>
      <c r="L104" s="1185"/>
      <c r="M104" s="1185"/>
      <c r="N104" s="1185"/>
    </row>
    <row r="105" spans="1:14" ht="60" x14ac:dyDescent="0.2">
      <c r="A105" s="1196" t="s">
        <v>4362</v>
      </c>
      <c r="B105" s="912"/>
      <c r="C105" s="1197" t="s">
        <v>4363</v>
      </c>
      <c r="D105" s="912"/>
      <c r="E105" s="914">
        <v>7</v>
      </c>
      <c r="F105" s="1198">
        <v>48300</v>
      </c>
      <c r="G105" s="1199" t="s">
        <v>4364</v>
      </c>
      <c r="H105" s="1199" t="s">
        <v>4365</v>
      </c>
      <c r="I105" s="1185"/>
      <c r="J105" s="1185"/>
      <c r="K105" s="1185"/>
      <c r="L105" s="1185"/>
      <c r="M105" s="1185"/>
      <c r="N105" s="1185"/>
    </row>
    <row r="106" spans="1:14" ht="84" x14ac:dyDescent="0.2">
      <c r="A106" s="1196" t="s">
        <v>4366</v>
      </c>
      <c r="B106" s="912"/>
      <c r="C106" s="1197" t="s">
        <v>4367</v>
      </c>
      <c r="D106" s="912"/>
      <c r="E106" s="914">
        <v>26</v>
      </c>
      <c r="F106" s="1198">
        <v>74970</v>
      </c>
      <c r="G106" s="1199" t="s">
        <v>4368</v>
      </c>
      <c r="H106" s="1199" t="s">
        <v>4369</v>
      </c>
      <c r="I106" s="1185"/>
      <c r="J106" s="1185"/>
      <c r="K106" s="1185"/>
      <c r="L106" s="1185"/>
      <c r="M106" s="1185"/>
      <c r="N106" s="1185"/>
    </row>
    <row r="107" spans="1:14" ht="48" x14ac:dyDescent="0.2">
      <c r="A107" s="1196" t="s">
        <v>4370</v>
      </c>
      <c r="B107" s="912"/>
      <c r="C107" s="1197" t="s">
        <v>4371</v>
      </c>
      <c r="D107" s="912"/>
      <c r="E107" s="914">
        <v>20</v>
      </c>
      <c r="F107" s="1198">
        <v>275040</v>
      </c>
      <c r="G107" s="1199" t="s">
        <v>4372</v>
      </c>
      <c r="H107" s="1199" t="s">
        <v>4373</v>
      </c>
      <c r="I107" s="1185"/>
      <c r="J107" s="1185"/>
      <c r="K107" s="1185"/>
      <c r="L107" s="1185"/>
      <c r="M107" s="1185"/>
      <c r="N107" s="1185"/>
    </row>
    <row r="108" spans="1:14" ht="60" x14ac:dyDescent="0.2">
      <c r="A108" s="1196" t="s">
        <v>4374</v>
      </c>
      <c r="B108" s="912"/>
      <c r="C108" s="1197" t="s">
        <v>4375</v>
      </c>
      <c r="D108" s="912"/>
      <c r="E108" s="914">
        <v>2</v>
      </c>
      <c r="F108" s="1198">
        <v>498906.91</v>
      </c>
      <c r="G108" s="1199" t="s">
        <v>4376</v>
      </c>
      <c r="H108" s="1199" t="s">
        <v>4377</v>
      </c>
      <c r="I108" s="1185"/>
      <c r="J108" s="1185"/>
      <c r="K108" s="1185"/>
      <c r="L108" s="1185"/>
      <c r="M108" s="1185"/>
      <c r="N108" s="1185"/>
    </row>
    <row r="109" spans="1:14" ht="72" x14ac:dyDescent="0.2">
      <c r="A109" s="1196" t="s">
        <v>4378</v>
      </c>
      <c r="B109" s="912"/>
      <c r="C109" s="1197" t="s">
        <v>4379</v>
      </c>
      <c r="D109" s="912"/>
      <c r="E109" s="914">
        <v>7</v>
      </c>
      <c r="F109" s="1198">
        <v>56371</v>
      </c>
      <c r="G109" s="1199"/>
      <c r="H109" s="1199" t="s">
        <v>4380</v>
      </c>
      <c r="I109" s="1185"/>
      <c r="J109" s="1185"/>
      <c r="K109" s="1185"/>
      <c r="L109" s="1185"/>
      <c r="M109" s="1185"/>
      <c r="N109" s="1185"/>
    </row>
    <row r="110" spans="1:14" ht="48" x14ac:dyDescent="0.2">
      <c r="A110" s="1196" t="s">
        <v>4381</v>
      </c>
      <c r="B110" s="912"/>
      <c r="C110" s="1197" t="s">
        <v>4382</v>
      </c>
      <c r="D110" s="912"/>
      <c r="E110" s="914">
        <v>20</v>
      </c>
      <c r="F110" s="1198">
        <v>120164.6</v>
      </c>
      <c r="G110" s="1199" t="s">
        <v>4383</v>
      </c>
      <c r="H110" s="1199" t="s">
        <v>4384</v>
      </c>
      <c r="I110" s="1185"/>
      <c r="J110" s="1185"/>
      <c r="K110" s="1185"/>
      <c r="L110" s="1185"/>
      <c r="M110" s="1185"/>
      <c r="N110" s="1185"/>
    </row>
    <row r="111" spans="1:14" ht="60" x14ac:dyDescent="0.2">
      <c r="A111" s="1196" t="s">
        <v>4385</v>
      </c>
      <c r="B111" s="912"/>
      <c r="C111" s="1197" t="s">
        <v>4386</v>
      </c>
      <c r="D111" s="912"/>
      <c r="E111" s="914">
        <v>26</v>
      </c>
      <c r="F111" s="1198">
        <v>373050</v>
      </c>
      <c r="G111" s="1199" t="s">
        <v>4387</v>
      </c>
      <c r="H111" s="1199" t="s">
        <v>4388</v>
      </c>
      <c r="I111" s="1185"/>
      <c r="J111" s="1185"/>
      <c r="K111" s="1185"/>
      <c r="L111" s="1185"/>
      <c r="M111" s="1185"/>
      <c r="N111" s="1185"/>
    </row>
    <row r="112" spans="1:14" ht="60" x14ac:dyDescent="0.2">
      <c r="A112" s="1196" t="s">
        <v>4389</v>
      </c>
      <c r="B112" s="912"/>
      <c r="C112" s="1197" t="s">
        <v>4390</v>
      </c>
      <c r="D112" s="912"/>
      <c r="E112" s="914">
        <v>16</v>
      </c>
      <c r="F112" s="1198">
        <v>79582.5</v>
      </c>
      <c r="G112" s="1199" t="s">
        <v>4391</v>
      </c>
      <c r="H112" s="1199" t="s">
        <v>4392</v>
      </c>
      <c r="I112" s="1185"/>
      <c r="J112" s="1185"/>
      <c r="K112" s="1185"/>
      <c r="L112" s="1185"/>
      <c r="M112" s="1185"/>
      <c r="N112" s="1185"/>
    </row>
    <row r="113" spans="1:14" ht="60" x14ac:dyDescent="0.2">
      <c r="A113" s="1196" t="s">
        <v>4393</v>
      </c>
      <c r="B113" s="912"/>
      <c r="C113" s="1197" t="s">
        <v>4394</v>
      </c>
      <c r="D113" s="912"/>
      <c r="E113" s="914">
        <v>16</v>
      </c>
      <c r="F113" s="1198">
        <v>287950</v>
      </c>
      <c r="G113" s="1199" t="s">
        <v>4395</v>
      </c>
      <c r="H113" s="1199" t="s">
        <v>4396</v>
      </c>
      <c r="I113" s="1185"/>
      <c r="J113" s="1185"/>
      <c r="K113" s="1185"/>
      <c r="L113" s="1185"/>
      <c r="M113" s="1185"/>
      <c r="N113" s="1185"/>
    </row>
    <row r="114" spans="1:14" ht="72" x14ac:dyDescent="0.2">
      <c r="A114" s="1196" t="s">
        <v>4397</v>
      </c>
      <c r="B114" s="912"/>
      <c r="C114" s="1197" t="s">
        <v>4398</v>
      </c>
      <c r="D114" s="912"/>
      <c r="E114" s="914">
        <v>15</v>
      </c>
      <c r="F114" s="1198">
        <v>203320</v>
      </c>
      <c r="G114" s="1199" t="s">
        <v>4399</v>
      </c>
      <c r="H114" s="1199" t="s">
        <v>4400</v>
      </c>
      <c r="I114" s="1185"/>
      <c r="J114" s="1185"/>
      <c r="K114" s="1185"/>
      <c r="L114" s="1185"/>
      <c r="M114" s="1185"/>
      <c r="N114" s="1185"/>
    </row>
    <row r="115" spans="1:14" ht="60" x14ac:dyDescent="0.2">
      <c r="A115" s="1196" t="s">
        <v>4401</v>
      </c>
      <c r="B115" s="912"/>
      <c r="C115" s="1197" t="s">
        <v>4402</v>
      </c>
      <c r="D115" s="912"/>
      <c r="E115" s="914">
        <v>11</v>
      </c>
      <c r="F115" s="1198">
        <v>143427</v>
      </c>
      <c r="G115" s="1199" t="s">
        <v>4403</v>
      </c>
      <c r="H115" s="1199" t="s">
        <v>4396</v>
      </c>
      <c r="I115" s="1185"/>
      <c r="J115" s="1185"/>
      <c r="K115" s="1185"/>
      <c r="L115" s="1185"/>
      <c r="M115" s="1185"/>
      <c r="N115" s="1185"/>
    </row>
    <row r="116" spans="1:14" ht="60" x14ac:dyDescent="0.2">
      <c r="A116" s="1192" t="s">
        <v>4404</v>
      </c>
      <c r="B116" s="912"/>
      <c r="C116" s="1193" t="s">
        <v>4405</v>
      </c>
      <c r="D116" s="912"/>
      <c r="E116" s="914">
        <v>12</v>
      </c>
      <c r="F116" s="1189">
        <v>299000</v>
      </c>
      <c r="G116" s="1195" t="s">
        <v>4406</v>
      </c>
      <c r="H116" s="1195" t="s">
        <v>4407</v>
      </c>
      <c r="I116" s="1185"/>
      <c r="J116" s="1185"/>
      <c r="K116" s="1185"/>
      <c r="L116" s="1185"/>
      <c r="M116" s="1185"/>
      <c r="N116" s="1185"/>
    </row>
    <row r="117" spans="1:14" ht="60" x14ac:dyDescent="0.2">
      <c r="A117" s="1196" t="s">
        <v>4408</v>
      </c>
      <c r="B117" s="912"/>
      <c r="C117" s="1197" t="s">
        <v>4409</v>
      </c>
      <c r="D117" s="912"/>
      <c r="E117" s="914">
        <v>10</v>
      </c>
      <c r="F117" s="1198">
        <v>306000</v>
      </c>
      <c r="G117" s="1199" t="s">
        <v>4410</v>
      </c>
      <c r="H117" s="1199" t="s">
        <v>4411</v>
      </c>
      <c r="I117" s="1185"/>
      <c r="J117" s="1185"/>
      <c r="K117" s="1185"/>
      <c r="L117" s="1185"/>
      <c r="M117" s="1185"/>
      <c r="N117" s="1185"/>
    </row>
    <row r="118" spans="1:14" ht="60" x14ac:dyDescent="0.2">
      <c r="A118" s="1196" t="s">
        <v>4412</v>
      </c>
      <c r="B118" s="912"/>
      <c r="C118" s="1197" t="s">
        <v>4413</v>
      </c>
      <c r="D118" s="912"/>
      <c r="E118" s="914">
        <v>7</v>
      </c>
      <c r="F118" s="1198">
        <v>230685</v>
      </c>
      <c r="G118" s="1199" t="s">
        <v>4414</v>
      </c>
      <c r="H118" s="1199" t="s">
        <v>4415</v>
      </c>
      <c r="I118" s="1185"/>
      <c r="J118" s="1185"/>
      <c r="K118" s="1185"/>
      <c r="L118" s="1185"/>
      <c r="M118" s="1185"/>
      <c r="N118" s="1185"/>
    </row>
    <row r="119" spans="1:14" ht="84" x14ac:dyDescent="0.2">
      <c r="A119" s="1196" t="s">
        <v>4416</v>
      </c>
      <c r="B119" s="912"/>
      <c r="C119" s="1197" t="s">
        <v>4417</v>
      </c>
      <c r="D119" s="912"/>
      <c r="E119" s="914">
        <v>1</v>
      </c>
      <c r="F119" s="1198">
        <v>194668</v>
      </c>
      <c r="G119" s="1199" t="s">
        <v>4418</v>
      </c>
      <c r="H119" s="1199" t="s">
        <v>4419</v>
      </c>
      <c r="I119" s="1185"/>
      <c r="J119" s="1185"/>
      <c r="K119" s="1185"/>
      <c r="L119" s="1185"/>
      <c r="M119" s="1185"/>
      <c r="N119" s="1185"/>
    </row>
    <row r="120" spans="1:14" ht="60" x14ac:dyDescent="0.2">
      <c r="A120" s="1196" t="s">
        <v>4420</v>
      </c>
      <c r="B120" s="912"/>
      <c r="C120" s="1197" t="s">
        <v>4421</v>
      </c>
      <c r="D120" s="912"/>
      <c r="E120" s="914">
        <v>17</v>
      </c>
      <c r="F120" s="1198">
        <v>327000</v>
      </c>
      <c r="G120" s="1199"/>
      <c r="H120" s="1199" t="s">
        <v>4422</v>
      </c>
      <c r="I120" s="1185"/>
      <c r="J120" s="1185"/>
      <c r="K120" s="1185"/>
      <c r="L120" s="1185"/>
      <c r="M120" s="1185"/>
      <c r="N120" s="1185"/>
    </row>
    <row r="121" spans="1:14" ht="36" x14ac:dyDescent="0.2">
      <c r="A121" s="1196" t="s">
        <v>4423</v>
      </c>
      <c r="B121" s="912"/>
      <c r="C121" s="1197" t="s">
        <v>4424</v>
      </c>
      <c r="D121" s="912"/>
      <c r="E121" s="914">
        <v>24</v>
      </c>
      <c r="F121" s="1198">
        <v>200666.25</v>
      </c>
      <c r="G121" s="1199" t="s">
        <v>4425</v>
      </c>
      <c r="H121" s="1199" t="s">
        <v>4426</v>
      </c>
      <c r="I121" s="1185"/>
      <c r="J121" s="1185"/>
      <c r="K121" s="1185"/>
      <c r="L121" s="1185"/>
      <c r="M121" s="1185"/>
      <c r="N121" s="1185"/>
    </row>
    <row r="122" spans="1:14" ht="60" x14ac:dyDescent="0.2">
      <c r="A122" s="1192" t="s">
        <v>4427</v>
      </c>
      <c r="B122" s="912"/>
      <c r="C122" s="1193" t="s">
        <v>4428</v>
      </c>
      <c r="D122" s="912"/>
      <c r="E122" s="914">
        <v>23</v>
      </c>
      <c r="F122" s="1189">
        <v>265914.75</v>
      </c>
      <c r="G122" s="1195" t="s">
        <v>4429</v>
      </c>
      <c r="H122" s="1195" t="s">
        <v>4430</v>
      </c>
      <c r="I122" s="1185"/>
      <c r="J122" s="1185"/>
      <c r="K122" s="1185"/>
      <c r="L122" s="1185"/>
      <c r="M122" s="1185"/>
      <c r="N122" s="1185"/>
    </row>
    <row r="123" spans="1:14" ht="48" x14ac:dyDescent="0.2">
      <c r="A123" s="1196" t="s">
        <v>4431</v>
      </c>
      <c r="B123" s="912"/>
      <c r="C123" s="1197" t="s">
        <v>4432</v>
      </c>
      <c r="D123" s="912"/>
      <c r="E123" s="914">
        <v>21</v>
      </c>
      <c r="F123" s="1198">
        <v>207000</v>
      </c>
      <c r="G123" s="1199" t="s">
        <v>4433</v>
      </c>
      <c r="H123" s="1199" t="s">
        <v>4430</v>
      </c>
      <c r="I123" s="1185"/>
      <c r="J123" s="1185"/>
      <c r="K123" s="1185"/>
      <c r="L123" s="1185"/>
      <c r="M123" s="1185"/>
      <c r="N123" s="1185"/>
    </row>
    <row r="124" spans="1:14" ht="60" x14ac:dyDescent="0.2">
      <c r="A124" s="1192" t="s">
        <v>4434</v>
      </c>
      <c r="B124" s="912"/>
      <c r="C124" s="1193" t="s">
        <v>4435</v>
      </c>
      <c r="D124" s="912"/>
      <c r="E124" s="914">
        <v>1</v>
      </c>
      <c r="F124" s="1189">
        <v>508252.64</v>
      </c>
      <c r="G124" s="1195" t="s">
        <v>4436</v>
      </c>
      <c r="H124" s="1195" t="s">
        <v>4437</v>
      </c>
      <c r="I124" s="1185"/>
      <c r="J124" s="1185"/>
      <c r="K124" s="1185"/>
      <c r="L124" s="1185"/>
      <c r="M124" s="1185"/>
      <c r="N124" s="1185"/>
    </row>
    <row r="125" spans="1:14" ht="48" x14ac:dyDescent="0.2">
      <c r="A125" s="1196" t="s">
        <v>4438</v>
      </c>
      <c r="B125" s="912"/>
      <c r="C125" s="1197" t="s">
        <v>4439</v>
      </c>
      <c r="D125" s="912"/>
      <c r="E125" s="914">
        <v>123</v>
      </c>
      <c r="F125" s="1198">
        <v>1591374.11</v>
      </c>
      <c r="G125" s="1199" t="s">
        <v>4440</v>
      </c>
      <c r="H125" s="1199" t="s">
        <v>4441</v>
      </c>
      <c r="I125" s="1185"/>
      <c r="J125" s="1185"/>
      <c r="K125" s="1185"/>
      <c r="L125" s="1185"/>
      <c r="M125" s="1185"/>
      <c r="N125" s="1185"/>
    </row>
    <row r="126" spans="1:14" ht="108" x14ac:dyDescent="0.2">
      <c r="A126" s="1196" t="s">
        <v>4442</v>
      </c>
      <c r="B126" s="912"/>
      <c r="C126" s="1197" t="s">
        <v>4443</v>
      </c>
      <c r="D126" s="912"/>
      <c r="E126" s="914">
        <v>3</v>
      </c>
      <c r="F126" s="1198">
        <v>24684174.370000001</v>
      </c>
      <c r="G126" s="1199"/>
      <c r="H126" s="1199" t="s">
        <v>4444</v>
      </c>
      <c r="I126" s="1185"/>
      <c r="J126" s="1185"/>
      <c r="K126" s="1185"/>
      <c r="L126" s="1185"/>
      <c r="M126" s="1185"/>
      <c r="N126" s="1185"/>
    </row>
    <row r="127" spans="1:14" ht="96" x14ac:dyDescent="0.2">
      <c r="A127" s="1196" t="s">
        <v>4445</v>
      </c>
      <c r="B127" s="912"/>
      <c r="C127" s="1197" t="s">
        <v>4446</v>
      </c>
      <c r="D127" s="912"/>
      <c r="E127" s="914">
        <v>2</v>
      </c>
      <c r="F127" s="1198">
        <v>28482292.43</v>
      </c>
      <c r="G127" s="1199"/>
      <c r="H127" s="1199" t="s">
        <v>4447</v>
      </c>
      <c r="I127" s="1185"/>
      <c r="J127" s="1185"/>
      <c r="K127" s="1185"/>
      <c r="L127" s="1185"/>
      <c r="M127" s="1185"/>
      <c r="N127" s="1185"/>
    </row>
    <row r="128" spans="1:14" ht="60" x14ac:dyDescent="0.2">
      <c r="A128" s="1196" t="s">
        <v>4448</v>
      </c>
      <c r="B128" s="912"/>
      <c r="C128" s="1197" t="s">
        <v>4449</v>
      </c>
      <c r="D128" s="912"/>
      <c r="E128" s="914">
        <v>19</v>
      </c>
      <c r="F128" s="1198">
        <v>327722.71999999997</v>
      </c>
      <c r="G128" s="1199" t="s">
        <v>4450</v>
      </c>
      <c r="H128" s="1199" t="s">
        <v>4451</v>
      </c>
      <c r="I128" s="1185"/>
      <c r="J128" s="1185"/>
      <c r="K128" s="1185"/>
      <c r="L128" s="1185"/>
      <c r="M128" s="1185"/>
      <c r="N128" s="1185"/>
    </row>
    <row r="129" spans="1:14" ht="48" x14ac:dyDescent="0.2">
      <c r="A129" s="1196" t="s">
        <v>4452</v>
      </c>
      <c r="B129" s="912"/>
      <c r="C129" s="1197" t="s">
        <v>4453</v>
      </c>
      <c r="D129" s="912"/>
      <c r="E129" s="914">
        <v>22</v>
      </c>
      <c r="F129" s="1198">
        <v>71369.899999999994</v>
      </c>
      <c r="G129" s="1199" t="s">
        <v>4454</v>
      </c>
      <c r="H129" s="1199" t="s">
        <v>4455</v>
      </c>
      <c r="I129" s="1185"/>
      <c r="J129" s="1185"/>
      <c r="K129" s="1185"/>
      <c r="L129" s="1185"/>
      <c r="M129" s="1185"/>
      <c r="N129" s="1185"/>
    </row>
    <row r="130" spans="1:14" ht="48" x14ac:dyDescent="0.2">
      <c r="A130" s="1196" t="s">
        <v>4456</v>
      </c>
      <c r="B130" s="912"/>
      <c r="C130" s="1197" t="s">
        <v>4457</v>
      </c>
      <c r="D130" s="912"/>
      <c r="E130" s="914">
        <v>3</v>
      </c>
      <c r="F130" s="1198">
        <v>38836</v>
      </c>
      <c r="G130" s="1199" t="s">
        <v>4458</v>
      </c>
      <c r="H130" s="1199" t="s">
        <v>4459</v>
      </c>
      <c r="I130" s="1185"/>
      <c r="J130" s="1185"/>
      <c r="K130" s="1185"/>
      <c r="L130" s="1185"/>
      <c r="M130" s="1185"/>
      <c r="N130" s="1185"/>
    </row>
    <row r="131" spans="1:14" ht="60" x14ac:dyDescent="0.2">
      <c r="A131" s="1196" t="s">
        <v>4460</v>
      </c>
      <c r="B131" s="912"/>
      <c r="C131" s="1197" t="s">
        <v>4461</v>
      </c>
      <c r="D131" s="912"/>
      <c r="E131" s="914">
        <v>4</v>
      </c>
      <c r="F131" s="1198">
        <v>62738</v>
      </c>
      <c r="G131" s="1199" t="s">
        <v>4462</v>
      </c>
      <c r="H131" s="1199" t="s">
        <v>4463</v>
      </c>
      <c r="I131" s="1185"/>
      <c r="J131" s="1185"/>
      <c r="K131" s="1185"/>
      <c r="L131" s="1185"/>
      <c r="M131" s="1185"/>
      <c r="N131" s="1185"/>
    </row>
    <row r="132" spans="1:14" ht="48" x14ac:dyDescent="0.2">
      <c r="A132" s="1196" t="s">
        <v>4464</v>
      </c>
      <c r="B132" s="912"/>
      <c r="C132" s="1197" t="s">
        <v>4465</v>
      </c>
      <c r="D132" s="912"/>
      <c r="E132" s="914">
        <v>15</v>
      </c>
      <c r="F132" s="1198">
        <v>449500</v>
      </c>
      <c r="G132" s="1199" t="s">
        <v>4466</v>
      </c>
      <c r="H132" s="1199" t="s">
        <v>4175</v>
      </c>
      <c r="I132" s="1185"/>
      <c r="J132" s="1185"/>
      <c r="K132" s="1185"/>
      <c r="L132" s="1185"/>
      <c r="M132" s="1185"/>
      <c r="N132" s="1185"/>
    </row>
    <row r="133" spans="1:14" ht="60" x14ac:dyDescent="0.2">
      <c r="A133" s="1196" t="s">
        <v>4467</v>
      </c>
      <c r="B133" s="912"/>
      <c r="C133" s="1197" t="s">
        <v>4468</v>
      </c>
      <c r="D133" s="912"/>
      <c r="E133" s="914">
        <v>18</v>
      </c>
      <c r="F133" s="1198">
        <v>61053</v>
      </c>
      <c r="G133" s="1199" t="s">
        <v>4469</v>
      </c>
      <c r="H133" s="1199" t="s">
        <v>4175</v>
      </c>
      <c r="I133" s="1185"/>
      <c r="J133" s="1185"/>
      <c r="K133" s="1185"/>
      <c r="L133" s="1185"/>
      <c r="M133" s="1185"/>
      <c r="N133" s="1185"/>
    </row>
    <row r="134" spans="1:14" ht="60" x14ac:dyDescent="0.2">
      <c r="A134" s="1196" t="s">
        <v>4470</v>
      </c>
      <c r="B134" s="912"/>
      <c r="C134" s="1197" t="s">
        <v>4471</v>
      </c>
      <c r="D134" s="912"/>
      <c r="E134" s="914">
        <v>2</v>
      </c>
      <c r="F134" s="1198">
        <v>62836.6</v>
      </c>
      <c r="G134" s="1199" t="s">
        <v>4472</v>
      </c>
      <c r="H134" s="1199" t="s">
        <v>4473</v>
      </c>
      <c r="I134" s="1185"/>
      <c r="J134" s="1185"/>
      <c r="K134" s="1185"/>
      <c r="L134" s="1185"/>
      <c r="M134" s="1185"/>
      <c r="N134" s="1185"/>
    </row>
    <row r="135" spans="1:14" ht="48" x14ac:dyDescent="0.2">
      <c r="A135" s="1196" t="s">
        <v>4474</v>
      </c>
      <c r="B135" s="912"/>
      <c r="C135" s="1197" t="s">
        <v>4475</v>
      </c>
      <c r="D135" s="912"/>
      <c r="E135" s="914">
        <v>12</v>
      </c>
      <c r="F135" s="1198">
        <v>71190</v>
      </c>
      <c r="G135" s="1199" t="s">
        <v>4476</v>
      </c>
      <c r="H135" s="1199" t="s">
        <v>4477</v>
      </c>
      <c r="I135" s="1185"/>
      <c r="J135" s="1185"/>
      <c r="K135" s="1185"/>
      <c r="L135" s="1185"/>
      <c r="M135" s="1185"/>
      <c r="N135" s="1185"/>
    </row>
    <row r="136" spans="1:14" ht="48" x14ac:dyDescent="0.2">
      <c r="A136" s="1196" t="s">
        <v>4478</v>
      </c>
      <c r="B136" s="912"/>
      <c r="C136" s="1197" t="s">
        <v>4479</v>
      </c>
      <c r="D136" s="912"/>
      <c r="E136" s="914">
        <v>79</v>
      </c>
      <c r="F136" s="1198">
        <v>1160476.67</v>
      </c>
      <c r="G136" s="1199" t="s">
        <v>4480</v>
      </c>
      <c r="H136" s="1199" t="s">
        <v>4481</v>
      </c>
      <c r="I136" s="1185"/>
      <c r="J136" s="1185"/>
      <c r="K136" s="1185"/>
      <c r="L136" s="1185"/>
      <c r="M136" s="1185"/>
      <c r="N136" s="1185"/>
    </row>
    <row r="137" spans="1:14" ht="60" x14ac:dyDescent="0.2">
      <c r="A137" s="1196" t="s">
        <v>4482</v>
      </c>
      <c r="B137" s="912"/>
      <c r="C137" s="1197" t="s">
        <v>4483</v>
      </c>
      <c r="D137" s="912"/>
      <c r="E137" s="914">
        <v>18</v>
      </c>
      <c r="F137" s="1198">
        <v>187821.85</v>
      </c>
      <c r="G137" s="1199" t="s">
        <v>4484</v>
      </c>
      <c r="H137" s="1199" t="s">
        <v>4485</v>
      </c>
      <c r="I137" s="1185"/>
      <c r="J137" s="1185"/>
      <c r="K137" s="1185"/>
      <c r="L137" s="1185"/>
      <c r="M137" s="1185"/>
      <c r="N137" s="1185"/>
    </row>
    <row r="138" spans="1:14" ht="60" x14ac:dyDescent="0.2">
      <c r="A138" s="1196" t="s">
        <v>4486</v>
      </c>
      <c r="B138" s="912"/>
      <c r="C138" s="1197" t="s">
        <v>4487</v>
      </c>
      <c r="D138" s="912"/>
      <c r="E138" s="914">
        <v>13</v>
      </c>
      <c r="F138" s="1198">
        <v>121000</v>
      </c>
      <c r="G138" s="1199" t="s">
        <v>4488</v>
      </c>
      <c r="H138" s="1199" t="s">
        <v>4179</v>
      </c>
      <c r="I138" s="1185"/>
      <c r="J138" s="1185"/>
      <c r="K138" s="1185"/>
      <c r="L138" s="1185"/>
      <c r="M138" s="1185"/>
      <c r="N138" s="1185"/>
    </row>
    <row r="139" spans="1:14" ht="60" x14ac:dyDescent="0.2">
      <c r="A139" s="1196" t="s">
        <v>4489</v>
      </c>
      <c r="B139" s="912"/>
      <c r="C139" s="1197" t="s">
        <v>4490</v>
      </c>
      <c r="D139" s="912"/>
      <c r="E139" s="914">
        <v>14</v>
      </c>
      <c r="F139" s="1198">
        <v>241064.2</v>
      </c>
      <c r="G139" s="1199" t="s">
        <v>4491</v>
      </c>
      <c r="H139" s="1199" t="s">
        <v>4183</v>
      </c>
      <c r="I139" s="1185"/>
      <c r="J139" s="1185"/>
      <c r="K139" s="1185"/>
      <c r="L139" s="1185"/>
      <c r="M139" s="1185"/>
      <c r="N139" s="1185"/>
    </row>
    <row r="140" spans="1:14" ht="72" x14ac:dyDescent="0.2">
      <c r="A140" s="1196" t="s">
        <v>4492</v>
      </c>
      <c r="B140" s="912"/>
      <c r="C140" s="1197" t="s">
        <v>4493</v>
      </c>
      <c r="D140" s="912"/>
      <c r="E140" s="914">
        <v>84</v>
      </c>
      <c r="F140" s="1198">
        <v>341396.04</v>
      </c>
      <c r="G140" s="1199" t="s">
        <v>4494</v>
      </c>
      <c r="H140" s="1199" t="s">
        <v>4495</v>
      </c>
      <c r="I140" s="1185"/>
      <c r="J140" s="1185"/>
      <c r="K140" s="1185"/>
      <c r="L140" s="1185"/>
      <c r="M140" s="1185"/>
      <c r="N140" s="1185"/>
    </row>
    <row r="141" spans="1:14" ht="60" x14ac:dyDescent="0.2">
      <c r="A141" s="1196" t="s">
        <v>4496</v>
      </c>
      <c r="B141" s="912"/>
      <c r="C141" s="1197" t="s">
        <v>4497</v>
      </c>
      <c r="D141" s="912"/>
      <c r="E141" s="914">
        <v>14</v>
      </c>
      <c r="F141" s="1198">
        <v>200000</v>
      </c>
      <c r="G141" s="1199" t="s">
        <v>4498</v>
      </c>
      <c r="H141" s="1199" t="s">
        <v>4179</v>
      </c>
      <c r="I141" s="1185"/>
      <c r="J141" s="1185"/>
      <c r="K141" s="1185"/>
      <c r="L141" s="1185"/>
      <c r="M141" s="1185"/>
      <c r="N141" s="1185"/>
    </row>
    <row r="142" spans="1:14" ht="72" x14ac:dyDescent="0.2">
      <c r="A142" s="1196" t="s">
        <v>4499</v>
      </c>
      <c r="B142" s="912"/>
      <c r="C142" s="1197" t="s">
        <v>4500</v>
      </c>
      <c r="D142" s="912"/>
      <c r="E142" s="914">
        <v>15</v>
      </c>
      <c r="F142" s="1198">
        <v>150000</v>
      </c>
      <c r="G142" s="1199" t="s">
        <v>4501</v>
      </c>
      <c r="H142" s="1199" t="s">
        <v>4502</v>
      </c>
      <c r="I142" s="1185"/>
      <c r="J142" s="1185"/>
      <c r="K142" s="1185"/>
      <c r="L142" s="1185"/>
      <c r="M142" s="1185"/>
      <c r="N142" s="1185"/>
    </row>
    <row r="143" spans="1:14" ht="36" x14ac:dyDescent="0.2">
      <c r="A143" s="1196" t="s">
        <v>4503</v>
      </c>
      <c r="B143" s="912"/>
      <c r="C143" s="1197" t="s">
        <v>4504</v>
      </c>
      <c r="D143" s="912"/>
      <c r="E143" s="914">
        <v>2</v>
      </c>
      <c r="F143" s="1198">
        <v>572850</v>
      </c>
      <c r="G143" s="1199" t="s">
        <v>4505</v>
      </c>
      <c r="H143" s="1199" t="s">
        <v>4175</v>
      </c>
      <c r="I143" s="1185"/>
      <c r="J143" s="1185"/>
      <c r="K143" s="1185"/>
      <c r="L143" s="1185"/>
      <c r="M143" s="1185"/>
      <c r="N143" s="1185"/>
    </row>
    <row r="144" spans="1:14" ht="72" x14ac:dyDescent="0.2">
      <c r="A144" s="1196" t="s">
        <v>4506</v>
      </c>
      <c r="B144" s="912"/>
      <c r="C144" s="1197" t="s">
        <v>4507</v>
      </c>
      <c r="D144" s="912"/>
      <c r="E144" s="914">
        <v>6</v>
      </c>
      <c r="F144" s="1198">
        <v>193741.67</v>
      </c>
      <c r="G144" s="1199" t="s">
        <v>4508</v>
      </c>
      <c r="H144" s="1199" t="s">
        <v>4509</v>
      </c>
      <c r="I144" s="1185"/>
      <c r="J144" s="1185"/>
      <c r="K144" s="1185"/>
      <c r="L144" s="1185"/>
      <c r="M144" s="1185"/>
      <c r="N144" s="1185"/>
    </row>
    <row r="145" spans="1:14" ht="60" x14ac:dyDescent="0.2">
      <c r="A145" s="1196" t="s">
        <v>4510</v>
      </c>
      <c r="B145" s="912"/>
      <c r="C145" s="1197" t="s">
        <v>4511</v>
      </c>
      <c r="D145" s="912"/>
      <c r="E145" s="914">
        <v>11</v>
      </c>
      <c r="F145" s="1198">
        <v>131422.26999999999</v>
      </c>
      <c r="G145" s="1199" t="s">
        <v>4512</v>
      </c>
      <c r="H145" s="1199" t="s">
        <v>4513</v>
      </c>
      <c r="I145" s="1185"/>
      <c r="J145" s="1185"/>
      <c r="K145" s="1185"/>
      <c r="L145" s="1185"/>
      <c r="M145" s="1185"/>
      <c r="N145" s="1185"/>
    </row>
    <row r="146" spans="1:14" ht="60" x14ac:dyDescent="0.2">
      <c r="A146" s="1196" t="s">
        <v>4514</v>
      </c>
      <c r="B146" s="912"/>
      <c r="C146" s="1197" t="s">
        <v>4515</v>
      </c>
      <c r="D146" s="912"/>
      <c r="E146" s="914">
        <v>8</v>
      </c>
      <c r="F146" s="1198">
        <v>178562.5</v>
      </c>
      <c r="G146" s="1199" t="s">
        <v>4516</v>
      </c>
      <c r="H146" s="1199" t="s">
        <v>4517</v>
      </c>
      <c r="I146" s="1185"/>
      <c r="J146" s="1185"/>
      <c r="K146" s="1185"/>
      <c r="L146" s="1185"/>
      <c r="M146" s="1185"/>
      <c r="N146" s="1185"/>
    </row>
    <row r="147" spans="1:14" ht="60" x14ac:dyDescent="0.2">
      <c r="A147" s="1196" t="s">
        <v>4518</v>
      </c>
      <c r="B147" s="912"/>
      <c r="C147" s="1197" t="s">
        <v>4519</v>
      </c>
      <c r="D147" s="912"/>
      <c r="E147" s="914">
        <v>10</v>
      </c>
      <c r="F147" s="1198">
        <v>289080</v>
      </c>
      <c r="G147" s="1199" t="s">
        <v>4520</v>
      </c>
      <c r="H147" s="1199" t="s">
        <v>4521</v>
      </c>
      <c r="I147" s="1185"/>
      <c r="J147" s="1185"/>
      <c r="K147" s="1185"/>
      <c r="L147" s="1185"/>
      <c r="M147" s="1185"/>
      <c r="N147" s="1185"/>
    </row>
    <row r="148" spans="1:14" ht="60" x14ac:dyDescent="0.2">
      <c r="A148" s="1196" t="s">
        <v>4522</v>
      </c>
      <c r="B148" s="912"/>
      <c r="C148" s="1197" t="s">
        <v>4523</v>
      </c>
      <c r="D148" s="912"/>
      <c r="E148" s="914">
        <v>12</v>
      </c>
      <c r="F148" s="1198">
        <v>147845.47</v>
      </c>
      <c r="G148" s="1199" t="s">
        <v>4524</v>
      </c>
      <c r="H148" s="1199" t="s">
        <v>4525</v>
      </c>
      <c r="I148" s="1185"/>
      <c r="J148" s="1185"/>
      <c r="K148" s="1185"/>
      <c r="L148" s="1185"/>
      <c r="M148" s="1185"/>
      <c r="N148" s="1185"/>
    </row>
    <row r="149" spans="1:14" ht="48" x14ac:dyDescent="0.2">
      <c r="A149" s="1196" t="s">
        <v>4526</v>
      </c>
      <c r="B149" s="912"/>
      <c r="C149" s="1197" t="s">
        <v>4527</v>
      </c>
      <c r="D149" s="912"/>
      <c r="E149" s="914">
        <v>80</v>
      </c>
      <c r="F149" s="1198">
        <v>313560</v>
      </c>
      <c r="G149" s="1199" t="s">
        <v>4528</v>
      </c>
      <c r="H149" s="1199" t="s">
        <v>4179</v>
      </c>
      <c r="I149" s="1185"/>
      <c r="J149" s="1185"/>
      <c r="K149" s="1185"/>
      <c r="L149" s="1185"/>
      <c r="M149" s="1185"/>
      <c r="N149" s="1185"/>
    </row>
    <row r="150" spans="1:14" ht="48" x14ac:dyDescent="0.2">
      <c r="A150" s="1196" t="s">
        <v>4529</v>
      </c>
      <c r="B150" s="912"/>
      <c r="C150" s="1197" t="s">
        <v>4530</v>
      </c>
      <c r="D150" s="912"/>
      <c r="E150" s="914">
        <v>9</v>
      </c>
      <c r="F150" s="1198">
        <v>90491.27</v>
      </c>
      <c r="G150" s="1199" t="s">
        <v>4531</v>
      </c>
      <c r="H150" s="1199" t="s">
        <v>4532</v>
      </c>
      <c r="I150" s="1185"/>
      <c r="J150" s="1185"/>
      <c r="K150" s="1185"/>
      <c r="L150" s="1185"/>
      <c r="M150" s="1185"/>
      <c r="N150" s="1185"/>
    </row>
    <row r="151" spans="1:14" ht="48" x14ac:dyDescent="0.2">
      <c r="A151" s="1196" t="s">
        <v>4533</v>
      </c>
      <c r="B151" s="912"/>
      <c r="C151" s="1197" t="s">
        <v>4534</v>
      </c>
      <c r="D151" s="912"/>
      <c r="E151" s="914">
        <v>5</v>
      </c>
      <c r="F151" s="1198">
        <v>92136</v>
      </c>
      <c r="G151" s="1199" t="s">
        <v>4535</v>
      </c>
      <c r="H151" s="1199" t="s">
        <v>4536</v>
      </c>
      <c r="I151" s="1201"/>
      <c r="J151" s="1201"/>
      <c r="K151" s="1201"/>
      <c r="L151" s="1201"/>
      <c r="M151" s="1201"/>
      <c r="N151" s="1201"/>
    </row>
    <row r="152" spans="1:14" ht="60" x14ac:dyDescent="0.2">
      <c r="A152" s="1196" t="s">
        <v>4537</v>
      </c>
      <c r="B152" s="912"/>
      <c r="C152" s="1197" t="s">
        <v>4538</v>
      </c>
      <c r="D152" s="912"/>
      <c r="E152" s="914">
        <v>6</v>
      </c>
      <c r="F152" s="1198">
        <v>305102.57</v>
      </c>
      <c r="G152" s="1199" t="s">
        <v>4539</v>
      </c>
      <c r="H152" s="1199" t="s">
        <v>4540</v>
      </c>
      <c r="I152" s="1201"/>
      <c r="J152" s="1201"/>
      <c r="K152" s="1201"/>
      <c r="L152" s="1201"/>
      <c r="M152" s="1201"/>
      <c r="N152" s="1201"/>
    </row>
    <row r="153" spans="1:14" ht="48" x14ac:dyDescent="0.2">
      <c r="A153" s="1196" t="s">
        <v>4541</v>
      </c>
      <c r="B153" s="912"/>
      <c r="C153" s="1197" t="s">
        <v>4542</v>
      </c>
      <c r="D153" s="912"/>
      <c r="E153" s="914">
        <v>5</v>
      </c>
      <c r="F153" s="1198">
        <v>284271</v>
      </c>
      <c r="G153" s="1199" t="s">
        <v>4543</v>
      </c>
      <c r="H153" s="1199" t="s">
        <v>4544</v>
      </c>
      <c r="I153" s="1185"/>
      <c r="J153" s="1185"/>
      <c r="K153" s="1185"/>
      <c r="L153" s="1185"/>
      <c r="M153" s="912"/>
      <c r="N153" s="912"/>
    </row>
    <row r="154" spans="1:14" ht="48" x14ac:dyDescent="0.2">
      <c r="A154" s="1196" t="s">
        <v>4545</v>
      </c>
      <c r="B154" s="912"/>
      <c r="C154" s="1197" t="s">
        <v>4546</v>
      </c>
      <c r="D154" s="912"/>
      <c r="E154" s="914">
        <v>4</v>
      </c>
      <c r="F154" s="1198">
        <v>81425</v>
      </c>
      <c r="G154" s="1199" t="s">
        <v>4547</v>
      </c>
      <c r="H154" s="1199" t="s">
        <v>4532</v>
      </c>
      <c r="I154" s="912"/>
      <c r="J154" s="912"/>
      <c r="K154" s="912"/>
      <c r="L154" s="912"/>
      <c r="M154" s="912"/>
      <c r="N154" s="912"/>
    </row>
    <row r="155" spans="1:14" ht="48" x14ac:dyDescent="0.2">
      <c r="A155" s="1196" t="s">
        <v>4548</v>
      </c>
      <c r="B155" s="912"/>
      <c r="C155" s="1197" t="s">
        <v>4549</v>
      </c>
      <c r="D155" s="912"/>
      <c r="E155" s="914">
        <v>3</v>
      </c>
      <c r="F155" s="1198">
        <v>220320</v>
      </c>
      <c r="G155" s="1199" t="s">
        <v>4550</v>
      </c>
      <c r="H155" s="1199" t="s">
        <v>4150</v>
      </c>
      <c r="I155" s="912"/>
      <c r="J155" s="912"/>
      <c r="K155" s="912"/>
      <c r="L155" s="912"/>
      <c r="M155" s="912"/>
      <c r="N155" s="912"/>
    </row>
    <row r="156" spans="1:14" ht="60" x14ac:dyDescent="0.2">
      <c r="A156" s="1196" t="s">
        <v>4551</v>
      </c>
      <c r="B156" s="1197"/>
      <c r="C156" s="1197" t="s">
        <v>4552</v>
      </c>
      <c r="D156" s="1197"/>
      <c r="E156" s="1197">
        <v>1</v>
      </c>
      <c r="F156" s="1198">
        <v>225000</v>
      </c>
      <c r="G156" s="1197" t="s">
        <v>4553</v>
      </c>
      <c r="H156" s="1197" t="s">
        <v>4554</v>
      </c>
      <c r="I156" s="912"/>
      <c r="J156" s="912"/>
      <c r="K156" s="912"/>
      <c r="L156" s="912"/>
      <c r="M156" s="912"/>
      <c r="N156" s="912"/>
    </row>
    <row r="157" spans="1:14" ht="60" x14ac:dyDescent="0.2">
      <c r="A157" s="1196" t="s">
        <v>4555</v>
      </c>
      <c r="B157" s="912"/>
      <c r="C157" s="1197" t="s">
        <v>4556</v>
      </c>
      <c r="D157" s="912"/>
      <c r="E157" s="914">
        <v>107</v>
      </c>
      <c r="F157" s="1198">
        <v>184500.08</v>
      </c>
      <c r="G157" s="1199" t="s">
        <v>4557</v>
      </c>
      <c r="H157" s="1199" t="s">
        <v>4558</v>
      </c>
      <c r="I157" s="912"/>
      <c r="J157" s="912"/>
      <c r="K157" s="912"/>
      <c r="L157" s="912"/>
      <c r="M157" s="912"/>
      <c r="N157" s="912"/>
    </row>
    <row r="158" spans="1:14" ht="48.75" thickBot="1" x14ac:dyDescent="0.25">
      <c r="A158" s="1196" t="s">
        <v>4559</v>
      </c>
      <c r="B158" s="912"/>
      <c r="C158" s="1197" t="s">
        <v>4560</v>
      </c>
      <c r="D158" s="912"/>
      <c r="E158" s="914">
        <v>73</v>
      </c>
      <c r="F158" s="1198">
        <v>797938.6</v>
      </c>
      <c r="G158" s="1199" t="s">
        <v>4561</v>
      </c>
      <c r="H158" s="1199" t="s">
        <v>4175</v>
      </c>
      <c r="I158" s="912"/>
      <c r="J158" s="912"/>
      <c r="K158" s="912"/>
      <c r="L158" s="912"/>
      <c r="M158" s="912"/>
      <c r="N158" s="912"/>
    </row>
    <row r="159" spans="1:14" ht="12.75" thickBot="1" x14ac:dyDescent="0.25">
      <c r="A159" s="20" t="s">
        <v>0</v>
      </c>
      <c r="B159" s="26"/>
      <c r="C159" s="24"/>
      <c r="D159" s="23"/>
      <c r="E159" s="23"/>
      <c r="F159" s="1204">
        <f>SUM(F7:F158)</f>
        <v>130936202.62999998</v>
      </c>
      <c r="G159" s="24"/>
      <c r="H159" s="24"/>
      <c r="I159" s="24"/>
      <c r="J159" s="24"/>
      <c r="K159" s="24"/>
      <c r="L159" s="24"/>
      <c r="M159" s="24"/>
      <c r="N159" s="24"/>
    </row>
    <row r="160" spans="1:14" x14ac:dyDescent="0.2">
      <c r="A160" s="1" t="s">
        <v>320</v>
      </c>
    </row>
  </sheetData>
  <phoneticPr fontId="13" type="noConversion"/>
  <printOptions horizontalCentered="1"/>
  <pageMargins left="0.25" right="0.25" top="0.75" bottom="0.75" header="0.3" footer="0.3"/>
  <pageSetup paperSize="9" scale="6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328"/>
  <sheetViews>
    <sheetView zoomScaleNormal="100" zoomScaleSheetLayoutView="100" zoomScalePageLayoutView="85" workbookViewId="0">
      <selection activeCell="A12" sqref="A12"/>
    </sheetView>
  </sheetViews>
  <sheetFormatPr baseColWidth="10" defaultColWidth="11.42578125" defaultRowHeight="12" x14ac:dyDescent="0.2"/>
  <cols>
    <col min="1" max="1" width="45.7109375" style="3" customWidth="1"/>
    <col min="2" max="2" width="20.28515625" style="3" customWidth="1"/>
    <col min="3" max="3" width="20.28515625" style="64" customWidth="1"/>
    <col min="4" max="4" width="17.7109375" style="3" customWidth="1"/>
    <col min="5" max="5" width="17.7109375" style="1282" customWidth="1"/>
    <col min="6" max="6" width="17.7109375" style="64" customWidth="1"/>
    <col min="7" max="8" width="17.7109375" style="3" customWidth="1"/>
    <col min="9" max="9" width="17.7109375" style="64" customWidth="1"/>
    <col min="10" max="10" width="36.42578125" style="3" customWidth="1"/>
    <col min="11" max="16384" width="11.42578125" style="3"/>
  </cols>
  <sheetData>
    <row r="1" spans="1:25" s="5" customFormat="1" ht="15.75" customHeight="1" x14ac:dyDescent="0.2">
      <c r="A1" s="86" t="s">
        <v>389</v>
      </c>
      <c r="B1" s="86"/>
      <c r="C1" s="86"/>
      <c r="D1" s="86"/>
      <c r="E1" s="1260"/>
      <c r="F1" s="86"/>
      <c r="G1" s="86"/>
      <c r="H1" s="86"/>
      <c r="I1" s="86"/>
      <c r="J1" s="86"/>
    </row>
    <row r="2" spans="1:25" s="5" customFormat="1" x14ac:dyDescent="0.2">
      <c r="A2" s="86" t="s">
        <v>145</v>
      </c>
      <c r="B2" s="86"/>
      <c r="C2" s="86"/>
      <c r="D2" s="86"/>
      <c r="E2" s="1260"/>
      <c r="F2" s="86"/>
      <c r="G2" s="86"/>
      <c r="H2" s="86"/>
      <c r="I2" s="86"/>
      <c r="J2" s="86"/>
      <c r="K2" s="86"/>
      <c r="L2" s="86"/>
      <c r="M2" s="86"/>
      <c r="N2" s="86"/>
      <c r="O2" s="86"/>
      <c r="P2" s="86"/>
      <c r="Q2" s="86"/>
      <c r="R2" s="86"/>
      <c r="S2" s="86"/>
      <c r="T2" s="86"/>
      <c r="U2" s="86"/>
      <c r="V2" s="86"/>
      <c r="W2" s="86"/>
      <c r="X2" s="86"/>
      <c r="Y2" s="86"/>
    </row>
    <row r="3" spans="1:25" ht="14.25" customHeight="1" thickBot="1" x14ac:dyDescent="0.25">
      <c r="A3" s="8"/>
      <c r="B3" s="8"/>
      <c r="C3" s="8"/>
      <c r="D3" s="10"/>
      <c r="E3" s="1261"/>
      <c r="F3" s="10"/>
      <c r="G3" s="12"/>
    </row>
    <row r="4" spans="1:25" ht="13.5" hidden="1" customHeight="1" x14ac:dyDescent="0.2">
      <c r="A4" s="31" t="s">
        <v>64</v>
      </c>
      <c r="B4" s="32"/>
      <c r="C4" s="32"/>
      <c r="D4" s="19"/>
      <c r="E4" s="1262"/>
      <c r="F4" s="68"/>
      <c r="G4" s="19" t="s">
        <v>25</v>
      </c>
      <c r="H4" s="19" t="s">
        <v>65</v>
      </c>
      <c r="I4" s="66"/>
      <c r="J4" s="27"/>
    </row>
    <row r="5" spans="1:25" ht="36.75" thickBot="1" x14ac:dyDescent="0.25">
      <c r="A5" s="148" t="s">
        <v>71</v>
      </c>
      <c r="B5" s="149" t="s">
        <v>70</v>
      </c>
      <c r="C5" s="149" t="s">
        <v>174</v>
      </c>
      <c r="D5" s="147" t="s">
        <v>175</v>
      </c>
      <c r="E5" s="1263" t="s">
        <v>2</v>
      </c>
      <c r="F5" s="147" t="s">
        <v>173</v>
      </c>
      <c r="G5" s="149" t="s">
        <v>73</v>
      </c>
      <c r="H5" s="147" t="s">
        <v>146</v>
      </c>
      <c r="I5" s="147" t="s">
        <v>151</v>
      </c>
      <c r="J5" s="147" t="s">
        <v>72</v>
      </c>
    </row>
    <row r="6" spans="1:25" ht="12.75" thickBot="1" x14ac:dyDescent="0.25">
      <c r="A6" s="1182" t="s">
        <v>4562</v>
      </c>
      <c r="B6" s="1187"/>
      <c r="C6" s="1194"/>
      <c r="D6" s="1194"/>
      <c r="E6" s="1205"/>
      <c r="F6" s="1187"/>
      <c r="G6" s="1188"/>
      <c r="H6" s="1188"/>
      <c r="I6" s="1188"/>
      <c r="J6" s="1188"/>
      <c r="K6" s="69" t="s">
        <v>0</v>
      </c>
      <c r="L6" s="26"/>
      <c r="M6" s="22"/>
      <c r="N6" s="67"/>
      <c r="O6" s="65"/>
      <c r="P6" s="65"/>
      <c r="Q6" s="24"/>
      <c r="R6" s="23"/>
      <c r="S6" s="23"/>
      <c r="T6" s="24"/>
    </row>
    <row r="7" spans="1:25" x14ac:dyDescent="0.2">
      <c r="A7" s="1182" t="s">
        <v>836</v>
      </c>
      <c r="B7" s="1187"/>
      <c r="C7" s="1194"/>
      <c r="D7" s="1194"/>
      <c r="E7" s="1205"/>
      <c r="F7" s="1187"/>
      <c r="G7" s="1188"/>
      <c r="H7" s="1188"/>
      <c r="I7" s="1188"/>
      <c r="J7" s="1188"/>
    </row>
    <row r="8" spans="1:25" x14ac:dyDescent="0.2">
      <c r="A8" s="1187" t="s">
        <v>4563</v>
      </c>
      <c r="B8" s="1187" t="s">
        <v>4564</v>
      </c>
      <c r="C8" s="1187" t="s">
        <v>4565</v>
      </c>
      <c r="D8" s="1187" t="s">
        <v>4566</v>
      </c>
      <c r="E8" s="1264">
        <v>62913.84</v>
      </c>
      <c r="F8" s="1187" t="s">
        <v>4567</v>
      </c>
      <c r="G8" s="1188" t="s">
        <v>4568</v>
      </c>
      <c r="H8" s="1206">
        <v>44046</v>
      </c>
      <c r="I8" s="1207">
        <v>44409</v>
      </c>
      <c r="J8" s="1188" t="s">
        <v>4569</v>
      </c>
    </row>
    <row r="9" spans="1:25" x14ac:dyDescent="0.2">
      <c r="A9" s="1187" t="s">
        <v>4570</v>
      </c>
      <c r="B9" s="1187" t="s">
        <v>4030</v>
      </c>
      <c r="C9" s="1187" t="s">
        <v>4565</v>
      </c>
      <c r="D9" s="1187" t="s">
        <v>4571</v>
      </c>
      <c r="E9" s="1264">
        <v>40000</v>
      </c>
      <c r="F9" s="1187" t="s">
        <v>4572</v>
      </c>
      <c r="G9" s="1188" t="s">
        <v>4573</v>
      </c>
      <c r="H9" s="1206">
        <v>43861</v>
      </c>
      <c r="I9" s="1188" t="s">
        <v>4574</v>
      </c>
      <c r="J9" s="1188" t="s">
        <v>4569</v>
      </c>
    </row>
    <row r="10" spans="1:25" x14ac:dyDescent="0.2">
      <c r="A10" s="1187" t="s">
        <v>4575</v>
      </c>
      <c r="B10" s="1187" t="s">
        <v>4576</v>
      </c>
      <c r="C10" s="1187" t="s">
        <v>4565</v>
      </c>
      <c r="D10" s="1187" t="s">
        <v>4577</v>
      </c>
      <c r="E10" s="1264">
        <v>135828</v>
      </c>
      <c r="F10" s="1187" t="s">
        <v>4578</v>
      </c>
      <c r="G10" s="1188" t="s">
        <v>4573</v>
      </c>
      <c r="H10" s="1206">
        <v>44075</v>
      </c>
      <c r="I10" s="1188" t="s">
        <v>4579</v>
      </c>
      <c r="J10" s="1188" t="s">
        <v>4580</v>
      </c>
    </row>
    <row r="11" spans="1:25" ht="24" x14ac:dyDescent="0.2">
      <c r="A11" s="1187" t="s">
        <v>4581</v>
      </c>
      <c r="B11" s="1187" t="s">
        <v>4582</v>
      </c>
      <c r="C11" s="1187" t="s">
        <v>4565</v>
      </c>
      <c r="D11" s="1187" t="s">
        <v>4583</v>
      </c>
      <c r="E11" s="1264">
        <v>60626.51</v>
      </c>
      <c r="F11" s="1187" t="s">
        <v>4584</v>
      </c>
      <c r="G11" s="1188" t="s">
        <v>4573</v>
      </c>
      <c r="H11" s="1206">
        <v>44169</v>
      </c>
      <c r="I11" s="1188" t="s">
        <v>4585</v>
      </c>
      <c r="J11" s="1208" t="s">
        <v>4586</v>
      </c>
    </row>
    <row r="12" spans="1:25" ht="24" x14ac:dyDescent="0.2">
      <c r="A12" s="1187" t="s">
        <v>4587</v>
      </c>
      <c r="B12" s="1187" t="s">
        <v>4582</v>
      </c>
      <c r="C12" s="1187" t="s">
        <v>4565</v>
      </c>
      <c r="D12" s="1187" t="s">
        <v>4588</v>
      </c>
      <c r="E12" s="1264">
        <v>68511.740000000005</v>
      </c>
      <c r="F12" s="1187" t="s">
        <v>4589</v>
      </c>
      <c r="G12" s="1188" t="s">
        <v>4573</v>
      </c>
      <c r="H12" s="1206">
        <v>44168</v>
      </c>
      <c r="I12" s="1188" t="s">
        <v>4590</v>
      </c>
      <c r="J12" s="1208" t="s">
        <v>4586</v>
      </c>
    </row>
    <row r="13" spans="1:25" ht="24" x14ac:dyDescent="0.2">
      <c r="A13" s="1187" t="s">
        <v>4591</v>
      </c>
      <c r="B13" s="1187" t="s">
        <v>4582</v>
      </c>
      <c r="C13" s="1187" t="s">
        <v>4565</v>
      </c>
      <c r="D13" s="1187" t="s">
        <v>4592</v>
      </c>
      <c r="E13" s="1264">
        <v>62149.94</v>
      </c>
      <c r="F13" s="1188" t="s">
        <v>4593</v>
      </c>
      <c r="G13" s="1188" t="s">
        <v>4573</v>
      </c>
      <c r="H13" s="1206">
        <v>44176</v>
      </c>
      <c r="I13" s="1188" t="s">
        <v>4594</v>
      </c>
      <c r="J13" s="1208" t="s">
        <v>4586</v>
      </c>
    </row>
    <row r="14" spans="1:25" ht="24" x14ac:dyDescent="0.2">
      <c r="A14" s="1187" t="s">
        <v>4595</v>
      </c>
      <c r="B14" s="1187" t="s">
        <v>4582</v>
      </c>
      <c r="C14" s="1187" t="s">
        <v>4565</v>
      </c>
      <c r="D14" s="1187" t="s">
        <v>4596</v>
      </c>
      <c r="E14" s="1264">
        <v>54156.9</v>
      </c>
      <c r="F14" s="1187" t="s">
        <v>4597</v>
      </c>
      <c r="G14" s="1188" t="s">
        <v>4573</v>
      </c>
      <c r="H14" s="1206">
        <v>44168</v>
      </c>
      <c r="I14" s="1188" t="s">
        <v>4598</v>
      </c>
      <c r="J14" s="1208" t="s">
        <v>4586</v>
      </c>
    </row>
    <row r="15" spans="1:25" ht="24" x14ac:dyDescent="0.2">
      <c r="A15" s="1187" t="s">
        <v>4599</v>
      </c>
      <c r="B15" s="1187" t="s">
        <v>4582</v>
      </c>
      <c r="C15" s="1187" t="s">
        <v>4565</v>
      </c>
      <c r="D15" s="1187" t="s">
        <v>4600</v>
      </c>
      <c r="E15" s="1264"/>
      <c r="F15" s="1187"/>
      <c r="G15" s="1188"/>
      <c r="H15" s="1194"/>
      <c r="I15" s="1188"/>
      <c r="J15" s="1208" t="s">
        <v>4586</v>
      </c>
    </row>
    <row r="16" spans="1:25" ht="24" x14ac:dyDescent="0.2">
      <c r="A16" s="1187" t="s">
        <v>4601</v>
      </c>
      <c r="B16" s="1187" t="s">
        <v>4582</v>
      </c>
      <c r="C16" s="1187" t="s">
        <v>4565</v>
      </c>
      <c r="D16" s="1187" t="s">
        <v>4602</v>
      </c>
      <c r="E16" s="1264">
        <v>50486.63</v>
      </c>
      <c r="F16" s="1187" t="s">
        <v>4603</v>
      </c>
      <c r="G16" s="1188" t="s">
        <v>4573</v>
      </c>
      <c r="H16" s="1206">
        <v>44168</v>
      </c>
      <c r="I16" s="1188" t="s">
        <v>4598</v>
      </c>
      <c r="J16" s="1208" t="s">
        <v>4586</v>
      </c>
    </row>
    <row r="17" spans="1:10" ht="24" x14ac:dyDescent="0.2">
      <c r="A17" s="1187" t="s">
        <v>4604</v>
      </c>
      <c r="B17" s="1187" t="s">
        <v>4582</v>
      </c>
      <c r="C17" s="1187" t="s">
        <v>4565</v>
      </c>
      <c r="D17" s="1187" t="s">
        <v>4605</v>
      </c>
      <c r="E17" s="1264">
        <v>67696.13</v>
      </c>
      <c r="F17" s="1187" t="s">
        <v>4603</v>
      </c>
      <c r="G17" s="1188" t="s">
        <v>4573</v>
      </c>
      <c r="H17" s="1206">
        <v>44169</v>
      </c>
      <c r="I17" s="1188" t="s">
        <v>4585</v>
      </c>
      <c r="J17" s="1208" t="s">
        <v>4586</v>
      </c>
    </row>
    <row r="18" spans="1:10" ht="24" x14ac:dyDescent="0.2">
      <c r="A18" s="1187" t="s">
        <v>4606</v>
      </c>
      <c r="B18" s="1187" t="s">
        <v>4607</v>
      </c>
      <c r="C18" s="1187" t="s">
        <v>4565</v>
      </c>
      <c r="D18" s="1187" t="s">
        <v>4608</v>
      </c>
      <c r="E18" s="1264">
        <v>62395.98</v>
      </c>
      <c r="F18" s="1187" t="s">
        <v>4609</v>
      </c>
      <c r="G18" s="1188" t="s">
        <v>4610</v>
      </c>
      <c r="H18" s="1206">
        <v>44186</v>
      </c>
      <c r="I18" s="1188"/>
      <c r="J18" s="1208" t="s">
        <v>4611</v>
      </c>
    </row>
    <row r="19" spans="1:10" x14ac:dyDescent="0.2">
      <c r="A19" s="1187" t="s">
        <v>4612</v>
      </c>
      <c r="B19" s="1187" t="s">
        <v>4607</v>
      </c>
      <c r="C19" s="1187" t="s">
        <v>4565</v>
      </c>
      <c r="D19" s="1187" t="s">
        <v>4613</v>
      </c>
      <c r="E19" s="1264">
        <v>60790.22</v>
      </c>
      <c r="F19" s="1187" t="s">
        <v>4614</v>
      </c>
      <c r="G19" s="1188" t="s">
        <v>4573</v>
      </c>
      <c r="H19" s="1206">
        <v>44549</v>
      </c>
      <c r="I19" s="1190">
        <v>44188</v>
      </c>
      <c r="J19" s="1208" t="s">
        <v>4615</v>
      </c>
    </row>
    <row r="20" spans="1:10" x14ac:dyDescent="0.2">
      <c r="A20" s="1187" t="s">
        <v>4616</v>
      </c>
      <c r="B20" s="1187" t="s">
        <v>4617</v>
      </c>
      <c r="C20" s="1187" t="s">
        <v>4565</v>
      </c>
      <c r="D20" s="1187" t="s">
        <v>4618</v>
      </c>
      <c r="E20" s="1264">
        <v>55800</v>
      </c>
      <c r="F20" s="1187" t="s">
        <v>4619</v>
      </c>
      <c r="G20" s="1188" t="s">
        <v>4573</v>
      </c>
      <c r="H20" s="1206">
        <v>44186</v>
      </c>
      <c r="I20" s="1190">
        <v>44188</v>
      </c>
      <c r="J20" s="1208" t="s">
        <v>4615</v>
      </c>
    </row>
    <row r="21" spans="1:10" x14ac:dyDescent="0.2">
      <c r="A21" s="1182" t="s">
        <v>636</v>
      </c>
      <c r="B21" s="1187"/>
      <c r="C21" s="1194"/>
      <c r="D21" s="1194"/>
      <c r="E21" s="1264"/>
      <c r="F21" s="1187"/>
      <c r="G21" s="1188"/>
      <c r="H21" s="1188"/>
      <c r="I21" s="1188"/>
      <c r="J21" s="1188"/>
    </row>
    <row r="22" spans="1:10" x14ac:dyDescent="0.2">
      <c r="A22" s="1187" t="s">
        <v>4620</v>
      </c>
      <c r="B22" s="1194" t="s">
        <v>4621</v>
      </c>
      <c r="C22" s="1194" t="s">
        <v>4622</v>
      </c>
      <c r="D22" s="1194">
        <v>1</v>
      </c>
      <c r="E22" s="1264">
        <v>178952</v>
      </c>
      <c r="F22" s="1187" t="s">
        <v>4623</v>
      </c>
      <c r="G22" s="1200" t="s">
        <v>4624</v>
      </c>
      <c r="H22" s="1209">
        <v>43902</v>
      </c>
      <c r="I22" s="1194" t="s">
        <v>4625</v>
      </c>
      <c r="J22" s="1194" t="s">
        <v>4626</v>
      </c>
    </row>
    <row r="23" spans="1:10" x14ac:dyDescent="0.2">
      <c r="A23" s="1187" t="s">
        <v>4627</v>
      </c>
      <c r="B23" s="1194" t="s">
        <v>4621</v>
      </c>
      <c r="C23" s="1194" t="s">
        <v>4622</v>
      </c>
      <c r="D23" s="1194">
        <v>2</v>
      </c>
      <c r="E23" s="1264">
        <v>208424</v>
      </c>
      <c r="F23" s="1187" t="s">
        <v>4623</v>
      </c>
      <c r="G23" s="1200" t="s">
        <v>4624</v>
      </c>
      <c r="H23" s="1209">
        <v>43902</v>
      </c>
      <c r="I23" s="1194" t="s">
        <v>4625</v>
      </c>
      <c r="J23" s="1194" t="s">
        <v>4626</v>
      </c>
    </row>
    <row r="24" spans="1:10" x14ac:dyDescent="0.2">
      <c r="A24" s="1187" t="s">
        <v>4628</v>
      </c>
      <c r="B24" s="1194" t="s">
        <v>4621</v>
      </c>
      <c r="C24" s="1194" t="s">
        <v>4622</v>
      </c>
      <c r="D24" s="1194">
        <v>3</v>
      </c>
      <c r="E24" s="1264">
        <v>111550</v>
      </c>
      <c r="F24" s="1187" t="s">
        <v>4629</v>
      </c>
      <c r="G24" s="1200" t="s">
        <v>4624</v>
      </c>
      <c r="H24" s="1209">
        <v>43902</v>
      </c>
      <c r="I24" s="1194" t="s">
        <v>4625</v>
      </c>
      <c r="J24" s="1194" t="s">
        <v>4626</v>
      </c>
    </row>
    <row r="25" spans="1:10" x14ac:dyDescent="0.2">
      <c r="A25" s="1187" t="s">
        <v>4630</v>
      </c>
      <c r="B25" s="1194" t="s">
        <v>4621</v>
      </c>
      <c r="C25" s="1194" t="s">
        <v>4622</v>
      </c>
      <c r="D25" s="1194">
        <v>4</v>
      </c>
      <c r="E25" s="1264">
        <v>92160</v>
      </c>
      <c r="F25" s="1187" t="s">
        <v>4631</v>
      </c>
      <c r="G25" s="1200" t="s">
        <v>4624</v>
      </c>
      <c r="H25" s="1209">
        <v>43899</v>
      </c>
      <c r="I25" s="1194" t="s">
        <v>4625</v>
      </c>
      <c r="J25" s="1194" t="s">
        <v>4626</v>
      </c>
    </row>
    <row r="26" spans="1:10" x14ac:dyDescent="0.2">
      <c r="A26" s="1187" t="s">
        <v>4632</v>
      </c>
      <c r="B26" s="1194" t="s">
        <v>4621</v>
      </c>
      <c r="C26" s="1194" t="s">
        <v>4622</v>
      </c>
      <c r="D26" s="1194">
        <v>5</v>
      </c>
      <c r="E26" s="1264">
        <v>149058</v>
      </c>
      <c r="F26" s="1187" t="s">
        <v>4629</v>
      </c>
      <c r="G26" s="1200" t="s">
        <v>4624</v>
      </c>
      <c r="H26" s="1209">
        <v>43906</v>
      </c>
      <c r="I26" s="1194" t="s">
        <v>4633</v>
      </c>
      <c r="J26" s="1194" t="s">
        <v>4626</v>
      </c>
    </row>
    <row r="27" spans="1:10" x14ac:dyDescent="0.2">
      <c r="A27" s="1187" t="s">
        <v>4634</v>
      </c>
      <c r="B27" s="1194" t="s">
        <v>4621</v>
      </c>
      <c r="C27" s="1194" t="s">
        <v>4622</v>
      </c>
      <c r="D27" s="1194">
        <v>6</v>
      </c>
      <c r="E27" s="1264">
        <v>38180.800000000003</v>
      </c>
      <c r="F27" s="1187" t="s">
        <v>4629</v>
      </c>
      <c r="G27" s="1200" t="s">
        <v>4624</v>
      </c>
      <c r="H27" s="1209">
        <v>43899</v>
      </c>
      <c r="I27" s="1194" t="s">
        <v>4633</v>
      </c>
      <c r="J27" s="1194" t="s">
        <v>4626</v>
      </c>
    </row>
    <row r="28" spans="1:10" x14ac:dyDescent="0.2">
      <c r="A28" s="1433" t="s">
        <v>4635</v>
      </c>
      <c r="B28" s="1434" t="s">
        <v>4621</v>
      </c>
      <c r="C28" s="1194" t="s">
        <v>4622</v>
      </c>
      <c r="D28" s="1434">
        <v>7</v>
      </c>
      <c r="E28" s="1435">
        <v>199500</v>
      </c>
      <c r="F28" s="1187" t="s">
        <v>4636</v>
      </c>
      <c r="G28" s="1200" t="s">
        <v>4624</v>
      </c>
      <c r="H28" s="1209">
        <v>43899</v>
      </c>
      <c r="I28" s="1194" t="s">
        <v>4633</v>
      </c>
      <c r="J28" s="1194" t="s">
        <v>4626</v>
      </c>
    </row>
    <row r="29" spans="1:10" x14ac:dyDescent="0.2">
      <c r="A29" s="1433"/>
      <c r="B29" s="1434"/>
      <c r="C29" s="1194" t="s">
        <v>4622</v>
      </c>
      <c r="D29" s="1434"/>
      <c r="E29" s="1435"/>
      <c r="F29" s="1187" t="s">
        <v>4637</v>
      </c>
      <c r="G29" s="1200" t="s">
        <v>4624</v>
      </c>
      <c r="H29" s="1209">
        <v>43899</v>
      </c>
      <c r="I29" s="1194" t="s">
        <v>4633</v>
      </c>
      <c r="J29" s="1194" t="s">
        <v>4626</v>
      </c>
    </row>
    <row r="30" spans="1:10" x14ac:dyDescent="0.2">
      <c r="A30" s="1187" t="s">
        <v>4638</v>
      </c>
      <c r="B30" s="1194" t="s">
        <v>4621</v>
      </c>
      <c r="C30" s="1194" t="s">
        <v>4622</v>
      </c>
      <c r="D30" s="1194">
        <v>8</v>
      </c>
      <c r="E30" s="1264">
        <v>187824</v>
      </c>
      <c r="F30" s="1187" t="s">
        <v>4637</v>
      </c>
      <c r="G30" s="1200" t="s">
        <v>4624</v>
      </c>
      <c r="H30" s="1209">
        <v>43899</v>
      </c>
      <c r="I30" s="1194" t="s">
        <v>4633</v>
      </c>
      <c r="J30" s="1194" t="s">
        <v>4626</v>
      </c>
    </row>
    <row r="31" spans="1:10" x14ac:dyDescent="0.2">
      <c r="A31" s="1187" t="s">
        <v>4639</v>
      </c>
      <c r="B31" s="1194" t="s">
        <v>4621</v>
      </c>
      <c r="C31" s="1194" t="s">
        <v>4622</v>
      </c>
      <c r="D31" s="1194">
        <v>9</v>
      </c>
      <c r="E31" s="1264"/>
      <c r="F31" s="1187"/>
      <c r="G31" s="1200" t="s">
        <v>4624</v>
      </c>
      <c r="H31" s="1209">
        <v>43899</v>
      </c>
      <c r="I31" s="1194" t="s">
        <v>4633</v>
      </c>
      <c r="J31" s="1194" t="s">
        <v>4626</v>
      </c>
    </row>
    <row r="32" spans="1:10" x14ac:dyDescent="0.2">
      <c r="A32" s="1187" t="s">
        <v>4640</v>
      </c>
      <c r="B32" s="1194" t="s">
        <v>4621</v>
      </c>
      <c r="C32" s="1194" t="s">
        <v>4622</v>
      </c>
      <c r="D32" s="1194" t="s">
        <v>4641</v>
      </c>
      <c r="E32" s="1264">
        <v>78975</v>
      </c>
      <c r="F32" s="1187" t="s">
        <v>4642</v>
      </c>
      <c r="G32" s="1200" t="s">
        <v>4624</v>
      </c>
      <c r="H32" s="1209">
        <v>43899</v>
      </c>
      <c r="I32" s="1194" t="s">
        <v>4633</v>
      </c>
      <c r="J32" s="1194" t="s">
        <v>4626</v>
      </c>
    </row>
    <row r="33" spans="1:10" x14ac:dyDescent="0.2">
      <c r="A33" s="1187" t="s">
        <v>4643</v>
      </c>
      <c r="B33" s="1194" t="s">
        <v>4621</v>
      </c>
      <c r="C33" s="1194" t="s">
        <v>4622</v>
      </c>
      <c r="D33" s="1194" t="s">
        <v>4644</v>
      </c>
      <c r="E33" s="1264">
        <v>263748</v>
      </c>
      <c r="F33" s="1187" t="s">
        <v>4645</v>
      </c>
      <c r="G33" s="1200" t="s">
        <v>4624</v>
      </c>
      <c r="H33" s="1209">
        <v>43899</v>
      </c>
      <c r="I33" s="1194" t="s">
        <v>4633</v>
      </c>
      <c r="J33" s="1194" t="s">
        <v>4626</v>
      </c>
    </row>
    <row r="34" spans="1:10" x14ac:dyDescent="0.2">
      <c r="A34" s="1187" t="s">
        <v>4646</v>
      </c>
      <c r="B34" s="1194" t="s">
        <v>4621</v>
      </c>
      <c r="C34" s="1194" t="s">
        <v>4622</v>
      </c>
      <c r="D34" s="1194" t="s">
        <v>4641</v>
      </c>
      <c r="E34" s="1264">
        <v>63684.6</v>
      </c>
      <c r="F34" s="1187" t="s">
        <v>4647</v>
      </c>
      <c r="G34" s="1200" t="s">
        <v>4624</v>
      </c>
      <c r="H34" s="1209">
        <v>43899</v>
      </c>
      <c r="I34" s="1194" t="s">
        <v>4633</v>
      </c>
      <c r="J34" s="1194" t="s">
        <v>4626</v>
      </c>
    </row>
    <row r="35" spans="1:10" x14ac:dyDescent="0.2">
      <c r="A35" s="1187" t="s">
        <v>4648</v>
      </c>
      <c r="B35" s="1194" t="s">
        <v>4621</v>
      </c>
      <c r="C35" s="1194" t="s">
        <v>4622</v>
      </c>
      <c r="D35" s="1194" t="s">
        <v>4644</v>
      </c>
      <c r="E35" s="1264">
        <v>100320.4</v>
      </c>
      <c r="F35" s="1187" t="s">
        <v>4647</v>
      </c>
      <c r="G35" s="1200" t="s">
        <v>4624</v>
      </c>
      <c r="H35" s="1209">
        <v>43899</v>
      </c>
      <c r="I35" s="1194" t="s">
        <v>4633</v>
      </c>
      <c r="J35" s="1194" t="s">
        <v>4626</v>
      </c>
    </row>
    <row r="36" spans="1:10" x14ac:dyDescent="0.2">
      <c r="A36" s="1187" t="s">
        <v>4649</v>
      </c>
      <c r="B36" s="1194" t="s">
        <v>4621</v>
      </c>
      <c r="C36" s="1194" t="s">
        <v>4622</v>
      </c>
      <c r="D36" s="1194" t="s">
        <v>4650</v>
      </c>
      <c r="E36" s="1264">
        <v>61062</v>
      </c>
      <c r="F36" s="1187" t="s">
        <v>4647</v>
      </c>
      <c r="G36" s="1200" t="s">
        <v>4624</v>
      </c>
      <c r="H36" s="1209">
        <v>43899</v>
      </c>
      <c r="I36" s="1194" t="s">
        <v>4633</v>
      </c>
      <c r="J36" s="1194" t="s">
        <v>4626</v>
      </c>
    </row>
    <row r="37" spans="1:10" x14ac:dyDescent="0.2">
      <c r="A37" s="1187" t="s">
        <v>4651</v>
      </c>
      <c r="B37" s="1194" t="s">
        <v>4621</v>
      </c>
      <c r="C37" s="1194" t="s">
        <v>4622</v>
      </c>
      <c r="D37" s="1194">
        <v>11</v>
      </c>
      <c r="E37" s="1264">
        <v>90666.2</v>
      </c>
      <c r="F37" s="1187" t="s">
        <v>4642</v>
      </c>
      <c r="G37" s="1200" t="s">
        <v>4624</v>
      </c>
      <c r="H37" s="1209">
        <v>43899</v>
      </c>
      <c r="I37" s="1194" t="s">
        <v>4633</v>
      </c>
      <c r="J37" s="1194" t="s">
        <v>4626</v>
      </c>
    </row>
    <row r="38" spans="1:10" x14ac:dyDescent="0.2">
      <c r="A38" s="1187" t="s">
        <v>4652</v>
      </c>
      <c r="B38" s="1194" t="s">
        <v>4653</v>
      </c>
      <c r="C38" s="1194" t="s">
        <v>4622</v>
      </c>
      <c r="D38" s="1194">
        <v>12</v>
      </c>
      <c r="E38" s="1264">
        <v>95000</v>
      </c>
      <c r="F38" s="1187" t="s">
        <v>4654</v>
      </c>
      <c r="G38" s="1200" t="s">
        <v>4624</v>
      </c>
      <c r="H38" s="1209">
        <v>43899</v>
      </c>
      <c r="I38" s="1194" t="s">
        <v>4633</v>
      </c>
      <c r="J38" s="1194" t="s">
        <v>4626</v>
      </c>
    </row>
    <row r="39" spans="1:10" x14ac:dyDescent="0.2">
      <c r="A39" s="1187" t="s">
        <v>4655</v>
      </c>
      <c r="B39" s="1194" t="s">
        <v>4621</v>
      </c>
      <c r="C39" s="1194" t="s">
        <v>4622</v>
      </c>
      <c r="D39" s="1194" t="s">
        <v>4641</v>
      </c>
      <c r="E39" s="1264">
        <v>73455.679999999993</v>
      </c>
      <c r="F39" s="1187" t="s">
        <v>4656</v>
      </c>
      <c r="G39" s="1200" t="s">
        <v>4624</v>
      </c>
      <c r="H39" s="1209">
        <v>43899</v>
      </c>
      <c r="I39" s="1194" t="s">
        <v>4633</v>
      </c>
      <c r="J39" s="1194" t="s">
        <v>4626</v>
      </c>
    </row>
    <row r="40" spans="1:10" x14ac:dyDescent="0.2">
      <c r="A40" s="1187" t="s">
        <v>4657</v>
      </c>
      <c r="B40" s="1194" t="s">
        <v>4621</v>
      </c>
      <c r="C40" s="1194" t="s">
        <v>4622</v>
      </c>
      <c r="D40" s="1194" t="s">
        <v>4644</v>
      </c>
      <c r="E40" s="1264">
        <v>49194</v>
      </c>
      <c r="F40" s="1187" t="s">
        <v>4658</v>
      </c>
      <c r="G40" s="1200" t="s">
        <v>4624</v>
      </c>
      <c r="H40" s="1209">
        <v>43899</v>
      </c>
      <c r="I40" s="1194" t="s">
        <v>4633</v>
      </c>
      <c r="J40" s="1194" t="s">
        <v>4626</v>
      </c>
    </row>
    <row r="41" spans="1:10" x14ac:dyDescent="0.2">
      <c r="A41" s="1187" t="s">
        <v>4659</v>
      </c>
      <c r="B41" s="1194" t="s">
        <v>4621</v>
      </c>
      <c r="C41" s="1194" t="s">
        <v>4622</v>
      </c>
      <c r="D41" s="1194" t="s">
        <v>4644</v>
      </c>
      <c r="E41" s="1264">
        <v>40622.400000000001</v>
      </c>
      <c r="F41" s="1187" t="s">
        <v>4642</v>
      </c>
      <c r="G41" s="1200" t="s">
        <v>4624</v>
      </c>
      <c r="H41" s="1209">
        <v>43899</v>
      </c>
      <c r="I41" s="1194" t="s">
        <v>4633</v>
      </c>
      <c r="J41" s="1194" t="s">
        <v>4626</v>
      </c>
    </row>
    <row r="42" spans="1:10" x14ac:dyDescent="0.2">
      <c r="A42" s="1187" t="s">
        <v>4660</v>
      </c>
      <c r="B42" s="1194" t="s">
        <v>4621</v>
      </c>
      <c r="C42" s="1194" t="s">
        <v>4622</v>
      </c>
      <c r="D42" s="1194" t="s">
        <v>4641</v>
      </c>
      <c r="E42" s="1264">
        <v>185129.5</v>
      </c>
      <c r="F42" s="1187" t="s">
        <v>4642</v>
      </c>
      <c r="G42" s="1200" t="s">
        <v>4624</v>
      </c>
      <c r="H42" s="1209">
        <v>43899</v>
      </c>
      <c r="I42" s="1194" t="s">
        <v>4633</v>
      </c>
      <c r="J42" s="1194" t="s">
        <v>4626</v>
      </c>
    </row>
    <row r="43" spans="1:10" x14ac:dyDescent="0.2">
      <c r="A43" s="1187" t="s">
        <v>4661</v>
      </c>
      <c r="B43" s="1194" t="s">
        <v>4621</v>
      </c>
      <c r="C43" s="1194" t="s">
        <v>4622</v>
      </c>
      <c r="D43" s="1194" t="s">
        <v>4644</v>
      </c>
      <c r="E43" s="1264">
        <v>39108.6</v>
      </c>
      <c r="F43" s="1187" t="s">
        <v>4642</v>
      </c>
      <c r="G43" s="1200" t="s">
        <v>4624</v>
      </c>
      <c r="H43" s="1209">
        <v>43899</v>
      </c>
      <c r="I43" s="1194" t="s">
        <v>4633</v>
      </c>
      <c r="J43" s="1194" t="s">
        <v>4626</v>
      </c>
    </row>
    <row r="44" spans="1:10" x14ac:dyDescent="0.2">
      <c r="A44" s="1187" t="s">
        <v>4662</v>
      </c>
      <c r="B44" s="1194" t="s">
        <v>4621</v>
      </c>
      <c r="C44" s="1194" t="s">
        <v>4622</v>
      </c>
      <c r="D44" s="1194">
        <v>16</v>
      </c>
      <c r="E44" s="1264">
        <v>50000</v>
      </c>
      <c r="F44" s="1187" t="s">
        <v>4663</v>
      </c>
      <c r="G44" s="1200" t="s">
        <v>4624</v>
      </c>
      <c r="H44" s="1209">
        <v>44004</v>
      </c>
      <c r="I44" s="1194" t="s">
        <v>4664</v>
      </c>
      <c r="J44" s="1194" t="s">
        <v>4626</v>
      </c>
    </row>
    <row r="45" spans="1:10" x14ac:dyDescent="0.2">
      <c r="A45" s="1187" t="s">
        <v>4665</v>
      </c>
      <c r="B45" s="1194" t="s">
        <v>4621</v>
      </c>
      <c r="C45" s="1194" t="s">
        <v>4622</v>
      </c>
      <c r="D45" s="1194">
        <v>18</v>
      </c>
      <c r="E45" s="1264">
        <v>223440</v>
      </c>
      <c r="F45" s="1187" t="s">
        <v>4666</v>
      </c>
      <c r="G45" s="1200" t="s">
        <v>4624</v>
      </c>
      <c r="H45" s="1209">
        <v>43921</v>
      </c>
      <c r="I45" s="1194" t="s">
        <v>4664</v>
      </c>
      <c r="J45" s="1194" t="s">
        <v>4626</v>
      </c>
    </row>
    <row r="46" spans="1:10" x14ac:dyDescent="0.2">
      <c r="A46" s="1182" t="s">
        <v>4667</v>
      </c>
      <c r="B46" s="1187"/>
      <c r="C46" s="1194"/>
      <c r="D46" s="1194"/>
      <c r="E46" s="1264"/>
      <c r="F46" s="1187"/>
      <c r="G46" s="1188"/>
      <c r="H46" s="1188"/>
      <c r="I46" s="1188"/>
      <c r="J46" s="1188"/>
    </row>
    <row r="47" spans="1:10" x14ac:dyDescent="0.2">
      <c r="A47" s="1186" t="s">
        <v>4668</v>
      </c>
      <c r="B47" s="1187" t="s">
        <v>4669</v>
      </c>
      <c r="C47" s="1187" t="s">
        <v>4670</v>
      </c>
      <c r="D47" s="1194" t="s">
        <v>4671</v>
      </c>
      <c r="E47" s="1264">
        <v>58964.61</v>
      </c>
      <c r="F47" s="1187" t="s">
        <v>4672</v>
      </c>
      <c r="G47" s="1188" t="s">
        <v>4673</v>
      </c>
      <c r="H47" s="1206">
        <v>44187</v>
      </c>
      <c r="I47" s="1194"/>
      <c r="J47" s="1188" t="s">
        <v>4674</v>
      </c>
    </row>
    <row r="48" spans="1:10" ht="48" x14ac:dyDescent="0.2">
      <c r="A48" s="1186" t="s">
        <v>4675</v>
      </c>
      <c r="B48" s="1187" t="s">
        <v>4676</v>
      </c>
      <c r="C48" s="1187" t="s">
        <v>4670</v>
      </c>
      <c r="D48" s="1194" t="s">
        <v>4677</v>
      </c>
      <c r="E48" s="1264">
        <v>45097.3</v>
      </c>
      <c r="F48" s="1186" t="s">
        <v>4678</v>
      </c>
      <c r="G48" s="1188" t="s">
        <v>4673</v>
      </c>
      <c r="H48" s="1206">
        <v>44069</v>
      </c>
      <c r="I48" s="1194"/>
      <c r="J48" s="1188" t="s">
        <v>4674</v>
      </c>
    </row>
    <row r="49" spans="1:10" x14ac:dyDescent="0.2">
      <c r="A49" s="1210" t="s">
        <v>639</v>
      </c>
      <c r="B49" s="1187"/>
      <c r="C49" s="1194"/>
      <c r="D49" s="1194"/>
      <c r="E49" s="1264"/>
      <c r="F49" s="1187"/>
      <c r="G49" s="1188"/>
      <c r="H49" s="1188"/>
      <c r="I49" s="1188"/>
      <c r="J49" s="1188"/>
    </row>
    <row r="50" spans="1:10" ht="48" x14ac:dyDescent="0.2">
      <c r="A50" s="1211" t="s">
        <v>4679</v>
      </c>
      <c r="B50" s="939" t="s">
        <v>4680</v>
      </c>
      <c r="C50" s="1200" t="s">
        <v>4626</v>
      </c>
      <c r="D50" s="913" t="s">
        <v>4681</v>
      </c>
      <c r="E50" s="1265">
        <v>106599.86</v>
      </c>
      <c r="F50" s="912" t="s">
        <v>4682</v>
      </c>
      <c r="G50" s="1200" t="s">
        <v>4683</v>
      </c>
      <c r="H50" s="1212">
        <v>44180</v>
      </c>
      <c r="I50" s="1212">
        <v>44190</v>
      </c>
      <c r="J50" s="1201" t="s">
        <v>4626</v>
      </c>
    </row>
    <row r="51" spans="1:10" ht="48" x14ac:dyDescent="0.2">
      <c r="A51" s="1211" t="s">
        <v>4684</v>
      </c>
      <c r="B51" s="939" t="s">
        <v>4680</v>
      </c>
      <c r="C51" s="1200" t="s">
        <v>4626</v>
      </c>
      <c r="D51" s="913" t="s">
        <v>4685</v>
      </c>
      <c r="E51" s="1265">
        <v>356950</v>
      </c>
      <c r="F51" s="912" t="s">
        <v>4686</v>
      </c>
      <c r="G51" s="1200" t="s">
        <v>4683</v>
      </c>
      <c r="H51" s="1212">
        <v>44179</v>
      </c>
      <c r="I51" s="1212">
        <v>44189</v>
      </c>
      <c r="J51" s="1201" t="s">
        <v>4626</v>
      </c>
    </row>
    <row r="52" spans="1:10" ht="48" x14ac:dyDescent="0.2">
      <c r="A52" s="1211" t="s">
        <v>4687</v>
      </c>
      <c r="B52" s="939" t="s">
        <v>4680</v>
      </c>
      <c r="C52" s="1200" t="s">
        <v>4626</v>
      </c>
      <c r="D52" s="913" t="s">
        <v>4688</v>
      </c>
      <c r="E52" s="1265">
        <v>397208.33</v>
      </c>
      <c r="F52" s="912" t="s">
        <v>4689</v>
      </c>
      <c r="G52" s="1200" t="s">
        <v>4683</v>
      </c>
      <c r="H52" s="1212">
        <v>44152</v>
      </c>
      <c r="I52" s="1212">
        <v>44162</v>
      </c>
      <c r="J52" s="1201" t="s">
        <v>4626</v>
      </c>
    </row>
    <row r="53" spans="1:10" x14ac:dyDescent="0.2">
      <c r="A53" s="1211" t="s">
        <v>4690</v>
      </c>
      <c r="B53" s="939" t="s">
        <v>4680</v>
      </c>
      <c r="C53" s="1200" t="s">
        <v>4626</v>
      </c>
      <c r="D53" s="913" t="s">
        <v>4691</v>
      </c>
      <c r="E53" s="1265">
        <v>53534</v>
      </c>
      <c r="F53" s="912" t="s">
        <v>4692</v>
      </c>
      <c r="G53" s="1200" t="s">
        <v>4683</v>
      </c>
      <c r="H53" s="1213">
        <v>44146</v>
      </c>
      <c r="I53" s="1212">
        <v>44156</v>
      </c>
      <c r="J53" s="1201" t="s">
        <v>4626</v>
      </c>
    </row>
    <row r="54" spans="1:10" ht="24" x14ac:dyDescent="0.2">
      <c r="A54" s="1211" t="s">
        <v>4693</v>
      </c>
      <c r="B54" s="939" t="s">
        <v>4680</v>
      </c>
      <c r="C54" s="1200" t="s">
        <v>4626</v>
      </c>
      <c r="D54" s="913" t="s">
        <v>4694</v>
      </c>
      <c r="E54" s="1265">
        <v>187686.39999999999</v>
      </c>
      <c r="F54" s="912" t="s">
        <v>4695</v>
      </c>
      <c r="G54" s="1200" t="s">
        <v>4683</v>
      </c>
      <c r="H54" s="1212">
        <v>44074</v>
      </c>
      <c r="I54" s="1212">
        <v>44081</v>
      </c>
      <c r="J54" s="1201" t="s">
        <v>4626</v>
      </c>
    </row>
    <row r="55" spans="1:10" ht="24" x14ac:dyDescent="0.2">
      <c r="A55" s="1211" t="s">
        <v>4693</v>
      </c>
      <c r="B55" s="939" t="s">
        <v>4680</v>
      </c>
      <c r="C55" s="1200" t="s">
        <v>4626</v>
      </c>
      <c r="D55" s="913" t="s">
        <v>4696</v>
      </c>
      <c r="E55" s="1265">
        <v>187686.39999999999</v>
      </c>
      <c r="F55" s="912" t="s">
        <v>4697</v>
      </c>
      <c r="G55" s="1200" t="s">
        <v>4683</v>
      </c>
      <c r="H55" s="1212">
        <v>44074</v>
      </c>
      <c r="I55" s="1212">
        <v>44081</v>
      </c>
      <c r="J55" s="1201" t="s">
        <v>4626</v>
      </c>
    </row>
    <row r="56" spans="1:10" ht="36" x14ac:dyDescent="0.2">
      <c r="A56" s="1211" t="s">
        <v>4698</v>
      </c>
      <c r="B56" s="939" t="s">
        <v>4680</v>
      </c>
      <c r="C56" s="1200" t="s">
        <v>4626</v>
      </c>
      <c r="D56" s="913" t="s">
        <v>4699</v>
      </c>
      <c r="E56" s="1265">
        <v>228674.6</v>
      </c>
      <c r="F56" s="912" t="s">
        <v>4700</v>
      </c>
      <c r="G56" s="1200" t="s">
        <v>4683</v>
      </c>
      <c r="H56" s="1212">
        <v>44027</v>
      </c>
      <c r="I56" s="1212">
        <v>44037</v>
      </c>
      <c r="J56" s="1201" t="s">
        <v>4626</v>
      </c>
    </row>
    <row r="57" spans="1:10" x14ac:dyDescent="0.2">
      <c r="A57" s="1214" t="s">
        <v>4028</v>
      </c>
      <c r="B57" s="1215"/>
      <c r="C57" s="1194"/>
      <c r="D57" s="1194"/>
      <c r="E57" s="1266"/>
      <c r="F57" s="1216"/>
      <c r="G57" s="1188"/>
      <c r="H57" s="1217"/>
      <c r="I57" s="1188"/>
      <c r="J57" s="1188"/>
    </row>
    <row r="58" spans="1:10" ht="36" x14ac:dyDescent="0.2">
      <c r="A58" s="1186" t="s">
        <v>4701</v>
      </c>
      <c r="B58" s="1187" t="s">
        <v>4680</v>
      </c>
      <c r="C58" s="1187" t="s">
        <v>4031</v>
      </c>
      <c r="D58" s="1187" t="s">
        <v>4702</v>
      </c>
      <c r="E58" s="1264">
        <v>48853</v>
      </c>
      <c r="F58" s="1187" t="s">
        <v>4703</v>
      </c>
      <c r="G58" s="1188" t="s">
        <v>4704</v>
      </c>
      <c r="H58" s="1190">
        <v>43990</v>
      </c>
      <c r="I58" s="1190">
        <v>43994</v>
      </c>
      <c r="J58" s="1188"/>
    </row>
    <row r="59" spans="1:10" ht="72" x14ac:dyDescent="0.2">
      <c r="A59" s="1186" t="s">
        <v>4705</v>
      </c>
      <c r="B59" s="1187" t="s">
        <v>4680</v>
      </c>
      <c r="C59" s="1187" t="s">
        <v>4031</v>
      </c>
      <c r="D59" s="1187" t="s">
        <v>4706</v>
      </c>
      <c r="E59" s="1264">
        <v>201000</v>
      </c>
      <c r="F59" s="1187" t="s">
        <v>4707</v>
      </c>
      <c r="G59" s="1188" t="s">
        <v>4704</v>
      </c>
      <c r="H59" s="1190">
        <v>44154</v>
      </c>
      <c r="I59" s="1190">
        <v>44193</v>
      </c>
      <c r="J59" s="1188"/>
    </row>
    <row r="60" spans="1:10" ht="24" x14ac:dyDescent="0.2">
      <c r="A60" s="1186" t="s">
        <v>4708</v>
      </c>
      <c r="B60" s="1187" t="s">
        <v>4680</v>
      </c>
      <c r="C60" s="1187" t="s">
        <v>4031</v>
      </c>
      <c r="D60" s="1187" t="s">
        <v>4709</v>
      </c>
      <c r="E60" s="1264">
        <v>284000</v>
      </c>
      <c r="F60" s="1187" t="s">
        <v>4710</v>
      </c>
      <c r="G60" s="1188" t="s">
        <v>4711</v>
      </c>
      <c r="H60" s="1190">
        <v>44242</v>
      </c>
      <c r="I60" s="1190">
        <v>44651</v>
      </c>
      <c r="J60" s="1188"/>
    </row>
    <row r="61" spans="1:10" ht="24" x14ac:dyDescent="0.2">
      <c r="A61" s="1186" t="s">
        <v>4712</v>
      </c>
      <c r="B61" s="1187" t="s">
        <v>4680</v>
      </c>
      <c r="C61" s="1187" t="s">
        <v>4031</v>
      </c>
      <c r="D61" s="1187" t="s">
        <v>4713</v>
      </c>
      <c r="E61" s="1264">
        <v>90360.68</v>
      </c>
      <c r="F61" s="1187" t="s">
        <v>4714</v>
      </c>
      <c r="G61" s="1188" t="s">
        <v>4711</v>
      </c>
      <c r="H61" s="1190">
        <v>44242</v>
      </c>
      <c r="I61" s="1190">
        <v>44651</v>
      </c>
      <c r="J61" s="1188"/>
    </row>
    <row r="62" spans="1:10" ht="24" x14ac:dyDescent="0.2">
      <c r="A62" s="1186" t="s">
        <v>4715</v>
      </c>
      <c r="B62" s="1187" t="s">
        <v>4680</v>
      </c>
      <c r="C62" s="1187" t="s">
        <v>4031</v>
      </c>
      <c r="D62" s="1187" t="s">
        <v>4716</v>
      </c>
      <c r="E62" s="1264">
        <v>229536.1</v>
      </c>
      <c r="F62" s="1187" t="s">
        <v>4717</v>
      </c>
      <c r="G62" s="1188" t="s">
        <v>4711</v>
      </c>
      <c r="H62" s="1190">
        <v>44243</v>
      </c>
      <c r="I62" s="1190">
        <v>44651</v>
      </c>
      <c r="J62" s="1188"/>
    </row>
    <row r="63" spans="1:10" ht="36" x14ac:dyDescent="0.2">
      <c r="A63" s="1186" t="s">
        <v>4718</v>
      </c>
      <c r="B63" s="1187" t="s">
        <v>4680</v>
      </c>
      <c r="C63" s="1187" t="s">
        <v>4031</v>
      </c>
      <c r="D63" s="1187" t="s">
        <v>4719</v>
      </c>
      <c r="E63" s="1264">
        <v>187314</v>
      </c>
      <c r="F63" s="1187" t="s">
        <v>4720</v>
      </c>
      <c r="G63" s="1188" t="s">
        <v>4704</v>
      </c>
      <c r="H63" s="1190">
        <v>44245</v>
      </c>
      <c r="I63" s="1190">
        <v>44291</v>
      </c>
      <c r="J63" s="1188"/>
    </row>
    <row r="64" spans="1:10" ht="24" x14ac:dyDescent="0.2">
      <c r="A64" s="1186" t="s">
        <v>4712</v>
      </c>
      <c r="B64" s="1187" t="s">
        <v>4721</v>
      </c>
      <c r="C64" s="1187" t="s">
        <v>4031</v>
      </c>
      <c r="D64" s="1187" t="s">
        <v>4722</v>
      </c>
      <c r="E64" s="1264">
        <v>40850</v>
      </c>
      <c r="F64" s="1187" t="s">
        <v>4723</v>
      </c>
      <c r="G64" s="1188" t="s">
        <v>4711</v>
      </c>
      <c r="H64" s="1190">
        <v>44242</v>
      </c>
      <c r="I64" s="1190">
        <v>44651</v>
      </c>
      <c r="J64" s="1188"/>
    </row>
    <row r="65" spans="1:10" x14ac:dyDescent="0.2">
      <c r="A65" s="1186" t="s">
        <v>4724</v>
      </c>
      <c r="B65" s="1187" t="s">
        <v>4721</v>
      </c>
      <c r="C65" s="1187" t="s">
        <v>4031</v>
      </c>
      <c r="D65" s="1187" t="s">
        <v>4725</v>
      </c>
      <c r="E65" s="1264">
        <v>78000</v>
      </c>
      <c r="F65" s="1187" t="s">
        <v>4723</v>
      </c>
      <c r="G65" s="1188" t="s">
        <v>4711</v>
      </c>
      <c r="H65" s="1190">
        <v>44243</v>
      </c>
      <c r="I65" s="1190">
        <v>44651</v>
      </c>
      <c r="J65" s="1188"/>
    </row>
    <row r="66" spans="1:10" ht="24" x14ac:dyDescent="0.2">
      <c r="A66" s="1186" t="s">
        <v>4726</v>
      </c>
      <c r="B66" s="1187" t="s">
        <v>4607</v>
      </c>
      <c r="C66" s="1187" t="s">
        <v>4031</v>
      </c>
      <c r="D66" s="1187" t="s">
        <v>4727</v>
      </c>
      <c r="E66" s="1264">
        <v>62800</v>
      </c>
      <c r="F66" s="1187" t="s">
        <v>4728</v>
      </c>
      <c r="G66" s="1188" t="s">
        <v>4704</v>
      </c>
      <c r="H66" s="1190">
        <v>44124</v>
      </c>
      <c r="I66" s="1190">
        <v>44130</v>
      </c>
      <c r="J66" s="1188"/>
    </row>
    <row r="67" spans="1:10" ht="72" x14ac:dyDescent="0.2">
      <c r="A67" s="1186" t="s">
        <v>4729</v>
      </c>
      <c r="B67" s="1187" t="s">
        <v>4030</v>
      </c>
      <c r="C67" s="1187" t="s">
        <v>4031</v>
      </c>
      <c r="D67" s="1187" t="s">
        <v>4730</v>
      </c>
      <c r="E67" s="1264">
        <v>86190.07</v>
      </c>
      <c r="F67" s="1187" t="s">
        <v>4731</v>
      </c>
      <c r="G67" s="1188" t="s">
        <v>4704</v>
      </c>
      <c r="H67" s="1190">
        <v>43958</v>
      </c>
      <c r="I67" s="1190">
        <v>43959</v>
      </c>
      <c r="J67" s="1188"/>
    </row>
    <row r="68" spans="1:10" ht="72" x14ac:dyDescent="0.2">
      <c r="A68" s="1186" t="s">
        <v>4732</v>
      </c>
      <c r="B68" s="1187" t="s">
        <v>4030</v>
      </c>
      <c r="C68" s="1187" t="s">
        <v>4031</v>
      </c>
      <c r="D68" s="1187" t="s">
        <v>4733</v>
      </c>
      <c r="E68" s="1264">
        <v>117500</v>
      </c>
      <c r="F68" s="1187" t="s">
        <v>4734</v>
      </c>
      <c r="G68" s="1188" t="s">
        <v>4704</v>
      </c>
      <c r="H68" s="1190">
        <v>44121</v>
      </c>
      <c r="I68" s="1190">
        <v>44122</v>
      </c>
      <c r="J68" s="1188"/>
    </row>
    <row r="69" spans="1:10" ht="72" x14ac:dyDescent="0.2">
      <c r="A69" s="1186" t="s">
        <v>4735</v>
      </c>
      <c r="B69" s="1187" t="s">
        <v>4030</v>
      </c>
      <c r="C69" s="1187" t="s">
        <v>4031</v>
      </c>
      <c r="D69" s="1187" t="s">
        <v>4736</v>
      </c>
      <c r="E69" s="1264">
        <v>250000</v>
      </c>
      <c r="F69" s="1187" t="s">
        <v>4737</v>
      </c>
      <c r="G69" s="1188" t="s">
        <v>4704</v>
      </c>
      <c r="H69" s="1190">
        <v>44139</v>
      </c>
      <c r="I69" s="1190">
        <v>44146</v>
      </c>
      <c r="J69" s="1188"/>
    </row>
    <row r="70" spans="1:10" ht="72" x14ac:dyDescent="0.2">
      <c r="A70" s="1186" t="s">
        <v>4738</v>
      </c>
      <c r="B70" s="1187" t="s">
        <v>4030</v>
      </c>
      <c r="C70" s="1187" t="s">
        <v>4031</v>
      </c>
      <c r="D70" s="1187" t="s">
        <v>4739</v>
      </c>
      <c r="E70" s="1264">
        <v>94680</v>
      </c>
      <c r="F70" s="1187" t="s">
        <v>4740</v>
      </c>
      <c r="G70" s="1188" t="s">
        <v>4704</v>
      </c>
      <c r="H70" s="1190">
        <v>44084</v>
      </c>
      <c r="I70" s="1190">
        <v>44094</v>
      </c>
      <c r="J70" s="1188"/>
    </row>
    <row r="71" spans="1:10" ht="72" x14ac:dyDescent="0.2">
      <c r="A71" s="1186" t="s">
        <v>4741</v>
      </c>
      <c r="B71" s="1187" t="s">
        <v>4030</v>
      </c>
      <c r="C71" s="1187" t="s">
        <v>4031</v>
      </c>
      <c r="D71" s="1187" t="s">
        <v>4742</v>
      </c>
      <c r="E71" s="1264">
        <v>41600</v>
      </c>
      <c r="F71" s="1187" t="s">
        <v>4740</v>
      </c>
      <c r="G71" s="1188" t="s">
        <v>4704</v>
      </c>
      <c r="H71" s="1190">
        <v>44092</v>
      </c>
      <c r="I71" s="1190">
        <v>44102</v>
      </c>
      <c r="J71" s="1188"/>
    </row>
    <row r="72" spans="1:10" ht="72" x14ac:dyDescent="0.2">
      <c r="A72" s="1186" t="s">
        <v>4743</v>
      </c>
      <c r="B72" s="1187" t="s">
        <v>4030</v>
      </c>
      <c r="C72" s="1187" t="s">
        <v>4031</v>
      </c>
      <c r="D72" s="1187" t="s">
        <v>4744</v>
      </c>
      <c r="E72" s="1264">
        <v>60300</v>
      </c>
      <c r="F72" s="1187" t="s">
        <v>4745</v>
      </c>
      <c r="G72" s="1188" t="s">
        <v>4704</v>
      </c>
      <c r="H72" s="1190">
        <v>44074</v>
      </c>
      <c r="I72" s="1190">
        <v>44084</v>
      </c>
      <c r="J72" s="1188"/>
    </row>
    <row r="73" spans="1:10" ht="72" x14ac:dyDescent="0.2">
      <c r="A73" s="1186" t="s">
        <v>4746</v>
      </c>
      <c r="B73" s="1187" t="s">
        <v>4030</v>
      </c>
      <c r="C73" s="1187" t="s">
        <v>4031</v>
      </c>
      <c r="D73" s="1187" t="s">
        <v>4747</v>
      </c>
      <c r="E73" s="1264">
        <v>135450</v>
      </c>
      <c r="F73" s="1187" t="s">
        <v>4748</v>
      </c>
      <c r="G73" s="1188" t="s">
        <v>4704</v>
      </c>
      <c r="H73" s="1190">
        <v>44091</v>
      </c>
      <c r="I73" s="1190">
        <v>44101</v>
      </c>
      <c r="J73" s="1188"/>
    </row>
    <row r="74" spans="1:10" ht="60" x14ac:dyDescent="0.2">
      <c r="A74" s="1186" t="s">
        <v>4749</v>
      </c>
      <c r="B74" s="1187" t="s">
        <v>4030</v>
      </c>
      <c r="C74" s="1187" t="s">
        <v>4031</v>
      </c>
      <c r="D74" s="1187" t="s">
        <v>4750</v>
      </c>
      <c r="E74" s="1264">
        <v>276500</v>
      </c>
      <c r="F74" s="1187" t="s">
        <v>4734</v>
      </c>
      <c r="G74" s="1188" t="s">
        <v>4704</v>
      </c>
      <c r="H74" s="1190">
        <v>44081</v>
      </c>
      <c r="I74" s="1190">
        <v>44091</v>
      </c>
      <c r="J74" s="1188"/>
    </row>
    <row r="75" spans="1:10" ht="72" x14ac:dyDescent="0.2">
      <c r="A75" s="1186" t="s">
        <v>4751</v>
      </c>
      <c r="B75" s="1187" t="s">
        <v>4030</v>
      </c>
      <c r="C75" s="1187" t="s">
        <v>4031</v>
      </c>
      <c r="D75" s="1187" t="s">
        <v>4752</v>
      </c>
      <c r="E75" s="1264">
        <v>1799000</v>
      </c>
      <c r="F75" s="1187" t="s">
        <v>4753</v>
      </c>
      <c r="G75" s="1188" t="s">
        <v>4704</v>
      </c>
      <c r="H75" s="1190">
        <v>44074</v>
      </c>
      <c r="I75" s="1190">
        <v>44084</v>
      </c>
      <c r="J75" s="1188"/>
    </row>
    <row r="76" spans="1:10" ht="72" x14ac:dyDescent="0.2">
      <c r="A76" s="1186" t="s">
        <v>4754</v>
      </c>
      <c r="B76" s="1187" t="s">
        <v>4030</v>
      </c>
      <c r="C76" s="1187" t="s">
        <v>4031</v>
      </c>
      <c r="D76" s="1187" t="s">
        <v>4755</v>
      </c>
      <c r="E76" s="1264">
        <v>54500</v>
      </c>
      <c r="F76" s="1187" t="s">
        <v>4756</v>
      </c>
      <c r="G76" s="1188" t="s">
        <v>4704</v>
      </c>
      <c r="H76" s="1190">
        <v>44074</v>
      </c>
      <c r="I76" s="1190">
        <v>44084</v>
      </c>
      <c r="J76" s="1188"/>
    </row>
    <row r="77" spans="1:10" ht="108" x14ac:dyDescent="0.2">
      <c r="A77" s="1186" t="s">
        <v>4757</v>
      </c>
      <c r="B77" s="1187" t="s">
        <v>4030</v>
      </c>
      <c r="C77" s="1187" t="s">
        <v>4031</v>
      </c>
      <c r="D77" s="1187" t="s">
        <v>4758</v>
      </c>
      <c r="E77" s="1264">
        <v>1440794.03</v>
      </c>
      <c r="F77" s="1187" t="s">
        <v>4707</v>
      </c>
      <c r="G77" s="1188" t="s">
        <v>4704</v>
      </c>
      <c r="H77" s="1190">
        <v>44089</v>
      </c>
      <c r="I77" s="1190">
        <v>44196</v>
      </c>
      <c r="J77" s="1188"/>
    </row>
    <row r="78" spans="1:10" ht="72" x14ac:dyDescent="0.2">
      <c r="A78" s="1186" t="s">
        <v>4759</v>
      </c>
      <c r="B78" s="1187" t="s">
        <v>4030</v>
      </c>
      <c r="C78" s="1187" t="s">
        <v>4031</v>
      </c>
      <c r="D78" s="1187" t="s">
        <v>4760</v>
      </c>
      <c r="E78" s="1264">
        <v>762600</v>
      </c>
      <c r="F78" s="1187" t="s">
        <v>4761</v>
      </c>
      <c r="G78" s="1188" t="s">
        <v>4704</v>
      </c>
      <c r="H78" s="1190">
        <v>44088</v>
      </c>
      <c r="I78" s="1190">
        <v>44117</v>
      </c>
      <c r="J78" s="1188"/>
    </row>
    <row r="79" spans="1:10" ht="60" x14ac:dyDescent="0.2">
      <c r="A79" s="1186" t="s">
        <v>4762</v>
      </c>
      <c r="B79" s="1187" t="s">
        <v>4030</v>
      </c>
      <c r="C79" s="1187" t="s">
        <v>4031</v>
      </c>
      <c r="D79" s="1187" t="s">
        <v>4763</v>
      </c>
      <c r="E79" s="1264">
        <v>83000</v>
      </c>
      <c r="F79" s="1187" t="s">
        <v>4764</v>
      </c>
      <c r="G79" s="1188" t="s">
        <v>4704</v>
      </c>
      <c r="H79" s="1190">
        <v>44074</v>
      </c>
      <c r="I79" s="1190">
        <v>44084</v>
      </c>
      <c r="J79" s="1188"/>
    </row>
    <row r="80" spans="1:10" ht="72" x14ac:dyDescent="0.2">
      <c r="A80" s="1186" t="s">
        <v>4765</v>
      </c>
      <c r="B80" s="1187" t="s">
        <v>4030</v>
      </c>
      <c r="C80" s="1187" t="s">
        <v>4031</v>
      </c>
      <c r="D80" s="1187" t="s">
        <v>4766</v>
      </c>
      <c r="E80" s="1264">
        <v>118000</v>
      </c>
      <c r="F80" s="1187" t="s">
        <v>4767</v>
      </c>
      <c r="G80" s="1188" t="s">
        <v>4704</v>
      </c>
      <c r="H80" s="1190">
        <v>44074</v>
      </c>
      <c r="I80" s="1190">
        <v>44084</v>
      </c>
      <c r="J80" s="1188"/>
    </row>
    <row r="81" spans="1:10" ht="72" x14ac:dyDescent="0.2">
      <c r="A81" s="1186" t="s">
        <v>4768</v>
      </c>
      <c r="B81" s="1187" t="s">
        <v>4030</v>
      </c>
      <c r="C81" s="1187" t="s">
        <v>4031</v>
      </c>
      <c r="D81" s="1187" t="s">
        <v>4769</v>
      </c>
      <c r="E81" s="1264">
        <v>52546</v>
      </c>
      <c r="F81" s="1187" t="s">
        <v>4770</v>
      </c>
      <c r="G81" s="1188" t="s">
        <v>4704</v>
      </c>
      <c r="H81" s="1190">
        <v>44112</v>
      </c>
      <c r="I81" s="1190">
        <v>44142</v>
      </c>
      <c r="J81" s="1188"/>
    </row>
    <row r="82" spans="1:10" ht="60" x14ac:dyDescent="0.2">
      <c r="A82" s="1186" t="s">
        <v>4771</v>
      </c>
      <c r="B82" s="1187" t="s">
        <v>4030</v>
      </c>
      <c r="C82" s="1187" t="s">
        <v>4031</v>
      </c>
      <c r="D82" s="1187" t="s">
        <v>4772</v>
      </c>
      <c r="E82" s="1264">
        <v>60346</v>
      </c>
      <c r="F82" s="1187" t="s">
        <v>4773</v>
      </c>
      <c r="G82" s="1188" t="s">
        <v>4704</v>
      </c>
      <c r="H82" s="1190">
        <v>44102</v>
      </c>
      <c r="I82" s="1190">
        <v>44147</v>
      </c>
      <c r="J82" s="1188"/>
    </row>
    <row r="83" spans="1:10" ht="72" x14ac:dyDescent="0.2">
      <c r="A83" s="1186" t="s">
        <v>4774</v>
      </c>
      <c r="B83" s="1187" t="s">
        <v>4030</v>
      </c>
      <c r="C83" s="1187" t="s">
        <v>4031</v>
      </c>
      <c r="D83" s="1187" t="s">
        <v>4775</v>
      </c>
      <c r="E83" s="1264">
        <v>51160</v>
      </c>
      <c r="F83" s="1187" t="s">
        <v>4776</v>
      </c>
      <c r="G83" s="1188" t="s">
        <v>4704</v>
      </c>
      <c r="H83" s="1190">
        <v>44074</v>
      </c>
      <c r="I83" s="1190">
        <v>44084</v>
      </c>
      <c r="J83" s="1188"/>
    </row>
    <row r="84" spans="1:10" ht="72" x14ac:dyDescent="0.2">
      <c r="A84" s="1186" t="s">
        <v>4777</v>
      </c>
      <c r="B84" s="1187" t="s">
        <v>4030</v>
      </c>
      <c r="C84" s="1187" t="s">
        <v>4031</v>
      </c>
      <c r="D84" s="1187" t="s">
        <v>4778</v>
      </c>
      <c r="E84" s="1264">
        <v>51405.52</v>
      </c>
      <c r="F84" s="1187" t="s">
        <v>4779</v>
      </c>
      <c r="G84" s="1188" t="s">
        <v>4704</v>
      </c>
      <c r="H84" s="1190">
        <v>44076</v>
      </c>
      <c r="I84" s="1190">
        <v>44081</v>
      </c>
      <c r="J84" s="1188"/>
    </row>
    <row r="85" spans="1:10" ht="72" x14ac:dyDescent="0.2">
      <c r="A85" s="1186" t="s">
        <v>4780</v>
      </c>
      <c r="B85" s="1187" t="s">
        <v>4030</v>
      </c>
      <c r="C85" s="1187" t="s">
        <v>4031</v>
      </c>
      <c r="D85" s="1187" t="s">
        <v>4781</v>
      </c>
      <c r="E85" s="1264">
        <v>55540</v>
      </c>
      <c r="F85" s="1187" t="s">
        <v>4782</v>
      </c>
      <c r="G85" s="1188" t="s">
        <v>4704</v>
      </c>
      <c r="H85" s="1190">
        <v>44074</v>
      </c>
      <c r="I85" s="1190">
        <v>44084</v>
      </c>
      <c r="J85" s="1188"/>
    </row>
    <row r="86" spans="1:10" ht="48" x14ac:dyDescent="0.2">
      <c r="A86" s="1186" t="s">
        <v>4783</v>
      </c>
      <c r="B86" s="1187" t="s">
        <v>4030</v>
      </c>
      <c r="C86" s="1187" t="s">
        <v>4784</v>
      </c>
      <c r="D86" s="1187" t="s">
        <v>4785</v>
      </c>
      <c r="E86" s="1264">
        <v>182536.2</v>
      </c>
      <c r="F86" s="1187" t="s">
        <v>4786</v>
      </c>
      <c r="G86" s="1188" t="s">
        <v>4704</v>
      </c>
      <c r="H86" s="1190">
        <v>44074</v>
      </c>
      <c r="I86" s="1190">
        <v>44196</v>
      </c>
      <c r="J86" s="1188"/>
    </row>
    <row r="87" spans="1:10" ht="60" x14ac:dyDescent="0.2">
      <c r="A87" s="1186" t="s">
        <v>4787</v>
      </c>
      <c r="B87" s="1187" t="s">
        <v>4030</v>
      </c>
      <c r="C87" s="1187" t="s">
        <v>4031</v>
      </c>
      <c r="D87" s="1187" t="s">
        <v>4788</v>
      </c>
      <c r="E87" s="1264">
        <v>237000</v>
      </c>
      <c r="F87" s="1187" t="s">
        <v>4789</v>
      </c>
      <c r="G87" s="1188" t="s">
        <v>4704</v>
      </c>
      <c r="H87" s="1190">
        <v>44134</v>
      </c>
      <c r="I87" s="1190">
        <v>44135</v>
      </c>
      <c r="J87" s="1188"/>
    </row>
    <row r="88" spans="1:10" ht="60" x14ac:dyDescent="0.2">
      <c r="A88" s="1186" t="s">
        <v>4790</v>
      </c>
      <c r="B88" s="1187" t="s">
        <v>4030</v>
      </c>
      <c r="C88" s="1187" t="s">
        <v>4031</v>
      </c>
      <c r="D88" s="1187" t="s">
        <v>4791</v>
      </c>
      <c r="E88" s="1264">
        <v>107226</v>
      </c>
      <c r="F88" s="1187" t="s">
        <v>4792</v>
      </c>
      <c r="G88" s="1188" t="s">
        <v>4704</v>
      </c>
      <c r="H88" s="1190">
        <v>44137</v>
      </c>
      <c r="I88" s="1190">
        <v>44138</v>
      </c>
      <c r="J88" s="1188"/>
    </row>
    <row r="89" spans="1:10" ht="24" x14ac:dyDescent="0.2">
      <c r="A89" s="1186" t="s">
        <v>4793</v>
      </c>
      <c r="B89" s="1187" t="s">
        <v>4030</v>
      </c>
      <c r="C89" s="1187" t="s">
        <v>4031</v>
      </c>
      <c r="D89" s="1187" t="s">
        <v>4794</v>
      </c>
      <c r="E89" s="1264">
        <v>334665.2</v>
      </c>
      <c r="F89" s="1187" t="s">
        <v>4795</v>
      </c>
      <c r="G89" s="1188" t="s">
        <v>4704</v>
      </c>
      <c r="H89" s="1190">
        <v>44133</v>
      </c>
      <c r="I89" s="1190">
        <v>44134</v>
      </c>
      <c r="J89" s="1188"/>
    </row>
    <row r="90" spans="1:10" ht="84" x14ac:dyDescent="0.2">
      <c r="A90" s="1186" t="s">
        <v>4796</v>
      </c>
      <c r="B90" s="1187" t="s">
        <v>4030</v>
      </c>
      <c r="C90" s="1187" t="s">
        <v>4031</v>
      </c>
      <c r="D90" s="1187" t="s">
        <v>4797</v>
      </c>
      <c r="E90" s="1264">
        <v>2989000</v>
      </c>
      <c r="F90" s="1187" t="s">
        <v>4798</v>
      </c>
      <c r="G90" s="1188" t="s">
        <v>4704</v>
      </c>
      <c r="H90" s="1190">
        <v>44152</v>
      </c>
      <c r="I90" s="1190">
        <v>44153</v>
      </c>
      <c r="J90" s="1188"/>
    </row>
    <row r="91" spans="1:10" ht="84" x14ac:dyDescent="0.2">
      <c r="A91" s="1186" t="s">
        <v>4799</v>
      </c>
      <c r="B91" s="1187" t="s">
        <v>4030</v>
      </c>
      <c r="C91" s="1187" t="s">
        <v>4031</v>
      </c>
      <c r="D91" s="1187" t="s">
        <v>4800</v>
      </c>
      <c r="E91" s="1264">
        <v>1394399.47</v>
      </c>
      <c r="F91" s="1187" t="s">
        <v>4801</v>
      </c>
      <c r="G91" s="1188" t="s">
        <v>4704</v>
      </c>
      <c r="H91" s="1190">
        <v>44152</v>
      </c>
      <c r="I91" s="1190">
        <v>44193</v>
      </c>
      <c r="J91" s="1188"/>
    </row>
    <row r="92" spans="1:10" ht="84" x14ac:dyDescent="0.2">
      <c r="A92" s="1186" t="s">
        <v>4802</v>
      </c>
      <c r="B92" s="1187" t="s">
        <v>4030</v>
      </c>
      <c r="C92" s="1187" t="s">
        <v>4031</v>
      </c>
      <c r="D92" s="1187" t="s">
        <v>4803</v>
      </c>
      <c r="E92" s="1264">
        <v>274000</v>
      </c>
      <c r="F92" s="1187" t="s">
        <v>4804</v>
      </c>
      <c r="G92" s="1188" t="s">
        <v>4704</v>
      </c>
      <c r="H92" s="1190">
        <v>44158</v>
      </c>
      <c r="I92" s="1190">
        <v>44159</v>
      </c>
      <c r="J92" s="1188"/>
    </row>
    <row r="93" spans="1:10" ht="84" x14ac:dyDescent="0.2">
      <c r="A93" s="1186" t="s">
        <v>4805</v>
      </c>
      <c r="B93" s="1187" t="s">
        <v>4030</v>
      </c>
      <c r="C93" s="1187" t="s">
        <v>4031</v>
      </c>
      <c r="D93" s="1187" t="s">
        <v>4806</v>
      </c>
      <c r="E93" s="1264">
        <v>1870000</v>
      </c>
      <c r="F93" s="1187" t="s">
        <v>4804</v>
      </c>
      <c r="G93" s="1188" t="s">
        <v>4704</v>
      </c>
      <c r="H93" s="1190">
        <v>44147</v>
      </c>
      <c r="I93" s="1190">
        <v>44148</v>
      </c>
      <c r="J93" s="1188"/>
    </row>
    <row r="94" spans="1:10" ht="72" x14ac:dyDescent="0.2">
      <c r="A94" s="1186" t="s">
        <v>4807</v>
      </c>
      <c r="B94" s="1187" t="s">
        <v>4030</v>
      </c>
      <c r="C94" s="1187" t="s">
        <v>4031</v>
      </c>
      <c r="D94" s="1187" t="s">
        <v>4808</v>
      </c>
      <c r="E94" s="1264">
        <v>179900</v>
      </c>
      <c r="F94" s="1187" t="s">
        <v>4761</v>
      </c>
      <c r="G94" s="1188" t="s">
        <v>4704</v>
      </c>
      <c r="H94" s="1190">
        <v>44152</v>
      </c>
      <c r="I94" s="1190">
        <v>44153</v>
      </c>
      <c r="J94" s="1188"/>
    </row>
    <row r="95" spans="1:10" ht="24" x14ac:dyDescent="0.2">
      <c r="A95" s="1186" t="s">
        <v>4809</v>
      </c>
      <c r="B95" s="1187" t="s">
        <v>4030</v>
      </c>
      <c r="C95" s="1187" t="s">
        <v>4031</v>
      </c>
      <c r="D95" s="1187" t="s">
        <v>4810</v>
      </c>
      <c r="E95" s="1264">
        <v>168000</v>
      </c>
      <c r="F95" s="1187" t="s">
        <v>4811</v>
      </c>
      <c r="G95" s="1188" t="s">
        <v>4704</v>
      </c>
      <c r="H95" s="1190">
        <v>44155</v>
      </c>
      <c r="I95" s="1190">
        <v>44156</v>
      </c>
      <c r="J95" s="1188"/>
    </row>
    <row r="96" spans="1:10" ht="24" x14ac:dyDescent="0.2">
      <c r="A96" s="1186" t="s">
        <v>4812</v>
      </c>
      <c r="B96" s="1187" t="s">
        <v>4030</v>
      </c>
      <c r="C96" s="1187" t="s">
        <v>4031</v>
      </c>
      <c r="D96" s="1187" t="s">
        <v>4813</v>
      </c>
      <c r="E96" s="1264">
        <v>329270</v>
      </c>
      <c r="F96" s="1187" t="s">
        <v>4814</v>
      </c>
      <c r="G96" s="1188" t="s">
        <v>4704</v>
      </c>
      <c r="H96" s="1190">
        <v>44165</v>
      </c>
      <c r="I96" s="1190">
        <v>44166</v>
      </c>
      <c r="J96" s="1188"/>
    </row>
    <row r="97" spans="1:10" ht="24" x14ac:dyDescent="0.2">
      <c r="A97" s="1186" t="s">
        <v>4815</v>
      </c>
      <c r="B97" s="1187" t="s">
        <v>4030</v>
      </c>
      <c r="C97" s="1187" t="s">
        <v>4031</v>
      </c>
      <c r="D97" s="1187" t="s">
        <v>4816</v>
      </c>
      <c r="E97" s="1264">
        <v>48540</v>
      </c>
      <c r="F97" s="1187" t="s">
        <v>4817</v>
      </c>
      <c r="G97" s="1188" t="s">
        <v>4704</v>
      </c>
      <c r="H97" s="1190">
        <v>44179</v>
      </c>
      <c r="I97" s="1190">
        <v>44180</v>
      </c>
      <c r="J97" s="1188"/>
    </row>
    <row r="98" spans="1:10" ht="48" x14ac:dyDescent="0.2">
      <c r="A98" s="1186" t="s">
        <v>4818</v>
      </c>
      <c r="B98" s="1187" t="s">
        <v>4030</v>
      </c>
      <c r="C98" s="1187" t="s">
        <v>4031</v>
      </c>
      <c r="D98" s="1187" t="s">
        <v>4819</v>
      </c>
      <c r="E98" s="1264">
        <v>522261.9</v>
      </c>
      <c r="F98" s="1187" t="s">
        <v>4820</v>
      </c>
      <c r="G98" s="1188" t="s">
        <v>4704</v>
      </c>
      <c r="H98" s="1190">
        <v>44162</v>
      </c>
      <c r="I98" s="1190">
        <v>44163</v>
      </c>
      <c r="J98" s="1188"/>
    </row>
    <row r="99" spans="1:10" ht="96" x14ac:dyDescent="0.2">
      <c r="A99" s="1186" t="s">
        <v>4821</v>
      </c>
      <c r="B99" s="1187" t="s">
        <v>4030</v>
      </c>
      <c r="C99" s="1187" t="s">
        <v>4031</v>
      </c>
      <c r="D99" s="1187" t="s">
        <v>4822</v>
      </c>
      <c r="E99" s="1264">
        <v>135000</v>
      </c>
      <c r="F99" s="1187" t="s">
        <v>4823</v>
      </c>
      <c r="G99" s="1188" t="s">
        <v>4704</v>
      </c>
      <c r="H99" s="1190">
        <v>44179</v>
      </c>
      <c r="I99" s="1190">
        <v>44180</v>
      </c>
      <c r="J99" s="1188"/>
    </row>
    <row r="100" spans="1:10" ht="96" x14ac:dyDescent="0.2">
      <c r="A100" s="1186" t="s">
        <v>4824</v>
      </c>
      <c r="B100" s="1187" t="s">
        <v>4030</v>
      </c>
      <c r="C100" s="1187" t="s">
        <v>4031</v>
      </c>
      <c r="D100" s="1187" t="s">
        <v>4825</v>
      </c>
      <c r="E100" s="1264">
        <v>514000</v>
      </c>
      <c r="F100" s="1187" t="s">
        <v>4826</v>
      </c>
      <c r="G100" s="1188" t="s">
        <v>4704</v>
      </c>
      <c r="H100" s="1190">
        <v>44179</v>
      </c>
      <c r="I100" s="1190">
        <v>44180</v>
      </c>
      <c r="J100" s="1188"/>
    </row>
    <row r="101" spans="1:10" ht="84" x14ac:dyDescent="0.2">
      <c r="A101" s="1186" t="s">
        <v>4827</v>
      </c>
      <c r="B101" s="1187" t="s">
        <v>4030</v>
      </c>
      <c r="C101" s="1187" t="s">
        <v>4031</v>
      </c>
      <c r="D101" s="1187" t="s">
        <v>4828</v>
      </c>
      <c r="E101" s="1264">
        <v>158000</v>
      </c>
      <c r="F101" s="1187" t="s">
        <v>4734</v>
      </c>
      <c r="G101" s="1188" t="s">
        <v>4704</v>
      </c>
      <c r="H101" s="1190">
        <v>44179</v>
      </c>
      <c r="I101" s="1190">
        <v>44180</v>
      </c>
      <c r="J101" s="1188"/>
    </row>
    <row r="102" spans="1:10" ht="96" x14ac:dyDescent="0.2">
      <c r="A102" s="1186" t="s">
        <v>4829</v>
      </c>
      <c r="B102" s="1187" t="s">
        <v>4030</v>
      </c>
      <c r="C102" s="1187" t="s">
        <v>4031</v>
      </c>
      <c r="D102" s="1187" t="s">
        <v>4830</v>
      </c>
      <c r="E102" s="1264">
        <v>140000</v>
      </c>
      <c r="F102" s="1187" t="s">
        <v>4707</v>
      </c>
      <c r="G102" s="1188" t="s">
        <v>4704</v>
      </c>
      <c r="H102" s="1190">
        <v>44186</v>
      </c>
      <c r="I102" s="1190">
        <v>44187</v>
      </c>
      <c r="J102" s="1188"/>
    </row>
    <row r="103" spans="1:10" ht="108" x14ac:dyDescent="0.2">
      <c r="A103" s="1186" t="s">
        <v>4831</v>
      </c>
      <c r="B103" s="1187" t="s">
        <v>4030</v>
      </c>
      <c r="C103" s="1187" t="s">
        <v>4031</v>
      </c>
      <c r="D103" s="1187" t="s">
        <v>4832</v>
      </c>
      <c r="E103" s="1264">
        <v>37920</v>
      </c>
      <c r="F103" s="1187" t="s">
        <v>4833</v>
      </c>
      <c r="G103" s="1188" t="s">
        <v>4704</v>
      </c>
      <c r="H103" s="1190">
        <v>44179</v>
      </c>
      <c r="I103" s="1190">
        <v>44180</v>
      </c>
      <c r="J103" s="1188"/>
    </row>
    <row r="104" spans="1:10" ht="84" x14ac:dyDescent="0.2">
      <c r="A104" s="1186" t="s">
        <v>4834</v>
      </c>
      <c r="B104" s="1187" t="s">
        <v>4030</v>
      </c>
      <c r="C104" s="1187" t="s">
        <v>4031</v>
      </c>
      <c r="D104" s="1187" t="s">
        <v>4835</v>
      </c>
      <c r="E104" s="1264">
        <v>290000</v>
      </c>
      <c r="F104" s="1187" t="s">
        <v>4836</v>
      </c>
      <c r="G104" s="1188" t="s">
        <v>4704</v>
      </c>
      <c r="H104" s="1190">
        <v>44180</v>
      </c>
      <c r="I104" s="1190">
        <v>44181</v>
      </c>
      <c r="J104" s="1188"/>
    </row>
    <row r="105" spans="1:10" ht="24" x14ac:dyDescent="0.2">
      <c r="A105" s="1186" t="s">
        <v>4837</v>
      </c>
      <c r="B105" s="1187" t="s">
        <v>4030</v>
      </c>
      <c r="C105" s="1187" t="s">
        <v>4031</v>
      </c>
      <c r="D105" s="1187" t="s">
        <v>4838</v>
      </c>
      <c r="E105" s="1264">
        <v>75350</v>
      </c>
      <c r="F105" s="1187" t="s">
        <v>4756</v>
      </c>
      <c r="G105" s="1188" t="s">
        <v>4704</v>
      </c>
      <c r="H105" s="1190">
        <v>44179</v>
      </c>
      <c r="I105" s="1190">
        <v>44180</v>
      </c>
      <c r="J105" s="1188"/>
    </row>
    <row r="106" spans="1:10" ht="24" x14ac:dyDescent="0.2">
      <c r="A106" s="1186" t="s">
        <v>4839</v>
      </c>
      <c r="B106" s="1187" t="s">
        <v>4030</v>
      </c>
      <c r="C106" s="1187" t="s">
        <v>4031</v>
      </c>
      <c r="D106" s="1187" t="s">
        <v>4840</v>
      </c>
      <c r="E106" s="1264">
        <v>376964.36</v>
      </c>
      <c r="F106" s="1188" t="s">
        <v>4841</v>
      </c>
      <c r="G106" s="1188" t="s">
        <v>4704</v>
      </c>
      <c r="H106" s="1190">
        <v>44189</v>
      </c>
      <c r="I106" s="1190">
        <v>44193</v>
      </c>
      <c r="J106" s="1188"/>
    </row>
    <row r="107" spans="1:10" ht="36" x14ac:dyDescent="0.2">
      <c r="A107" s="1186" t="s">
        <v>4842</v>
      </c>
      <c r="B107" s="1187" t="s">
        <v>4030</v>
      </c>
      <c r="C107" s="1187" t="s">
        <v>4031</v>
      </c>
      <c r="D107" s="1187" t="s">
        <v>4843</v>
      </c>
      <c r="E107" s="1264">
        <v>172284.72</v>
      </c>
      <c r="F107" s="1187" t="s">
        <v>4844</v>
      </c>
      <c r="G107" s="1188" t="s">
        <v>4704</v>
      </c>
      <c r="H107" s="1190">
        <v>44194</v>
      </c>
      <c r="I107" s="1190">
        <v>44196</v>
      </c>
      <c r="J107" s="1188"/>
    </row>
    <row r="108" spans="1:10" ht="36" x14ac:dyDescent="0.2">
      <c r="A108" s="1186" t="s">
        <v>4845</v>
      </c>
      <c r="B108" s="1187" t="s">
        <v>4680</v>
      </c>
      <c r="C108" s="1187" t="s">
        <v>4784</v>
      </c>
      <c r="D108" s="1187" t="s">
        <v>4846</v>
      </c>
      <c r="E108" s="1264">
        <v>257760</v>
      </c>
      <c r="F108" s="1187" t="s">
        <v>4847</v>
      </c>
      <c r="G108" s="1188" t="s">
        <v>4711</v>
      </c>
      <c r="H108" s="1190">
        <v>44329</v>
      </c>
      <c r="I108" s="1190">
        <v>44742</v>
      </c>
      <c r="J108" s="1188"/>
    </row>
    <row r="109" spans="1:10" ht="24" x14ac:dyDescent="0.2">
      <c r="A109" s="1186" t="s">
        <v>4848</v>
      </c>
      <c r="B109" s="1187" t="s">
        <v>4680</v>
      </c>
      <c r="C109" s="1187" t="s">
        <v>4031</v>
      </c>
      <c r="D109" s="1187" t="s">
        <v>4849</v>
      </c>
      <c r="E109" s="1264">
        <v>117300</v>
      </c>
      <c r="F109" s="1187" t="s">
        <v>4814</v>
      </c>
      <c r="G109" s="1188" t="s">
        <v>4704</v>
      </c>
      <c r="H109" s="1190">
        <v>44309</v>
      </c>
      <c r="I109" s="1190">
        <v>44340</v>
      </c>
      <c r="J109" s="1188"/>
    </row>
    <row r="110" spans="1:10" ht="36" x14ac:dyDescent="0.2">
      <c r="A110" s="1186" t="s">
        <v>4850</v>
      </c>
      <c r="B110" s="1187" t="s">
        <v>4680</v>
      </c>
      <c r="C110" s="1187" t="s">
        <v>4031</v>
      </c>
      <c r="D110" s="1187" t="s">
        <v>4851</v>
      </c>
      <c r="E110" s="1264">
        <v>55991</v>
      </c>
      <c r="F110" s="1187" t="s">
        <v>4710</v>
      </c>
      <c r="G110" s="1188" t="s">
        <v>4711</v>
      </c>
      <c r="H110" s="1190">
        <v>44334</v>
      </c>
      <c r="I110" s="1190">
        <v>44711</v>
      </c>
      <c r="J110" s="1188"/>
    </row>
    <row r="111" spans="1:10" ht="24" x14ac:dyDescent="0.2">
      <c r="A111" s="1186" t="s">
        <v>4852</v>
      </c>
      <c r="B111" s="1187" t="s">
        <v>4680</v>
      </c>
      <c r="C111" s="1187" t="s">
        <v>4031</v>
      </c>
      <c r="D111" s="1187" t="s">
        <v>4853</v>
      </c>
      <c r="E111" s="1264">
        <v>31350</v>
      </c>
      <c r="F111" s="1187" t="s">
        <v>4854</v>
      </c>
      <c r="G111" s="1188" t="s">
        <v>4704</v>
      </c>
      <c r="H111" s="1190">
        <v>44356</v>
      </c>
      <c r="I111" s="1190">
        <v>44372</v>
      </c>
      <c r="J111" s="1188"/>
    </row>
    <row r="112" spans="1:10" ht="24" x14ac:dyDescent="0.2">
      <c r="A112" s="1186" t="s">
        <v>4855</v>
      </c>
      <c r="B112" s="1187" t="s">
        <v>4680</v>
      </c>
      <c r="C112" s="1187" t="s">
        <v>4031</v>
      </c>
      <c r="D112" s="1187" t="s">
        <v>4856</v>
      </c>
      <c r="E112" s="1264">
        <v>49560</v>
      </c>
      <c r="F112" s="1187" t="s">
        <v>4857</v>
      </c>
      <c r="G112" s="1188" t="s">
        <v>4704</v>
      </c>
      <c r="H112" s="1190">
        <v>44351</v>
      </c>
      <c r="I112" s="1190">
        <v>44379</v>
      </c>
      <c r="J112" s="1188"/>
    </row>
    <row r="113" spans="1:10" ht="24" x14ac:dyDescent="0.2">
      <c r="A113" s="1186" t="s">
        <v>4858</v>
      </c>
      <c r="B113" s="1187" t="s">
        <v>4680</v>
      </c>
      <c r="C113" s="1187" t="s">
        <v>4031</v>
      </c>
      <c r="D113" s="1187" t="s">
        <v>4859</v>
      </c>
      <c r="E113" s="1264">
        <v>175500</v>
      </c>
      <c r="F113" s="1187" t="s">
        <v>4860</v>
      </c>
      <c r="G113" s="1188" t="s">
        <v>4711</v>
      </c>
      <c r="H113" s="1190">
        <v>44469</v>
      </c>
      <c r="I113" s="1190">
        <v>44531</v>
      </c>
      <c r="J113" s="1188"/>
    </row>
    <row r="114" spans="1:10" ht="24" x14ac:dyDescent="0.2">
      <c r="A114" s="1186" t="s">
        <v>4812</v>
      </c>
      <c r="B114" s="1187" t="s">
        <v>4680</v>
      </c>
      <c r="C114" s="1187" t="s">
        <v>4031</v>
      </c>
      <c r="D114" s="1187" t="s">
        <v>4861</v>
      </c>
      <c r="E114" s="1264">
        <v>69900</v>
      </c>
      <c r="F114" s="1187" t="s">
        <v>4862</v>
      </c>
      <c r="G114" s="1188" t="s">
        <v>4863</v>
      </c>
      <c r="H114" s="1188"/>
      <c r="I114" s="1188"/>
      <c r="J114" s="1188"/>
    </row>
    <row r="115" spans="1:10" ht="36" x14ac:dyDescent="0.2">
      <c r="A115" s="1186" t="s">
        <v>4864</v>
      </c>
      <c r="B115" s="1187" t="s">
        <v>4680</v>
      </c>
      <c r="C115" s="1187" t="s">
        <v>4031</v>
      </c>
      <c r="D115" s="1187" t="s">
        <v>4865</v>
      </c>
      <c r="E115" s="1264">
        <v>85800</v>
      </c>
      <c r="F115" s="1187"/>
      <c r="G115" s="1188" t="s">
        <v>4866</v>
      </c>
      <c r="H115" s="1188"/>
      <c r="I115" s="1188"/>
      <c r="J115" s="1188"/>
    </row>
    <row r="116" spans="1:10" ht="48" x14ac:dyDescent="0.2">
      <c r="A116" s="1186" t="s">
        <v>4867</v>
      </c>
      <c r="B116" s="1187" t="s">
        <v>4721</v>
      </c>
      <c r="C116" s="1187" t="s">
        <v>4784</v>
      </c>
      <c r="D116" s="1187" t="s">
        <v>4868</v>
      </c>
      <c r="E116" s="1264">
        <v>217838</v>
      </c>
      <c r="F116" s="1187" t="s">
        <v>4786</v>
      </c>
      <c r="G116" s="1188" t="s">
        <v>4704</v>
      </c>
      <c r="H116" s="1190">
        <v>44250</v>
      </c>
      <c r="I116" s="1190">
        <v>44469</v>
      </c>
      <c r="J116" s="1188"/>
    </row>
    <row r="117" spans="1:10" ht="24" x14ac:dyDescent="0.2">
      <c r="A117" s="1186" t="s">
        <v>4869</v>
      </c>
      <c r="B117" s="1187" t="s">
        <v>4721</v>
      </c>
      <c r="C117" s="1187" t="s">
        <v>4031</v>
      </c>
      <c r="D117" s="1187" t="s">
        <v>4870</v>
      </c>
      <c r="E117" s="1264">
        <v>246400</v>
      </c>
      <c r="F117" s="1187" t="s">
        <v>4871</v>
      </c>
      <c r="G117" s="1188" t="s">
        <v>4711</v>
      </c>
      <c r="H117" s="1190">
        <v>44362</v>
      </c>
      <c r="I117" s="1190">
        <v>44593</v>
      </c>
      <c r="J117" s="1188"/>
    </row>
    <row r="118" spans="1:10" ht="36" x14ac:dyDescent="0.2">
      <c r="A118" s="1186" t="s">
        <v>4872</v>
      </c>
      <c r="B118" s="1187" t="s">
        <v>4721</v>
      </c>
      <c r="C118" s="1187" t="s">
        <v>4031</v>
      </c>
      <c r="D118" s="1187" t="s">
        <v>4873</v>
      </c>
      <c r="E118" s="1264">
        <v>108290</v>
      </c>
      <c r="F118" s="1187" t="s">
        <v>4874</v>
      </c>
      <c r="G118" s="1188" t="s">
        <v>4875</v>
      </c>
      <c r="H118" s="1188"/>
      <c r="I118" s="1188"/>
      <c r="J118" s="1188"/>
    </row>
    <row r="119" spans="1:10" ht="24" x14ac:dyDescent="0.2">
      <c r="A119" s="1186" t="s">
        <v>4876</v>
      </c>
      <c r="B119" s="1187" t="s">
        <v>4030</v>
      </c>
      <c r="C119" s="1187" t="s">
        <v>4031</v>
      </c>
      <c r="D119" s="1187" t="s">
        <v>4877</v>
      </c>
      <c r="E119" s="1264">
        <v>95000</v>
      </c>
      <c r="F119" s="1187" t="s">
        <v>4804</v>
      </c>
      <c r="G119" s="1188" t="s">
        <v>4704</v>
      </c>
      <c r="H119" s="1190">
        <v>44260</v>
      </c>
      <c r="I119" s="1190">
        <v>44336</v>
      </c>
      <c r="J119" s="1188"/>
    </row>
    <row r="120" spans="1:10" ht="24" x14ac:dyDescent="0.2">
      <c r="A120" s="1186" t="s">
        <v>4878</v>
      </c>
      <c r="B120" s="1187" t="s">
        <v>4030</v>
      </c>
      <c r="C120" s="1187" t="s">
        <v>4031</v>
      </c>
      <c r="D120" s="1187" t="s">
        <v>4879</v>
      </c>
      <c r="E120" s="1264">
        <v>60000</v>
      </c>
      <c r="F120" s="1187" t="s">
        <v>4880</v>
      </c>
      <c r="G120" s="1188" t="s">
        <v>4711</v>
      </c>
      <c r="H120" s="1190">
        <v>44329</v>
      </c>
      <c r="I120" s="1190">
        <v>44513</v>
      </c>
      <c r="J120" s="1188"/>
    </row>
    <row r="121" spans="1:10" ht="24" x14ac:dyDescent="0.2">
      <c r="A121" s="1186" t="s">
        <v>4881</v>
      </c>
      <c r="B121" s="1187" t="s">
        <v>4721</v>
      </c>
      <c r="C121" s="1187" t="s">
        <v>4031</v>
      </c>
      <c r="D121" s="1187"/>
      <c r="E121" s="1264">
        <v>50850</v>
      </c>
      <c r="F121" s="1187"/>
      <c r="G121" s="1188"/>
      <c r="H121" s="1190"/>
      <c r="I121" s="1190"/>
      <c r="J121" s="1188"/>
    </row>
    <row r="122" spans="1:10" x14ac:dyDescent="0.2">
      <c r="A122" s="1186" t="s">
        <v>4724</v>
      </c>
      <c r="B122" s="1187" t="s">
        <v>4721</v>
      </c>
      <c r="C122" s="1187" t="s">
        <v>4031</v>
      </c>
      <c r="D122" s="1187"/>
      <c r="E122" s="1264">
        <v>78000</v>
      </c>
      <c r="F122" s="1187"/>
      <c r="G122" s="1188"/>
      <c r="H122" s="1190"/>
      <c r="I122" s="1190"/>
      <c r="J122" s="1188"/>
    </row>
    <row r="123" spans="1:10" ht="24" x14ac:dyDescent="0.2">
      <c r="A123" s="1186" t="s">
        <v>4882</v>
      </c>
      <c r="B123" s="1187" t="s">
        <v>4680</v>
      </c>
      <c r="C123" s="1187" t="s">
        <v>4031</v>
      </c>
      <c r="D123" s="1187"/>
      <c r="E123" s="1264">
        <v>350000</v>
      </c>
      <c r="F123" s="1187"/>
      <c r="G123" s="1188"/>
      <c r="H123" s="1190"/>
      <c r="I123" s="1190"/>
      <c r="J123" s="1188"/>
    </row>
    <row r="124" spans="1:10" ht="24" x14ac:dyDescent="0.2">
      <c r="A124" s="1186" t="s">
        <v>4881</v>
      </c>
      <c r="B124" s="1187" t="s">
        <v>4680</v>
      </c>
      <c r="C124" s="1187" t="s">
        <v>4031</v>
      </c>
      <c r="D124" s="1187"/>
      <c r="E124" s="1264">
        <v>92000</v>
      </c>
      <c r="F124" s="1187"/>
      <c r="G124" s="1188"/>
      <c r="H124" s="1190"/>
      <c r="I124" s="1190"/>
      <c r="J124" s="1188"/>
    </row>
    <row r="125" spans="1:10" ht="24" x14ac:dyDescent="0.2">
      <c r="A125" s="1186" t="s">
        <v>4883</v>
      </c>
      <c r="B125" s="1187" t="s">
        <v>4680</v>
      </c>
      <c r="C125" s="1187" t="s">
        <v>4031</v>
      </c>
      <c r="D125" s="1187"/>
      <c r="E125" s="1264">
        <v>230000</v>
      </c>
      <c r="F125" s="1187"/>
      <c r="G125" s="1188"/>
      <c r="H125" s="1190"/>
      <c r="I125" s="1190"/>
      <c r="J125" s="1188"/>
    </row>
    <row r="126" spans="1:10" ht="36" x14ac:dyDescent="0.2">
      <c r="A126" s="1186" t="s">
        <v>4850</v>
      </c>
      <c r="B126" s="1187" t="s">
        <v>4680</v>
      </c>
      <c r="C126" s="1187" t="s">
        <v>4031</v>
      </c>
      <c r="D126" s="1187"/>
      <c r="E126" s="1264">
        <v>54989</v>
      </c>
      <c r="F126" s="1187"/>
      <c r="G126" s="1188"/>
      <c r="H126" s="1190"/>
      <c r="I126" s="1190"/>
      <c r="J126" s="1188"/>
    </row>
    <row r="127" spans="1:10" ht="36" x14ac:dyDescent="0.2">
      <c r="A127" s="1186" t="s">
        <v>4718</v>
      </c>
      <c r="B127" s="1187" t="s">
        <v>4680</v>
      </c>
      <c r="C127" s="1187" t="s">
        <v>4031</v>
      </c>
      <c r="D127" s="1187"/>
      <c r="E127" s="1264">
        <v>224700</v>
      </c>
      <c r="F127" s="1187"/>
      <c r="G127" s="1188"/>
      <c r="H127" s="1190"/>
      <c r="I127" s="1190"/>
      <c r="J127" s="1188"/>
    </row>
    <row r="128" spans="1:10" ht="48" x14ac:dyDescent="0.2">
      <c r="A128" s="1186" t="s">
        <v>4867</v>
      </c>
      <c r="B128" s="1187" t="s">
        <v>4721</v>
      </c>
      <c r="C128" s="1187" t="s">
        <v>4784</v>
      </c>
      <c r="D128" s="1187"/>
      <c r="E128" s="1264">
        <v>204602</v>
      </c>
      <c r="F128" s="1187"/>
      <c r="G128" s="1188"/>
      <c r="H128" s="1190"/>
      <c r="I128" s="1190"/>
      <c r="J128" s="1188"/>
    </row>
    <row r="129" spans="1:10" x14ac:dyDescent="0.2">
      <c r="A129" s="1186" t="s">
        <v>4884</v>
      </c>
      <c r="B129" s="1187" t="s">
        <v>4885</v>
      </c>
      <c r="C129" s="1187"/>
      <c r="D129" s="1187"/>
      <c r="E129" s="1264">
        <v>112006</v>
      </c>
      <c r="F129" s="1187"/>
      <c r="G129" s="1188"/>
      <c r="H129" s="1188"/>
      <c r="I129" s="1188"/>
      <c r="J129" s="1188"/>
    </row>
    <row r="130" spans="1:10" ht="24" x14ac:dyDescent="0.2">
      <c r="A130" s="1186" t="s">
        <v>4886</v>
      </c>
      <c r="B130" s="1187" t="s">
        <v>4887</v>
      </c>
      <c r="C130" s="1187"/>
      <c r="D130" s="1187"/>
      <c r="E130" s="1264">
        <v>35000</v>
      </c>
      <c r="F130" s="1187"/>
      <c r="G130" s="1188"/>
      <c r="H130" s="1188"/>
      <c r="I130" s="1188"/>
      <c r="J130" s="1188"/>
    </row>
    <row r="131" spans="1:10" ht="24" x14ac:dyDescent="0.2">
      <c r="A131" s="1186" t="s">
        <v>4888</v>
      </c>
      <c r="B131" s="1187" t="s">
        <v>4889</v>
      </c>
      <c r="C131" s="1187"/>
      <c r="D131" s="1187"/>
      <c r="E131" s="1264">
        <v>606968</v>
      </c>
      <c r="F131" s="1187"/>
      <c r="G131" s="1188"/>
      <c r="H131" s="1188"/>
      <c r="I131" s="1188"/>
      <c r="J131" s="1188"/>
    </row>
    <row r="132" spans="1:10" ht="24" x14ac:dyDescent="0.2">
      <c r="A132" s="1186" t="s">
        <v>4890</v>
      </c>
      <c r="B132" s="1187" t="s">
        <v>4889</v>
      </c>
      <c r="C132" s="1187"/>
      <c r="D132" s="1187"/>
      <c r="E132" s="1264">
        <v>600000</v>
      </c>
      <c r="F132" s="1187"/>
      <c r="G132" s="1188"/>
      <c r="H132" s="1188"/>
      <c r="I132" s="1188"/>
      <c r="J132" s="1188"/>
    </row>
    <row r="133" spans="1:10" ht="24" x14ac:dyDescent="0.2">
      <c r="A133" s="1186" t="s">
        <v>4891</v>
      </c>
      <c r="B133" s="1187" t="s">
        <v>4680</v>
      </c>
      <c r="C133" s="1187"/>
      <c r="D133" s="1187"/>
      <c r="E133" s="1264">
        <v>207000</v>
      </c>
      <c r="F133" s="1187"/>
      <c r="G133" s="1188"/>
      <c r="H133" s="1188"/>
      <c r="I133" s="1188"/>
      <c r="J133" s="1188"/>
    </row>
    <row r="134" spans="1:10" ht="24" x14ac:dyDescent="0.2">
      <c r="A134" s="1186" t="s">
        <v>4892</v>
      </c>
      <c r="B134" s="1187" t="s">
        <v>4680</v>
      </c>
      <c r="C134" s="1187"/>
      <c r="D134" s="1187"/>
      <c r="E134" s="1264">
        <v>58769</v>
      </c>
      <c r="F134" s="1187"/>
      <c r="G134" s="1188"/>
      <c r="H134" s="1188"/>
      <c r="I134" s="1188"/>
      <c r="J134" s="1188"/>
    </row>
    <row r="135" spans="1:10" ht="24" x14ac:dyDescent="0.2">
      <c r="A135" s="1186" t="s">
        <v>4893</v>
      </c>
      <c r="B135" s="1187" t="s">
        <v>4680</v>
      </c>
      <c r="C135" s="1187"/>
      <c r="D135" s="1187"/>
      <c r="E135" s="1264">
        <v>50000</v>
      </c>
      <c r="F135" s="1187"/>
      <c r="G135" s="1188"/>
      <c r="H135" s="1188"/>
      <c r="I135" s="1188"/>
      <c r="J135" s="1188"/>
    </row>
    <row r="136" spans="1:10" ht="24" x14ac:dyDescent="0.2">
      <c r="A136" s="1186" t="s">
        <v>4894</v>
      </c>
      <c r="B136" s="1187" t="s">
        <v>4680</v>
      </c>
      <c r="C136" s="1187"/>
      <c r="D136" s="1187"/>
      <c r="E136" s="1264">
        <v>278243</v>
      </c>
      <c r="F136" s="1187"/>
      <c r="G136" s="1188"/>
      <c r="H136" s="1188"/>
      <c r="I136" s="1188"/>
      <c r="J136" s="1188"/>
    </row>
    <row r="137" spans="1:10" ht="24" x14ac:dyDescent="0.2">
      <c r="A137" s="1186" t="s">
        <v>4895</v>
      </c>
      <c r="B137" s="1187" t="s">
        <v>4680</v>
      </c>
      <c r="C137" s="1187"/>
      <c r="D137" s="1187"/>
      <c r="E137" s="1264">
        <v>50000</v>
      </c>
      <c r="F137" s="1187"/>
      <c r="G137" s="1188"/>
      <c r="H137" s="1188"/>
      <c r="I137" s="1188"/>
      <c r="J137" s="1188"/>
    </row>
    <row r="138" spans="1:10" ht="24" x14ac:dyDescent="0.2">
      <c r="A138" s="1186" t="s">
        <v>4896</v>
      </c>
      <c r="B138" s="1186" t="s">
        <v>4897</v>
      </c>
      <c r="C138" s="1187"/>
      <c r="D138" s="1187"/>
      <c r="E138" s="1264">
        <v>542300</v>
      </c>
      <c r="F138" s="1187"/>
      <c r="G138" s="1188"/>
      <c r="H138" s="1188"/>
      <c r="I138" s="1188"/>
      <c r="J138" s="1188"/>
    </row>
    <row r="139" spans="1:10" ht="24" x14ac:dyDescent="0.2">
      <c r="A139" s="1186" t="s">
        <v>4898</v>
      </c>
      <c r="B139" s="1186" t="s">
        <v>4897</v>
      </c>
      <c r="C139" s="1187"/>
      <c r="D139" s="1187"/>
      <c r="E139" s="1264">
        <v>497144</v>
      </c>
      <c r="F139" s="1187"/>
      <c r="G139" s="1188"/>
      <c r="H139" s="1188"/>
      <c r="I139" s="1188"/>
      <c r="J139" s="1188"/>
    </row>
    <row r="140" spans="1:10" ht="24" x14ac:dyDescent="0.2">
      <c r="A140" s="1186" t="s">
        <v>4899</v>
      </c>
      <c r="B140" s="1186" t="s">
        <v>4897</v>
      </c>
      <c r="C140" s="1187"/>
      <c r="D140" s="1187"/>
      <c r="E140" s="1264">
        <v>61800</v>
      </c>
      <c r="F140" s="1187"/>
      <c r="G140" s="1188"/>
      <c r="H140" s="1188"/>
      <c r="I140" s="1188"/>
      <c r="J140" s="1188"/>
    </row>
    <row r="141" spans="1:10" ht="24" x14ac:dyDescent="0.2">
      <c r="A141" s="1186" t="s">
        <v>4900</v>
      </c>
      <c r="B141" s="1186" t="s">
        <v>4897</v>
      </c>
      <c r="C141" s="1187"/>
      <c r="D141" s="1187"/>
      <c r="E141" s="1264">
        <v>30000</v>
      </c>
      <c r="F141" s="1187"/>
      <c r="G141" s="1188"/>
      <c r="H141" s="1188"/>
      <c r="I141" s="1188"/>
      <c r="J141" s="1188"/>
    </row>
    <row r="142" spans="1:10" ht="24" x14ac:dyDescent="0.2">
      <c r="A142" s="1186" t="s">
        <v>4901</v>
      </c>
      <c r="B142" s="1186" t="s">
        <v>4680</v>
      </c>
      <c r="C142" s="1187"/>
      <c r="D142" s="1187"/>
      <c r="E142" s="1264">
        <v>350000</v>
      </c>
      <c r="F142" s="1187"/>
      <c r="G142" s="1188"/>
      <c r="H142" s="1188"/>
      <c r="I142" s="1188"/>
      <c r="J142" s="1188"/>
    </row>
    <row r="143" spans="1:10" ht="24" x14ac:dyDescent="0.2">
      <c r="A143" s="1186" t="s">
        <v>4902</v>
      </c>
      <c r="B143" s="1186" t="s">
        <v>4680</v>
      </c>
      <c r="C143" s="1187"/>
      <c r="D143" s="1187"/>
      <c r="E143" s="1264">
        <v>80000</v>
      </c>
      <c r="F143" s="1187"/>
      <c r="G143" s="1188"/>
      <c r="H143" s="1188"/>
      <c r="I143" s="1188"/>
      <c r="J143" s="1188"/>
    </row>
    <row r="144" spans="1:10" ht="24" x14ac:dyDescent="0.2">
      <c r="A144" s="1186" t="s">
        <v>4903</v>
      </c>
      <c r="B144" s="1186" t="s">
        <v>4897</v>
      </c>
      <c r="C144" s="1187"/>
      <c r="D144" s="1187"/>
      <c r="E144" s="1264">
        <v>30000</v>
      </c>
      <c r="F144" s="1187"/>
      <c r="G144" s="1188"/>
      <c r="H144" s="1188"/>
      <c r="I144" s="1188"/>
      <c r="J144" s="1188"/>
    </row>
    <row r="145" spans="1:10" ht="24" x14ac:dyDescent="0.2">
      <c r="A145" s="1186" t="s">
        <v>4904</v>
      </c>
      <c r="B145" s="1186" t="s">
        <v>4897</v>
      </c>
      <c r="C145" s="1187"/>
      <c r="D145" s="1187"/>
      <c r="E145" s="1264">
        <v>25000</v>
      </c>
      <c r="F145" s="1187"/>
      <c r="G145" s="1188"/>
      <c r="H145" s="1188"/>
      <c r="I145" s="1188"/>
      <c r="J145" s="1188"/>
    </row>
    <row r="146" spans="1:10" x14ac:dyDescent="0.2">
      <c r="A146" s="1186" t="s">
        <v>4905</v>
      </c>
      <c r="B146" s="1187" t="s">
        <v>4680</v>
      </c>
      <c r="C146" s="1187"/>
      <c r="D146" s="1187"/>
      <c r="E146" s="1264">
        <v>150000</v>
      </c>
      <c r="F146" s="1187"/>
      <c r="G146" s="1188"/>
      <c r="H146" s="1188"/>
      <c r="I146" s="1188"/>
      <c r="J146" s="1188"/>
    </row>
    <row r="147" spans="1:10" ht="24" x14ac:dyDescent="0.2">
      <c r="A147" s="1210" t="s">
        <v>4906</v>
      </c>
      <c r="B147" s="1187"/>
      <c r="C147" s="1194"/>
      <c r="D147" s="1194"/>
      <c r="E147" s="1264"/>
      <c r="F147" s="1187"/>
      <c r="G147" s="1188"/>
      <c r="H147" s="1188"/>
      <c r="I147" s="1188"/>
      <c r="J147" s="1188"/>
    </row>
    <row r="148" spans="1:10" x14ac:dyDescent="0.2">
      <c r="A148" s="1218" t="s">
        <v>4907</v>
      </c>
      <c r="B148" s="1215" t="s">
        <v>4908</v>
      </c>
      <c r="C148" s="1194"/>
      <c r="D148" s="1194">
        <v>22</v>
      </c>
      <c r="E148" s="1267" t="s">
        <v>4909</v>
      </c>
      <c r="F148" s="1219" t="s">
        <v>4910</v>
      </c>
      <c r="G148" s="1188" t="s">
        <v>4911</v>
      </c>
      <c r="H148" s="1217">
        <v>44061</v>
      </c>
      <c r="I148" s="1188"/>
      <c r="J148" s="1188"/>
    </row>
    <row r="149" spans="1:10" ht="24" x14ac:dyDescent="0.2">
      <c r="A149" s="1218" t="s">
        <v>4912</v>
      </c>
      <c r="B149" s="1215" t="s">
        <v>4908</v>
      </c>
      <c r="C149" s="1194"/>
      <c r="D149" s="1194">
        <v>31</v>
      </c>
      <c r="E149" s="1267" t="s">
        <v>4913</v>
      </c>
      <c r="F149" s="1216" t="s">
        <v>4914</v>
      </c>
      <c r="G149" s="1188" t="s">
        <v>4911</v>
      </c>
      <c r="H149" s="1217">
        <v>43852</v>
      </c>
      <c r="I149" s="1188"/>
      <c r="J149" s="1188"/>
    </row>
    <row r="150" spans="1:10" ht="24" x14ac:dyDescent="0.2">
      <c r="A150" s="1218" t="s">
        <v>4915</v>
      </c>
      <c r="B150" s="1215" t="s">
        <v>4916</v>
      </c>
      <c r="C150" s="1194"/>
      <c r="D150" s="1194">
        <v>2</v>
      </c>
      <c r="E150" s="1267" t="s">
        <v>4917</v>
      </c>
      <c r="F150" s="1216" t="s">
        <v>4918</v>
      </c>
      <c r="G150" s="1188" t="s">
        <v>4911</v>
      </c>
      <c r="H150" s="1217">
        <v>43825</v>
      </c>
      <c r="I150" s="1188"/>
      <c r="J150" s="1188"/>
    </row>
    <row r="151" spans="1:10" ht="36" x14ac:dyDescent="0.2">
      <c r="A151" s="1218" t="s">
        <v>4919</v>
      </c>
      <c r="B151" s="1215" t="s">
        <v>4908</v>
      </c>
      <c r="C151" s="1194"/>
      <c r="D151" s="1194">
        <v>27</v>
      </c>
      <c r="E151" s="1267" t="s">
        <v>4920</v>
      </c>
      <c r="F151" s="1216" t="s">
        <v>4921</v>
      </c>
      <c r="G151" s="1188" t="s">
        <v>4911</v>
      </c>
      <c r="H151" s="1217">
        <v>43830</v>
      </c>
      <c r="I151" s="1188"/>
      <c r="J151" s="1188"/>
    </row>
    <row r="152" spans="1:10" ht="48" x14ac:dyDescent="0.2">
      <c r="A152" s="1218" t="s">
        <v>4922</v>
      </c>
      <c r="B152" s="1215" t="s">
        <v>4908</v>
      </c>
      <c r="C152" s="1194"/>
      <c r="D152" s="1194">
        <v>24</v>
      </c>
      <c r="E152" s="1267" t="s">
        <v>4923</v>
      </c>
      <c r="F152" s="1216" t="s">
        <v>4924</v>
      </c>
      <c r="G152" s="1188" t="s">
        <v>4911</v>
      </c>
      <c r="H152" s="1217">
        <v>43829</v>
      </c>
      <c r="I152" s="1188"/>
      <c r="J152" s="1188"/>
    </row>
    <row r="153" spans="1:10" ht="24" x14ac:dyDescent="0.2">
      <c r="A153" s="1218" t="s">
        <v>4925</v>
      </c>
      <c r="B153" s="1215" t="s">
        <v>4908</v>
      </c>
      <c r="C153" s="1194"/>
      <c r="D153" s="1194">
        <v>23</v>
      </c>
      <c r="E153" s="1267" t="s">
        <v>4926</v>
      </c>
      <c r="F153" s="1216" t="s">
        <v>4927</v>
      </c>
      <c r="G153" s="1188" t="s">
        <v>4911</v>
      </c>
      <c r="H153" s="1217">
        <v>43871</v>
      </c>
      <c r="I153" s="1188"/>
      <c r="J153" s="1188"/>
    </row>
    <row r="154" spans="1:10" ht="24" x14ac:dyDescent="0.2">
      <c r="A154" s="1218" t="s">
        <v>4928</v>
      </c>
      <c r="B154" s="1215" t="s">
        <v>4916</v>
      </c>
      <c r="C154" s="1194"/>
      <c r="D154" s="1194">
        <v>1</v>
      </c>
      <c r="E154" s="1267" t="s">
        <v>4929</v>
      </c>
      <c r="F154" s="1216" t="s">
        <v>4930</v>
      </c>
      <c r="G154" s="1188" t="s">
        <v>4911</v>
      </c>
      <c r="H154" s="1217">
        <v>43822</v>
      </c>
      <c r="I154" s="1188"/>
      <c r="J154" s="1188"/>
    </row>
    <row r="155" spans="1:10" x14ac:dyDescent="0.2">
      <c r="A155" s="1218" t="s">
        <v>4931</v>
      </c>
      <c r="B155" s="1215" t="s">
        <v>4908</v>
      </c>
      <c r="C155" s="1194"/>
      <c r="D155" s="1194">
        <v>8</v>
      </c>
      <c r="E155" s="1267" t="s">
        <v>4932</v>
      </c>
      <c r="F155" s="1216" t="s">
        <v>4933</v>
      </c>
      <c r="G155" s="1188" t="s">
        <v>4911</v>
      </c>
      <c r="H155" s="1217">
        <v>43830</v>
      </c>
      <c r="I155" s="1188"/>
      <c r="J155" s="1188"/>
    </row>
    <row r="156" spans="1:10" ht="36" x14ac:dyDescent="0.2">
      <c r="A156" s="1218" t="s">
        <v>4934</v>
      </c>
      <c r="B156" s="1218" t="s">
        <v>4935</v>
      </c>
      <c r="C156" s="1194"/>
      <c r="D156" s="1194">
        <v>11</v>
      </c>
      <c r="E156" s="1267" t="s">
        <v>4936</v>
      </c>
      <c r="F156" s="1216" t="s">
        <v>4937</v>
      </c>
      <c r="G156" s="1188" t="s">
        <v>4911</v>
      </c>
      <c r="H156" s="1217">
        <v>44000</v>
      </c>
      <c r="I156" s="1188"/>
      <c r="J156" s="1188"/>
    </row>
    <row r="157" spans="1:10" ht="24" x14ac:dyDescent="0.2">
      <c r="A157" s="1218" t="s">
        <v>4938</v>
      </c>
      <c r="B157" s="1215" t="s">
        <v>4939</v>
      </c>
      <c r="C157" s="1194"/>
      <c r="D157" s="1194">
        <v>4</v>
      </c>
      <c r="E157" s="1267">
        <v>140448</v>
      </c>
      <c r="F157" s="1216" t="s">
        <v>4940</v>
      </c>
      <c r="G157" s="1188" t="s">
        <v>4911</v>
      </c>
      <c r="H157" s="1217">
        <v>43825</v>
      </c>
      <c r="I157" s="1188"/>
      <c r="J157" s="1188"/>
    </row>
    <row r="158" spans="1:10" ht="48" x14ac:dyDescent="0.2">
      <c r="A158" s="1218" t="s">
        <v>4941</v>
      </c>
      <c r="B158" s="1215" t="s">
        <v>4908</v>
      </c>
      <c r="C158" s="1194"/>
      <c r="D158" s="1194">
        <v>19</v>
      </c>
      <c r="E158" s="1266">
        <v>27322.59</v>
      </c>
      <c r="F158" s="1216" t="s">
        <v>4942</v>
      </c>
      <c r="G158" s="1188" t="s">
        <v>4911</v>
      </c>
      <c r="H158" s="1217">
        <v>43815</v>
      </c>
      <c r="I158" s="1188"/>
      <c r="J158" s="1188"/>
    </row>
    <row r="159" spans="1:10" ht="36" x14ac:dyDescent="0.2">
      <c r="A159" s="1218" t="s">
        <v>4943</v>
      </c>
      <c r="B159" s="1215" t="s">
        <v>4908</v>
      </c>
      <c r="C159" s="1194"/>
      <c r="D159" s="1194">
        <v>17</v>
      </c>
      <c r="E159" s="1266">
        <v>80667.360000000001</v>
      </c>
      <c r="F159" s="1216" t="s">
        <v>4944</v>
      </c>
      <c r="G159" s="1188" t="s">
        <v>4911</v>
      </c>
      <c r="H159" s="1217">
        <v>43815</v>
      </c>
      <c r="I159" s="1188"/>
      <c r="J159" s="1188"/>
    </row>
    <row r="160" spans="1:10" ht="24" x14ac:dyDescent="0.2">
      <c r="A160" s="1218" t="s">
        <v>4945</v>
      </c>
      <c r="B160" s="1215" t="s">
        <v>4908</v>
      </c>
      <c r="C160" s="1194"/>
      <c r="D160" s="1194">
        <v>21</v>
      </c>
      <c r="E160" s="1266">
        <v>150000</v>
      </c>
      <c r="F160" s="1216" t="s">
        <v>4946</v>
      </c>
      <c r="G160" s="1188" t="s">
        <v>4911</v>
      </c>
      <c r="H160" s="1217">
        <v>43810</v>
      </c>
      <c r="I160" s="1188"/>
      <c r="J160" s="1188"/>
    </row>
    <row r="161" spans="1:10" ht="24" x14ac:dyDescent="0.2">
      <c r="A161" s="1218" t="s">
        <v>4947</v>
      </c>
      <c r="B161" s="1215" t="s">
        <v>4908</v>
      </c>
      <c r="C161" s="1194"/>
      <c r="D161" s="1194">
        <v>20</v>
      </c>
      <c r="E161" s="1266">
        <v>165600</v>
      </c>
      <c r="F161" s="1216" t="s">
        <v>4948</v>
      </c>
      <c r="G161" s="1188" t="s">
        <v>4911</v>
      </c>
      <c r="H161" s="1217">
        <v>43830</v>
      </c>
      <c r="I161" s="1188"/>
      <c r="J161" s="1188"/>
    </row>
    <row r="162" spans="1:10" ht="36" x14ac:dyDescent="0.2">
      <c r="A162" s="1218" t="s">
        <v>4949</v>
      </c>
      <c r="B162" s="1215" t="s">
        <v>4935</v>
      </c>
      <c r="C162" s="1194"/>
      <c r="D162" s="1194">
        <v>10</v>
      </c>
      <c r="E162" s="1266">
        <v>964440</v>
      </c>
      <c r="F162" s="1216" t="s">
        <v>4950</v>
      </c>
      <c r="G162" s="1188" t="s">
        <v>4911</v>
      </c>
      <c r="H162" s="1217">
        <v>43830</v>
      </c>
      <c r="I162" s="1188"/>
      <c r="J162" s="1188"/>
    </row>
    <row r="163" spans="1:10" x14ac:dyDescent="0.2">
      <c r="A163" s="1218" t="s">
        <v>4951</v>
      </c>
      <c r="B163" s="1215" t="s">
        <v>4908</v>
      </c>
      <c r="C163" s="1194"/>
      <c r="D163" s="1194">
        <v>12</v>
      </c>
      <c r="E163" s="1266">
        <v>194394</v>
      </c>
      <c r="F163" s="1216" t="s">
        <v>4952</v>
      </c>
      <c r="G163" s="1188" t="s">
        <v>4911</v>
      </c>
      <c r="H163" s="1217">
        <v>43815</v>
      </c>
      <c r="I163" s="1188"/>
      <c r="J163" s="1188"/>
    </row>
    <row r="164" spans="1:10" ht="72" x14ac:dyDescent="0.2">
      <c r="A164" s="1218" t="s">
        <v>4953</v>
      </c>
      <c r="B164" s="1215" t="s">
        <v>4954</v>
      </c>
      <c r="C164" s="1194"/>
      <c r="D164" s="1194">
        <v>1</v>
      </c>
      <c r="E164" s="1266">
        <v>249696.1</v>
      </c>
      <c r="F164" s="1220" t="s">
        <v>4955</v>
      </c>
      <c r="G164" s="1188" t="s">
        <v>4911</v>
      </c>
      <c r="H164" s="1217">
        <v>43816</v>
      </c>
      <c r="I164" s="1188"/>
      <c r="J164" s="1188"/>
    </row>
    <row r="165" spans="1:10" ht="24" x14ac:dyDescent="0.2">
      <c r="A165" s="1218" t="s">
        <v>4956</v>
      </c>
      <c r="B165" s="1215" t="s">
        <v>4908</v>
      </c>
      <c r="C165" s="1194"/>
      <c r="D165" s="1194">
        <v>13</v>
      </c>
      <c r="E165" s="1266">
        <v>60138.49</v>
      </c>
      <c r="F165" s="1216" t="s">
        <v>4957</v>
      </c>
      <c r="G165" s="1188" t="s">
        <v>4911</v>
      </c>
      <c r="H165" s="1217">
        <v>43802</v>
      </c>
      <c r="I165" s="1188"/>
      <c r="J165" s="1188"/>
    </row>
    <row r="166" spans="1:10" ht="24" x14ac:dyDescent="0.2">
      <c r="A166" s="1218" t="s">
        <v>4958</v>
      </c>
      <c r="B166" s="1215" t="s">
        <v>4908</v>
      </c>
      <c r="C166" s="1194"/>
      <c r="D166" s="1194">
        <v>18</v>
      </c>
      <c r="E166" s="1268">
        <v>55426</v>
      </c>
      <c r="F166" s="1216" t="s">
        <v>4959</v>
      </c>
      <c r="G166" s="1188" t="s">
        <v>4911</v>
      </c>
      <c r="H166" s="1217">
        <v>43794</v>
      </c>
      <c r="I166" s="1188"/>
      <c r="J166" s="1188"/>
    </row>
    <row r="167" spans="1:10" ht="36" x14ac:dyDescent="0.2">
      <c r="A167" s="1218" t="s">
        <v>4960</v>
      </c>
      <c r="B167" s="1215" t="s">
        <v>4954</v>
      </c>
      <c r="C167" s="1194"/>
      <c r="D167" s="1194">
        <v>3</v>
      </c>
      <c r="E167" s="1266">
        <v>518100</v>
      </c>
      <c r="F167" s="1216" t="s">
        <v>4961</v>
      </c>
      <c r="G167" s="1188" t="s">
        <v>4911</v>
      </c>
      <c r="H167" s="1217">
        <v>43810</v>
      </c>
      <c r="I167" s="1188"/>
      <c r="J167" s="1188"/>
    </row>
    <row r="168" spans="1:10" ht="48" x14ac:dyDescent="0.2">
      <c r="A168" s="1218" t="s">
        <v>4962</v>
      </c>
      <c r="B168" s="1215" t="s">
        <v>4908</v>
      </c>
      <c r="C168" s="1194"/>
      <c r="D168" s="1194">
        <v>16</v>
      </c>
      <c r="E168" s="1266">
        <v>195400</v>
      </c>
      <c r="F168" s="1216" t="s">
        <v>4963</v>
      </c>
      <c r="G168" s="1188" t="s">
        <v>4911</v>
      </c>
      <c r="H168" s="1217">
        <v>43809</v>
      </c>
      <c r="I168" s="1188"/>
      <c r="J168" s="1188"/>
    </row>
    <row r="169" spans="1:10" ht="24" x14ac:dyDescent="0.2">
      <c r="A169" s="1218" t="s">
        <v>4964</v>
      </c>
      <c r="B169" s="1215" t="s">
        <v>4908</v>
      </c>
      <c r="C169" s="1194"/>
      <c r="D169" s="1194">
        <v>14</v>
      </c>
      <c r="E169" s="1266">
        <v>205000</v>
      </c>
      <c r="F169" s="1216" t="s">
        <v>4411</v>
      </c>
      <c r="G169" s="1188" t="s">
        <v>4911</v>
      </c>
      <c r="H169" s="1217">
        <v>43775</v>
      </c>
      <c r="I169" s="1188"/>
      <c r="J169" s="1188"/>
    </row>
    <row r="170" spans="1:10" ht="24" x14ac:dyDescent="0.2">
      <c r="A170" s="1218" t="s">
        <v>4965</v>
      </c>
      <c r="B170" s="1215" t="s">
        <v>4935</v>
      </c>
      <c r="C170" s="1194"/>
      <c r="D170" s="1194">
        <v>7</v>
      </c>
      <c r="E170" s="1266">
        <v>624000</v>
      </c>
      <c r="F170" s="1216" t="s">
        <v>4966</v>
      </c>
      <c r="G170" s="1188" t="s">
        <v>4911</v>
      </c>
      <c r="H170" s="1217">
        <v>43776</v>
      </c>
      <c r="I170" s="1188"/>
      <c r="J170" s="1188"/>
    </row>
    <row r="171" spans="1:10" ht="36" x14ac:dyDescent="0.2">
      <c r="A171" s="1218" t="s">
        <v>4967</v>
      </c>
      <c r="B171" s="1215" t="s">
        <v>4908</v>
      </c>
      <c r="C171" s="1194"/>
      <c r="D171" s="1194">
        <v>10</v>
      </c>
      <c r="E171" s="1266">
        <v>84600</v>
      </c>
      <c r="F171" s="1216" t="s">
        <v>4968</v>
      </c>
      <c r="G171" s="1188" t="s">
        <v>4911</v>
      </c>
      <c r="H171" s="1217">
        <v>43816</v>
      </c>
      <c r="I171" s="1188"/>
      <c r="J171" s="1188"/>
    </row>
    <row r="172" spans="1:10" ht="36" x14ac:dyDescent="0.2">
      <c r="A172" s="1218" t="s">
        <v>4969</v>
      </c>
      <c r="B172" s="1215" t="s">
        <v>4935</v>
      </c>
      <c r="C172" s="1194"/>
      <c r="D172" s="1194">
        <v>8</v>
      </c>
      <c r="E172" s="1267">
        <v>1012848</v>
      </c>
      <c r="F172" s="1216" t="s">
        <v>4970</v>
      </c>
      <c r="G172" s="1188" t="s">
        <v>4911</v>
      </c>
      <c r="H172" s="1217">
        <v>43789</v>
      </c>
      <c r="I172" s="1188"/>
      <c r="J172" s="1188"/>
    </row>
    <row r="173" spans="1:10" ht="24" x14ac:dyDescent="0.2">
      <c r="A173" s="1218" t="s">
        <v>4971</v>
      </c>
      <c r="B173" s="1215" t="s">
        <v>4908</v>
      </c>
      <c r="C173" s="1194"/>
      <c r="D173" s="1194">
        <v>7</v>
      </c>
      <c r="E173" s="1266">
        <v>79000</v>
      </c>
      <c r="F173" s="1216" t="s">
        <v>4972</v>
      </c>
      <c r="G173" s="1188" t="s">
        <v>4911</v>
      </c>
      <c r="H173" s="1217">
        <v>43721</v>
      </c>
      <c r="I173" s="1188"/>
      <c r="J173" s="1188"/>
    </row>
    <row r="174" spans="1:10" ht="24" x14ac:dyDescent="0.2">
      <c r="A174" s="1218" t="s">
        <v>4973</v>
      </c>
      <c r="B174" s="1215" t="s">
        <v>4908</v>
      </c>
      <c r="C174" s="1194"/>
      <c r="D174" s="1194">
        <v>9</v>
      </c>
      <c r="E174" s="1266">
        <v>299300</v>
      </c>
      <c r="F174" s="1216" t="s">
        <v>4921</v>
      </c>
      <c r="G174" s="1188" t="s">
        <v>4911</v>
      </c>
      <c r="H174" s="1217">
        <v>43732</v>
      </c>
      <c r="I174" s="1188"/>
      <c r="J174" s="1188"/>
    </row>
    <row r="175" spans="1:10" ht="36" x14ac:dyDescent="0.2">
      <c r="A175" s="1218" t="s">
        <v>4974</v>
      </c>
      <c r="B175" s="1215" t="s">
        <v>4935</v>
      </c>
      <c r="C175" s="1194"/>
      <c r="D175" s="1194">
        <v>2</v>
      </c>
      <c r="E175" s="1266">
        <v>577000</v>
      </c>
      <c r="F175" s="1216" t="s">
        <v>4966</v>
      </c>
      <c r="G175" s="1188" t="s">
        <v>4911</v>
      </c>
      <c r="H175" s="1217">
        <v>43752</v>
      </c>
      <c r="I175" s="1188"/>
      <c r="J175" s="1188"/>
    </row>
    <row r="176" spans="1:10" ht="24" x14ac:dyDescent="0.2">
      <c r="A176" s="1218" t="s">
        <v>4975</v>
      </c>
      <c r="B176" s="1215" t="s">
        <v>4939</v>
      </c>
      <c r="C176" s="1194"/>
      <c r="D176" s="1194">
        <v>3</v>
      </c>
      <c r="E176" s="1266">
        <v>98280</v>
      </c>
      <c r="F176" s="1216" t="s">
        <v>4976</v>
      </c>
      <c r="G176" s="1188" t="s">
        <v>4911</v>
      </c>
      <c r="H176" s="1217">
        <v>43717</v>
      </c>
      <c r="I176" s="1188"/>
      <c r="J176" s="1188"/>
    </row>
    <row r="177" spans="1:10" ht="24" x14ac:dyDescent="0.2">
      <c r="A177" s="1218" t="s">
        <v>4977</v>
      </c>
      <c r="B177" s="1215" t="s">
        <v>4939</v>
      </c>
      <c r="C177" s="1194"/>
      <c r="D177" s="1194">
        <v>2</v>
      </c>
      <c r="E177" s="1266">
        <v>89000</v>
      </c>
      <c r="F177" s="1216" t="s">
        <v>4978</v>
      </c>
      <c r="G177" s="1188" t="s">
        <v>4911</v>
      </c>
      <c r="H177" s="1217">
        <v>43705</v>
      </c>
      <c r="I177" s="1188"/>
      <c r="J177" s="1188"/>
    </row>
    <row r="178" spans="1:10" x14ac:dyDescent="0.2">
      <c r="A178" s="1218" t="s">
        <v>4979</v>
      </c>
      <c r="B178" s="1215" t="s">
        <v>4935</v>
      </c>
      <c r="C178" s="1194"/>
      <c r="D178" s="1194">
        <v>4</v>
      </c>
      <c r="E178" s="1267">
        <v>471276</v>
      </c>
      <c r="F178" s="1216" t="s">
        <v>4980</v>
      </c>
      <c r="G178" s="1188" t="s">
        <v>4911</v>
      </c>
      <c r="H178" s="1217">
        <v>43739</v>
      </c>
      <c r="I178" s="1188"/>
      <c r="J178" s="1188"/>
    </row>
    <row r="179" spans="1:10" ht="36" x14ac:dyDescent="0.2">
      <c r="A179" s="1218" t="s">
        <v>4981</v>
      </c>
      <c r="B179" s="1215" t="s">
        <v>4935</v>
      </c>
      <c r="C179" s="1194"/>
      <c r="D179" s="1194">
        <v>1</v>
      </c>
      <c r="E179" s="1266">
        <v>1539300</v>
      </c>
      <c r="F179" s="1216" t="s">
        <v>4933</v>
      </c>
      <c r="G179" s="1188" t="s">
        <v>4911</v>
      </c>
      <c r="H179" s="1217">
        <v>43712</v>
      </c>
      <c r="I179" s="1188"/>
      <c r="J179" s="1188"/>
    </row>
    <row r="180" spans="1:10" ht="24" x14ac:dyDescent="0.2">
      <c r="A180" s="1218" t="s">
        <v>4982</v>
      </c>
      <c r="B180" s="1215" t="s">
        <v>4908</v>
      </c>
      <c r="C180" s="1194"/>
      <c r="D180" s="1194">
        <v>5</v>
      </c>
      <c r="E180" s="1266">
        <v>233899</v>
      </c>
      <c r="F180" s="1216" t="s">
        <v>4983</v>
      </c>
      <c r="G180" s="1188" t="s">
        <v>4911</v>
      </c>
      <c r="H180" s="1217">
        <v>43634</v>
      </c>
      <c r="I180" s="1188"/>
      <c r="J180" s="1188"/>
    </row>
    <row r="181" spans="1:10" ht="24" x14ac:dyDescent="0.2">
      <c r="A181" s="1218" t="s">
        <v>4984</v>
      </c>
      <c r="B181" s="1215" t="s">
        <v>4939</v>
      </c>
      <c r="C181" s="1194"/>
      <c r="D181" s="1194">
        <v>1</v>
      </c>
      <c r="E181" s="1266">
        <v>874800</v>
      </c>
      <c r="F181" s="1216" t="s">
        <v>4175</v>
      </c>
      <c r="G181" s="1188" t="s">
        <v>4911</v>
      </c>
      <c r="H181" s="1217">
        <v>43622</v>
      </c>
      <c r="I181" s="1188"/>
      <c r="J181" s="1188"/>
    </row>
    <row r="182" spans="1:10" ht="36" x14ac:dyDescent="0.2">
      <c r="A182" s="1218" t="s">
        <v>4985</v>
      </c>
      <c r="B182" s="1215" t="s">
        <v>4935</v>
      </c>
      <c r="C182" s="1194"/>
      <c r="D182" s="1194">
        <v>3</v>
      </c>
      <c r="E182" s="1266">
        <v>2051870</v>
      </c>
      <c r="F182" s="1216" t="s">
        <v>4986</v>
      </c>
      <c r="G182" s="1188" t="s">
        <v>4911</v>
      </c>
      <c r="H182" s="1217">
        <v>43665</v>
      </c>
      <c r="I182" s="1188"/>
      <c r="J182" s="1188"/>
    </row>
    <row r="183" spans="1:10" ht="36" x14ac:dyDescent="0.2">
      <c r="A183" s="1218" t="s">
        <v>4987</v>
      </c>
      <c r="B183" s="1215" t="s">
        <v>4908</v>
      </c>
      <c r="C183" s="1194"/>
      <c r="D183" s="1194">
        <v>1</v>
      </c>
      <c r="E183" s="1266">
        <v>84500</v>
      </c>
      <c r="F183" s="1216" t="s">
        <v>4988</v>
      </c>
      <c r="G183" s="1188" t="s">
        <v>4911</v>
      </c>
      <c r="H183" s="1217">
        <v>43627</v>
      </c>
      <c r="I183" s="1188"/>
      <c r="J183" s="1188"/>
    </row>
    <row r="184" spans="1:10" ht="24" x14ac:dyDescent="0.2">
      <c r="A184" s="1218" t="s">
        <v>4989</v>
      </c>
      <c r="B184" s="1215" t="s">
        <v>4908</v>
      </c>
      <c r="C184" s="1194"/>
      <c r="D184" s="1194">
        <v>3</v>
      </c>
      <c r="E184" s="1267" t="s">
        <v>4990</v>
      </c>
      <c r="F184" s="1216" t="s">
        <v>4991</v>
      </c>
      <c r="G184" s="1188" t="s">
        <v>4911</v>
      </c>
      <c r="H184" s="1221" t="s">
        <v>4992</v>
      </c>
      <c r="I184" s="1188"/>
      <c r="J184" s="1188"/>
    </row>
    <row r="185" spans="1:10" ht="36" x14ac:dyDescent="0.2">
      <c r="A185" s="1218" t="s">
        <v>4993</v>
      </c>
      <c r="B185" s="1215" t="s">
        <v>4908</v>
      </c>
      <c r="C185" s="1194"/>
      <c r="D185" s="1194">
        <v>21</v>
      </c>
      <c r="E185" s="1266">
        <v>316000</v>
      </c>
      <c r="F185" s="1216" t="s">
        <v>4994</v>
      </c>
      <c r="G185" s="1188" t="s">
        <v>4911</v>
      </c>
      <c r="H185" s="1217">
        <v>43616</v>
      </c>
      <c r="I185" s="1188"/>
      <c r="J185" s="1188"/>
    </row>
    <row r="186" spans="1:10" x14ac:dyDescent="0.2">
      <c r="A186" s="1210" t="s">
        <v>4995</v>
      </c>
      <c r="B186" s="1187"/>
      <c r="C186" s="1187"/>
      <c r="D186" s="1187"/>
      <c r="E186" s="1264"/>
      <c r="F186" s="1187"/>
      <c r="G186" s="1188"/>
      <c r="H186" s="1188"/>
      <c r="I186" s="1188"/>
      <c r="J186" s="1188"/>
    </row>
    <row r="187" spans="1:10" x14ac:dyDescent="0.2">
      <c r="A187" s="1186" t="s">
        <v>4996</v>
      </c>
      <c r="B187" s="1187" t="s">
        <v>4997</v>
      </c>
      <c r="C187" s="1194" t="s">
        <v>4998</v>
      </c>
      <c r="D187" s="1194" t="s">
        <v>4999</v>
      </c>
      <c r="E187" s="1264">
        <v>50880</v>
      </c>
      <c r="F187" s="1187" t="s">
        <v>5000</v>
      </c>
      <c r="G187" s="1188" t="s">
        <v>5001</v>
      </c>
      <c r="H187" s="1190">
        <v>43963</v>
      </c>
      <c r="I187" s="1190">
        <v>44177</v>
      </c>
      <c r="J187" s="1188" t="s">
        <v>935</v>
      </c>
    </row>
    <row r="188" spans="1:10" x14ac:dyDescent="0.2">
      <c r="A188" s="1186" t="s">
        <v>5002</v>
      </c>
      <c r="B188" s="1187" t="s">
        <v>4997</v>
      </c>
      <c r="C188" s="1194" t="s">
        <v>4998</v>
      </c>
      <c r="D188" s="1194" t="s">
        <v>5003</v>
      </c>
      <c r="E188" s="1264">
        <v>234235.24</v>
      </c>
      <c r="F188" s="1187" t="s">
        <v>5004</v>
      </c>
      <c r="G188" s="1188" t="s">
        <v>5001</v>
      </c>
      <c r="H188" s="1190">
        <v>43957</v>
      </c>
      <c r="I188" s="1190">
        <v>43971</v>
      </c>
      <c r="J188" s="1188" t="s">
        <v>935</v>
      </c>
    </row>
    <row r="189" spans="1:10" x14ac:dyDescent="0.2">
      <c r="A189" s="1186" t="s">
        <v>5005</v>
      </c>
      <c r="B189" s="1187" t="s">
        <v>5006</v>
      </c>
      <c r="C189" s="1194" t="s">
        <v>5007</v>
      </c>
      <c r="D189" s="1194" t="s">
        <v>4999</v>
      </c>
      <c r="E189" s="1264">
        <v>42600</v>
      </c>
      <c r="F189" s="1187" t="s">
        <v>5008</v>
      </c>
      <c r="G189" s="1188" t="s">
        <v>5001</v>
      </c>
      <c r="H189" s="1190">
        <v>43976</v>
      </c>
      <c r="I189" s="1190">
        <v>44037</v>
      </c>
      <c r="J189" s="1188" t="s">
        <v>935</v>
      </c>
    </row>
    <row r="190" spans="1:10" x14ac:dyDescent="0.2">
      <c r="A190" s="1186" t="s">
        <v>5005</v>
      </c>
      <c r="B190" s="1187" t="s">
        <v>5006</v>
      </c>
      <c r="C190" s="1194" t="s">
        <v>5007</v>
      </c>
      <c r="D190" s="1194" t="s">
        <v>4999</v>
      </c>
      <c r="E190" s="1264">
        <v>46500</v>
      </c>
      <c r="F190" s="1187" t="s">
        <v>5008</v>
      </c>
      <c r="G190" s="1188" t="s">
        <v>5001</v>
      </c>
      <c r="H190" s="1190">
        <v>43976</v>
      </c>
      <c r="I190" s="1190">
        <v>44037</v>
      </c>
      <c r="J190" s="1188" t="s">
        <v>935</v>
      </c>
    </row>
    <row r="191" spans="1:10" ht="24" x14ac:dyDescent="0.2">
      <c r="A191" s="1210" t="s">
        <v>5009</v>
      </c>
      <c r="B191" s="1187"/>
      <c r="C191" s="1194"/>
      <c r="D191" s="1194"/>
      <c r="E191" s="1264"/>
      <c r="F191" s="1187"/>
      <c r="G191" s="1188"/>
      <c r="H191" s="1190"/>
      <c r="I191" s="1190"/>
      <c r="J191" s="1188"/>
    </row>
    <row r="192" spans="1:10" x14ac:dyDescent="0.2">
      <c r="A192" s="1222" t="s">
        <v>5010</v>
      </c>
      <c r="B192" s="1200" t="s">
        <v>5011</v>
      </c>
      <c r="C192" s="1200" t="s">
        <v>5012</v>
      </c>
      <c r="D192" s="939"/>
      <c r="E192" s="1269">
        <v>66950</v>
      </c>
      <c r="F192" s="939">
        <v>20604879389</v>
      </c>
      <c r="G192" s="1201" t="s">
        <v>4573</v>
      </c>
      <c r="H192" s="1212"/>
      <c r="I192" s="1212"/>
      <c r="J192" s="912"/>
    </row>
    <row r="193" spans="1:10" ht="24" x14ac:dyDescent="0.2">
      <c r="A193" s="1222" t="s">
        <v>5013</v>
      </c>
      <c r="B193" s="1200" t="s">
        <v>5014</v>
      </c>
      <c r="C193" s="1200" t="s">
        <v>5015</v>
      </c>
      <c r="D193" s="939" t="s">
        <v>5016</v>
      </c>
      <c r="E193" s="1269">
        <v>65511.280000000006</v>
      </c>
      <c r="F193" s="939">
        <v>20606301848</v>
      </c>
      <c r="G193" s="1201" t="s">
        <v>4573</v>
      </c>
      <c r="H193" s="1212">
        <v>44046</v>
      </c>
      <c r="I193" s="1212">
        <v>44055</v>
      </c>
      <c r="J193" s="912"/>
    </row>
    <row r="194" spans="1:10" x14ac:dyDescent="0.2">
      <c r="A194" s="1222" t="s">
        <v>5017</v>
      </c>
      <c r="B194" s="1200" t="s">
        <v>5011</v>
      </c>
      <c r="C194" s="1200" t="s">
        <v>5012</v>
      </c>
      <c r="D194" s="939"/>
      <c r="E194" s="1269">
        <v>59731.01</v>
      </c>
      <c r="F194" s="1223">
        <v>20338570041</v>
      </c>
      <c r="G194" s="1201"/>
      <c r="H194" s="1201"/>
      <c r="I194" s="1201"/>
      <c r="J194" s="912"/>
    </row>
    <row r="195" spans="1:10" x14ac:dyDescent="0.2">
      <c r="A195" s="1222" t="s">
        <v>5018</v>
      </c>
      <c r="B195" s="1200" t="s">
        <v>5011</v>
      </c>
      <c r="C195" s="1200" t="s">
        <v>5012</v>
      </c>
      <c r="D195" s="939"/>
      <c r="E195" s="1269">
        <v>44328.29</v>
      </c>
      <c r="F195" s="1223">
        <v>20100226732</v>
      </c>
      <c r="G195" s="1201"/>
      <c r="H195" s="1201"/>
      <c r="I195" s="1201"/>
      <c r="J195" s="912"/>
    </row>
    <row r="196" spans="1:10" x14ac:dyDescent="0.2">
      <c r="A196" s="1222" t="s">
        <v>5019</v>
      </c>
      <c r="B196" s="1200" t="s">
        <v>5011</v>
      </c>
      <c r="C196" s="1200" t="s">
        <v>5012</v>
      </c>
      <c r="D196" s="939"/>
      <c r="E196" s="1269">
        <v>38156.880000000005</v>
      </c>
      <c r="F196" s="1223">
        <v>10483446743</v>
      </c>
      <c r="G196" s="1201"/>
      <c r="H196" s="1201"/>
      <c r="I196" s="1201"/>
      <c r="J196" s="912"/>
    </row>
    <row r="197" spans="1:10" x14ac:dyDescent="0.2">
      <c r="A197" s="1222" t="s">
        <v>5020</v>
      </c>
      <c r="B197" s="1200" t="s">
        <v>5011</v>
      </c>
      <c r="C197" s="1200" t="s">
        <v>5012</v>
      </c>
      <c r="D197" s="939"/>
      <c r="E197" s="1269">
        <v>35108.350000000006</v>
      </c>
      <c r="F197" s="1223">
        <v>10483446743</v>
      </c>
      <c r="G197" s="1201"/>
      <c r="H197" s="1201"/>
      <c r="I197" s="1201"/>
      <c r="J197" s="912"/>
    </row>
    <row r="198" spans="1:10" x14ac:dyDescent="0.2">
      <c r="A198" s="1222" t="s">
        <v>5021</v>
      </c>
      <c r="B198" s="1200" t="s">
        <v>5011</v>
      </c>
      <c r="C198" s="1200" t="s">
        <v>5012</v>
      </c>
      <c r="D198" s="939"/>
      <c r="E198" s="1269">
        <v>34620</v>
      </c>
      <c r="F198" s="1223">
        <v>10418753507</v>
      </c>
      <c r="G198" s="1201"/>
      <c r="H198" s="1201"/>
      <c r="I198" s="1201"/>
      <c r="J198" s="912"/>
    </row>
    <row r="199" spans="1:10" ht="24" x14ac:dyDescent="0.2">
      <c r="A199" s="1210" t="s">
        <v>5022</v>
      </c>
      <c r="B199" s="1200"/>
      <c r="C199" s="1200"/>
      <c r="D199" s="939"/>
      <c r="E199" s="1269"/>
      <c r="F199" s="1223"/>
      <c r="G199" s="1201"/>
      <c r="H199" s="1201"/>
      <c r="I199" s="1201"/>
      <c r="J199" s="912"/>
    </row>
    <row r="200" spans="1:10" x14ac:dyDescent="0.2">
      <c r="A200" s="1222" t="s">
        <v>5023</v>
      </c>
      <c r="B200" s="1187" t="s">
        <v>4680</v>
      </c>
      <c r="C200" s="1187" t="s">
        <v>5024</v>
      </c>
      <c r="D200" s="1187">
        <v>1</v>
      </c>
      <c r="E200" s="1270" t="s">
        <v>5025</v>
      </c>
      <c r="F200" s="1187" t="s">
        <v>5026</v>
      </c>
      <c r="G200" s="1188" t="s">
        <v>5027</v>
      </c>
      <c r="H200" s="1190">
        <v>44078</v>
      </c>
      <c r="I200" s="1188" t="s">
        <v>3907</v>
      </c>
      <c r="J200" s="1188"/>
    </row>
    <row r="201" spans="1:10" ht="24" x14ac:dyDescent="0.2">
      <c r="A201" s="1222" t="s">
        <v>5028</v>
      </c>
      <c r="B201" s="1187" t="s">
        <v>4721</v>
      </c>
      <c r="C201" s="1187" t="s">
        <v>5024</v>
      </c>
      <c r="D201" s="1187">
        <v>1</v>
      </c>
      <c r="E201" s="1270">
        <v>78400</v>
      </c>
      <c r="F201" s="1188" t="s">
        <v>5029</v>
      </c>
      <c r="G201" s="1188" t="s">
        <v>5001</v>
      </c>
      <c r="H201" s="1190">
        <v>44092</v>
      </c>
      <c r="I201" s="1188" t="s">
        <v>3907</v>
      </c>
      <c r="J201" s="1188"/>
    </row>
    <row r="202" spans="1:10" ht="24" x14ac:dyDescent="0.2">
      <c r="A202" s="1222" t="s">
        <v>5030</v>
      </c>
      <c r="B202" s="1187" t="s">
        <v>4030</v>
      </c>
      <c r="C202" s="1187" t="s">
        <v>5024</v>
      </c>
      <c r="D202" s="1187">
        <v>2</v>
      </c>
      <c r="E202" s="1270">
        <v>59150</v>
      </c>
      <c r="F202" s="1188" t="s">
        <v>5031</v>
      </c>
      <c r="G202" s="1188" t="s">
        <v>5001</v>
      </c>
      <c r="H202" s="1190">
        <v>44432</v>
      </c>
      <c r="I202" s="1190">
        <v>44069</v>
      </c>
      <c r="J202" s="1188"/>
    </row>
    <row r="203" spans="1:10" ht="48" x14ac:dyDescent="0.2">
      <c r="A203" s="1222" t="s">
        <v>5032</v>
      </c>
      <c r="B203" s="1187" t="s">
        <v>4030</v>
      </c>
      <c r="C203" s="1187" t="s">
        <v>5024</v>
      </c>
      <c r="D203" s="1224">
        <v>1</v>
      </c>
      <c r="E203" s="1270">
        <v>52950</v>
      </c>
      <c r="F203" s="1188" t="s">
        <v>5033</v>
      </c>
      <c r="G203" s="1188" t="s">
        <v>5001</v>
      </c>
      <c r="H203" s="1190">
        <v>44415</v>
      </c>
      <c r="I203" s="1190">
        <v>44054</v>
      </c>
      <c r="J203" s="1188"/>
    </row>
    <row r="204" spans="1:10" ht="72" x14ac:dyDescent="0.2">
      <c r="A204" s="1222" t="s">
        <v>5034</v>
      </c>
      <c r="B204" s="1187" t="s">
        <v>4030</v>
      </c>
      <c r="C204" s="1187" t="s">
        <v>5024</v>
      </c>
      <c r="D204" s="1187">
        <v>3</v>
      </c>
      <c r="E204" s="1270">
        <v>46259</v>
      </c>
      <c r="F204" s="1187" t="s">
        <v>5035</v>
      </c>
      <c r="G204" s="1188" t="s">
        <v>5001</v>
      </c>
      <c r="H204" s="1190">
        <v>44446</v>
      </c>
      <c r="I204" s="1225">
        <v>44084</v>
      </c>
      <c r="J204" s="1188"/>
    </row>
    <row r="205" spans="1:10" ht="15" x14ac:dyDescent="0.25">
      <c r="A205" s="1226" t="s">
        <v>5036</v>
      </c>
      <c r="B205" s="912"/>
      <c r="C205" s="912"/>
      <c r="D205" s="912"/>
      <c r="E205" s="1271"/>
      <c r="F205" s="912"/>
      <c r="G205" s="912"/>
      <c r="H205" s="912"/>
      <c r="I205" s="912"/>
      <c r="J205" s="912"/>
    </row>
    <row r="206" spans="1:10" x14ac:dyDescent="0.2">
      <c r="A206" s="1227" t="s">
        <v>836</v>
      </c>
      <c r="B206" s="912"/>
      <c r="C206" s="912"/>
      <c r="D206" s="912"/>
      <c r="E206" s="1271"/>
      <c r="F206" s="912"/>
      <c r="G206" s="912"/>
      <c r="H206" s="912"/>
      <c r="I206" s="912"/>
      <c r="J206" s="912"/>
    </row>
    <row r="207" spans="1:10" ht="24" x14ac:dyDescent="0.2">
      <c r="A207" s="1222" t="s">
        <v>5037</v>
      </c>
      <c r="B207" s="939" t="s">
        <v>4564</v>
      </c>
      <c r="C207" s="939" t="s">
        <v>4565</v>
      </c>
      <c r="D207" s="939" t="s">
        <v>5038</v>
      </c>
      <c r="E207" s="1269">
        <v>86511.96</v>
      </c>
      <c r="F207" s="939" t="s">
        <v>4567</v>
      </c>
      <c r="G207" s="1201" t="s">
        <v>4568</v>
      </c>
      <c r="H207" s="1212">
        <v>44431</v>
      </c>
      <c r="I207" s="1201" t="s">
        <v>5039</v>
      </c>
      <c r="J207" s="1201" t="s">
        <v>4569</v>
      </c>
    </row>
    <row r="208" spans="1:10" ht="24" x14ac:dyDescent="0.2">
      <c r="A208" s="1222" t="s">
        <v>5040</v>
      </c>
      <c r="B208" s="939" t="s">
        <v>4030</v>
      </c>
      <c r="C208" s="939" t="s">
        <v>4565</v>
      </c>
      <c r="D208" s="939" t="s">
        <v>5041</v>
      </c>
      <c r="E208" s="1269">
        <v>40000</v>
      </c>
      <c r="F208" s="939" t="s">
        <v>4572</v>
      </c>
      <c r="G208" s="1201" t="s">
        <v>4573</v>
      </c>
      <c r="H208" s="1212">
        <v>43861</v>
      </c>
      <c r="I208" s="1201" t="s">
        <v>4574</v>
      </c>
      <c r="J208" s="1201" t="s">
        <v>4569</v>
      </c>
    </row>
    <row r="209" spans="1:10" ht="24" x14ac:dyDescent="0.2">
      <c r="A209" s="1227" t="s">
        <v>636</v>
      </c>
      <c r="B209" s="912"/>
      <c r="C209" s="912"/>
      <c r="D209" s="912"/>
      <c r="E209" s="1271"/>
      <c r="F209" s="912"/>
      <c r="G209" s="912"/>
      <c r="H209" s="912"/>
      <c r="I209" s="912"/>
      <c r="J209" s="912"/>
    </row>
    <row r="210" spans="1:10" x14ac:dyDescent="0.2">
      <c r="A210" s="1228" t="s">
        <v>5042</v>
      </c>
      <c r="B210" s="1194" t="s">
        <v>4621</v>
      </c>
      <c r="C210" s="1194" t="s">
        <v>5043</v>
      </c>
      <c r="D210" s="1194">
        <v>1</v>
      </c>
      <c r="E210" s="1264">
        <v>236045.7</v>
      </c>
      <c r="F210" s="1187" t="s">
        <v>4666</v>
      </c>
      <c r="G210" s="1194" t="s">
        <v>5044</v>
      </c>
      <c r="H210" s="1209">
        <v>43908</v>
      </c>
      <c r="I210" s="1194" t="s">
        <v>4664</v>
      </c>
      <c r="J210" s="1194" t="s">
        <v>4626</v>
      </c>
    </row>
    <row r="211" spans="1:10" x14ac:dyDescent="0.2">
      <c r="A211" s="1186" t="s">
        <v>5045</v>
      </c>
      <c r="B211" s="1194" t="s">
        <v>4621</v>
      </c>
      <c r="C211" s="1194" t="s">
        <v>5043</v>
      </c>
      <c r="D211" s="1194">
        <v>2</v>
      </c>
      <c r="E211" s="1264" t="s">
        <v>5046</v>
      </c>
      <c r="F211" s="1194" t="s">
        <v>5046</v>
      </c>
      <c r="G211" s="1194" t="s">
        <v>4697</v>
      </c>
      <c r="H211" s="1209" t="s">
        <v>5046</v>
      </c>
      <c r="I211" s="1194" t="s">
        <v>5046</v>
      </c>
      <c r="J211" s="1194" t="s">
        <v>5046</v>
      </c>
    </row>
    <row r="212" spans="1:10" x14ac:dyDescent="0.2">
      <c r="A212" s="1186" t="s">
        <v>5047</v>
      </c>
      <c r="B212" s="1194" t="s">
        <v>4621</v>
      </c>
      <c r="C212" s="1194" t="s">
        <v>5043</v>
      </c>
      <c r="D212" s="1194">
        <v>2</v>
      </c>
      <c r="E212" s="1264" t="s">
        <v>5048</v>
      </c>
      <c r="F212" s="1187" t="s">
        <v>4623</v>
      </c>
      <c r="G212" s="1194" t="s">
        <v>5049</v>
      </c>
      <c r="H212" s="1209" t="s">
        <v>5046</v>
      </c>
      <c r="I212" s="1209" t="s">
        <v>5046</v>
      </c>
      <c r="J212" s="1209" t="s">
        <v>5046</v>
      </c>
    </row>
    <row r="213" spans="1:10" x14ac:dyDescent="0.2">
      <c r="A213" s="1186" t="s">
        <v>5050</v>
      </c>
      <c r="B213" s="1194" t="s">
        <v>4621</v>
      </c>
      <c r="C213" s="1194" t="s">
        <v>5043</v>
      </c>
      <c r="D213" s="1194">
        <v>3</v>
      </c>
      <c r="E213" s="1264">
        <v>81648</v>
      </c>
      <c r="F213" s="1187" t="s">
        <v>4623</v>
      </c>
      <c r="G213" s="1194" t="s">
        <v>5001</v>
      </c>
      <c r="H213" s="1209">
        <v>44080</v>
      </c>
      <c r="I213" s="1194" t="s">
        <v>4633</v>
      </c>
      <c r="J213" s="1194" t="s">
        <v>4626</v>
      </c>
    </row>
    <row r="214" spans="1:10" x14ac:dyDescent="0.2">
      <c r="A214" s="1186" t="s">
        <v>4630</v>
      </c>
      <c r="B214" s="1194" t="s">
        <v>4621</v>
      </c>
      <c r="C214" s="1194" t="s">
        <v>5043</v>
      </c>
      <c r="D214" s="1194">
        <v>4</v>
      </c>
      <c r="E214" s="1264">
        <v>77616</v>
      </c>
      <c r="F214" s="1187" t="s">
        <v>5051</v>
      </c>
      <c r="G214" s="1194" t="s">
        <v>5049</v>
      </c>
      <c r="H214" s="1209">
        <v>44080</v>
      </c>
      <c r="I214" s="1194" t="s">
        <v>4633</v>
      </c>
      <c r="J214" s="1194" t="s">
        <v>4626</v>
      </c>
    </row>
    <row r="215" spans="1:10" x14ac:dyDescent="0.2">
      <c r="A215" s="1436" t="s">
        <v>4632</v>
      </c>
      <c r="B215" s="1434" t="s">
        <v>4621</v>
      </c>
      <c r="C215" s="1434" t="s">
        <v>5043</v>
      </c>
      <c r="D215" s="1434">
        <v>5</v>
      </c>
      <c r="E215" s="1435">
        <v>139800</v>
      </c>
      <c r="F215" s="1187" t="s">
        <v>5052</v>
      </c>
      <c r="G215" s="1434" t="s">
        <v>5049</v>
      </c>
      <c r="H215" s="1437" t="s">
        <v>5046</v>
      </c>
      <c r="I215" s="1434" t="s">
        <v>5046</v>
      </c>
      <c r="J215" s="1434" t="s">
        <v>5046</v>
      </c>
    </row>
    <row r="216" spans="1:10" x14ac:dyDescent="0.2">
      <c r="A216" s="1436"/>
      <c r="B216" s="1434"/>
      <c r="C216" s="1434"/>
      <c r="D216" s="1434"/>
      <c r="E216" s="1435"/>
      <c r="F216" s="1187" t="s">
        <v>4629</v>
      </c>
      <c r="G216" s="1434"/>
      <c r="H216" s="1437"/>
      <c r="I216" s="1434"/>
      <c r="J216" s="1434"/>
    </row>
    <row r="217" spans="1:10" x14ac:dyDescent="0.2">
      <c r="A217" s="1186" t="s">
        <v>5053</v>
      </c>
      <c r="B217" s="1194" t="s">
        <v>4621</v>
      </c>
      <c r="C217" s="1194" t="s">
        <v>5043</v>
      </c>
      <c r="D217" s="1194">
        <v>6</v>
      </c>
      <c r="E217" s="1264" t="s">
        <v>5046</v>
      </c>
      <c r="F217" s="1194" t="s">
        <v>5046</v>
      </c>
      <c r="G217" s="1194" t="s">
        <v>5054</v>
      </c>
      <c r="H217" s="1209" t="s">
        <v>5046</v>
      </c>
      <c r="I217" s="1194" t="s">
        <v>5046</v>
      </c>
      <c r="J217" s="1194" t="s">
        <v>5046</v>
      </c>
    </row>
    <row r="218" spans="1:10" x14ac:dyDescent="0.2">
      <c r="A218" s="1436" t="s">
        <v>5055</v>
      </c>
      <c r="B218" s="1434" t="s">
        <v>5056</v>
      </c>
      <c r="C218" s="1434"/>
      <c r="D218" s="1194" t="s">
        <v>5057</v>
      </c>
      <c r="E218" s="1264">
        <v>16516.5</v>
      </c>
      <c r="F218" s="1187" t="s">
        <v>4629</v>
      </c>
      <c r="G218" s="1194" t="s">
        <v>5001</v>
      </c>
      <c r="H218" s="1209" t="s">
        <v>5058</v>
      </c>
      <c r="I218" s="1194" t="s">
        <v>4633</v>
      </c>
      <c r="J218" s="1194" t="s">
        <v>4626</v>
      </c>
    </row>
    <row r="219" spans="1:10" x14ac:dyDescent="0.2">
      <c r="A219" s="1436"/>
      <c r="B219" s="1434"/>
      <c r="C219" s="1434"/>
      <c r="D219" s="1194" t="s">
        <v>5059</v>
      </c>
      <c r="E219" s="1264">
        <v>16445</v>
      </c>
      <c r="F219" s="1187" t="s">
        <v>5060</v>
      </c>
      <c r="G219" s="1194" t="s">
        <v>5001</v>
      </c>
      <c r="H219" s="1209" t="s">
        <v>5058</v>
      </c>
      <c r="I219" s="1194" t="s">
        <v>4633</v>
      </c>
      <c r="J219" s="1194" t="s">
        <v>4626</v>
      </c>
    </row>
    <row r="220" spans="1:10" ht="24" x14ac:dyDescent="0.2">
      <c r="A220" s="1218" t="s">
        <v>5061</v>
      </c>
      <c r="B220" s="912"/>
      <c r="C220" s="912"/>
      <c r="D220" s="912"/>
      <c r="E220" s="1271"/>
      <c r="F220" s="912"/>
      <c r="G220" s="912"/>
      <c r="H220" s="912"/>
      <c r="I220" s="912"/>
      <c r="J220" s="912"/>
    </row>
    <row r="221" spans="1:10" ht="48" x14ac:dyDescent="0.2">
      <c r="A221" s="1222" t="s">
        <v>5062</v>
      </c>
      <c r="B221" s="939" t="s">
        <v>4669</v>
      </c>
      <c r="C221" s="939" t="s">
        <v>4670</v>
      </c>
      <c r="D221" s="1200" t="s">
        <v>4671</v>
      </c>
      <c r="E221" s="1269">
        <v>99129.54</v>
      </c>
      <c r="F221" s="1222" t="s">
        <v>5063</v>
      </c>
      <c r="G221" s="1201" t="s">
        <v>5064</v>
      </c>
      <c r="H221" s="1229">
        <v>44249</v>
      </c>
      <c r="I221" s="1200"/>
      <c r="J221" s="1201" t="s">
        <v>5065</v>
      </c>
    </row>
    <row r="222" spans="1:10" ht="48" x14ac:dyDescent="0.2">
      <c r="A222" s="1222" t="s">
        <v>5066</v>
      </c>
      <c r="B222" s="939" t="s">
        <v>4669</v>
      </c>
      <c r="C222" s="939" t="s">
        <v>4670</v>
      </c>
      <c r="D222" s="1200" t="s">
        <v>5067</v>
      </c>
      <c r="E222" s="1269">
        <v>81012</v>
      </c>
      <c r="F222" s="1222" t="s">
        <v>5068</v>
      </c>
      <c r="G222" s="1201" t="s">
        <v>5064</v>
      </c>
      <c r="H222" s="1229">
        <v>44445</v>
      </c>
      <c r="I222" s="1229">
        <v>44487</v>
      </c>
      <c r="J222" s="1201"/>
    </row>
    <row r="223" spans="1:10" ht="36" x14ac:dyDescent="0.2">
      <c r="A223" s="1222" t="s">
        <v>5069</v>
      </c>
      <c r="B223" s="939" t="s">
        <v>4669</v>
      </c>
      <c r="C223" s="939" t="s">
        <v>4670</v>
      </c>
      <c r="D223" s="1200" t="s">
        <v>5070</v>
      </c>
      <c r="E223" s="1269">
        <v>63715.14</v>
      </c>
      <c r="F223" s="1222" t="s">
        <v>5071</v>
      </c>
      <c r="G223" s="1230" t="s">
        <v>5072</v>
      </c>
      <c r="H223" s="1200"/>
      <c r="I223" s="1200"/>
      <c r="J223" s="1201" t="s">
        <v>5073</v>
      </c>
    </row>
    <row r="224" spans="1:10" x14ac:dyDescent="0.2">
      <c r="A224" s="1227" t="s">
        <v>708</v>
      </c>
      <c r="B224" s="912"/>
      <c r="C224" s="912"/>
      <c r="D224" s="912"/>
      <c r="E224" s="1271"/>
      <c r="F224" s="912"/>
      <c r="G224" s="912"/>
      <c r="H224" s="912"/>
      <c r="I224" s="912"/>
      <c r="J224" s="912"/>
    </row>
    <row r="225" spans="1:10" ht="24" x14ac:dyDescent="0.2">
      <c r="A225" s="1211" t="s">
        <v>5074</v>
      </c>
      <c r="B225" s="939" t="s">
        <v>4680</v>
      </c>
      <c r="C225" s="939" t="s">
        <v>4626</v>
      </c>
      <c r="D225" s="913" t="s">
        <v>5075</v>
      </c>
      <c r="E225" s="1265">
        <v>56268.5</v>
      </c>
      <c r="F225" s="912" t="s">
        <v>5076</v>
      </c>
      <c r="G225" s="1201" t="s">
        <v>5077</v>
      </c>
      <c r="H225" s="1212">
        <v>44399</v>
      </c>
      <c r="I225" s="1212">
        <v>44414</v>
      </c>
      <c r="J225" s="1201" t="s">
        <v>4626</v>
      </c>
    </row>
    <row r="226" spans="1:10" ht="24" x14ac:dyDescent="0.2">
      <c r="A226" s="1211" t="s">
        <v>5078</v>
      </c>
      <c r="B226" s="939" t="s">
        <v>4680</v>
      </c>
      <c r="C226" s="939" t="s">
        <v>4626</v>
      </c>
      <c r="D226" s="913" t="s">
        <v>5079</v>
      </c>
      <c r="E226" s="1265">
        <v>83349.5</v>
      </c>
      <c r="F226" s="912" t="s">
        <v>5080</v>
      </c>
      <c r="G226" s="1201" t="s">
        <v>4683</v>
      </c>
      <c r="H226" s="1212">
        <v>44468</v>
      </c>
      <c r="I226" s="1212"/>
      <c r="J226" s="1201" t="s">
        <v>4626</v>
      </c>
    </row>
    <row r="227" spans="1:10" ht="24" x14ac:dyDescent="0.2">
      <c r="A227" s="1211" t="s">
        <v>5081</v>
      </c>
      <c r="B227" s="939" t="s">
        <v>4680</v>
      </c>
      <c r="C227" s="939" t="s">
        <v>4626</v>
      </c>
      <c r="D227" s="913" t="s">
        <v>5082</v>
      </c>
      <c r="E227" s="1265">
        <v>190020.5</v>
      </c>
      <c r="F227" s="912" t="s">
        <v>5083</v>
      </c>
      <c r="G227" s="1201" t="s">
        <v>4683</v>
      </c>
      <c r="H227" s="1212">
        <v>44434</v>
      </c>
      <c r="I227" s="1201"/>
      <c r="J227" s="1201" t="s">
        <v>4626</v>
      </c>
    </row>
    <row r="228" spans="1:10" ht="24" x14ac:dyDescent="0.2">
      <c r="A228" s="1211" t="s">
        <v>5084</v>
      </c>
      <c r="B228" s="939" t="s">
        <v>4680</v>
      </c>
      <c r="C228" s="939" t="s">
        <v>4626</v>
      </c>
      <c r="D228" s="913" t="s">
        <v>5085</v>
      </c>
      <c r="E228" s="1265">
        <v>64214.97</v>
      </c>
      <c r="F228" s="912" t="s">
        <v>5086</v>
      </c>
      <c r="G228" s="1201" t="s">
        <v>4683</v>
      </c>
      <c r="H228" s="1212">
        <v>44434</v>
      </c>
      <c r="I228" s="1201"/>
      <c r="J228" s="1201" t="s">
        <v>4626</v>
      </c>
    </row>
    <row r="229" spans="1:10" ht="96" x14ac:dyDescent="0.2">
      <c r="A229" s="1211" t="s">
        <v>5087</v>
      </c>
      <c r="B229" s="939" t="s">
        <v>4680</v>
      </c>
      <c r="C229" s="939" t="s">
        <v>4626</v>
      </c>
      <c r="D229" s="913" t="s">
        <v>5088</v>
      </c>
      <c r="E229" s="1265">
        <v>103638.69</v>
      </c>
      <c r="F229" s="912" t="s">
        <v>5089</v>
      </c>
      <c r="G229" s="1201" t="s">
        <v>5077</v>
      </c>
      <c r="H229" s="1212">
        <v>44409</v>
      </c>
      <c r="I229" s="1201"/>
      <c r="J229" s="1201" t="s">
        <v>4626</v>
      </c>
    </row>
    <row r="230" spans="1:10" ht="48" x14ac:dyDescent="0.2">
      <c r="A230" s="1211" t="s">
        <v>5090</v>
      </c>
      <c r="B230" s="939" t="s">
        <v>4680</v>
      </c>
      <c r="C230" s="939" t="s">
        <v>4626</v>
      </c>
      <c r="D230" s="913" t="s">
        <v>5091</v>
      </c>
      <c r="E230" s="1265">
        <v>206111.58</v>
      </c>
      <c r="F230" s="912" t="s">
        <v>5092</v>
      </c>
      <c r="G230" s="1201" t="s">
        <v>5077</v>
      </c>
      <c r="H230" s="1212">
        <v>44421</v>
      </c>
      <c r="I230" s="1201"/>
      <c r="J230" s="1201" t="s">
        <v>4626</v>
      </c>
    </row>
    <row r="231" spans="1:10" ht="60" x14ac:dyDescent="0.2">
      <c r="A231" s="1211" t="s">
        <v>5093</v>
      </c>
      <c r="B231" s="939" t="s">
        <v>4889</v>
      </c>
      <c r="C231" s="939" t="s">
        <v>4626</v>
      </c>
      <c r="D231" s="913" t="s">
        <v>5094</v>
      </c>
      <c r="E231" s="1265">
        <v>562162.31999999995</v>
      </c>
      <c r="F231" s="912" t="s">
        <v>5095</v>
      </c>
      <c r="G231" s="1201" t="s">
        <v>5077</v>
      </c>
      <c r="H231" s="1212">
        <v>44440</v>
      </c>
      <c r="I231" s="1201"/>
      <c r="J231" s="1201" t="s">
        <v>4626</v>
      </c>
    </row>
    <row r="232" spans="1:10" ht="48" x14ac:dyDescent="0.2">
      <c r="A232" s="1211" t="s">
        <v>5096</v>
      </c>
      <c r="B232" s="939" t="s">
        <v>4680</v>
      </c>
      <c r="C232" s="939" t="s">
        <v>4626</v>
      </c>
      <c r="D232" s="913" t="s">
        <v>5097</v>
      </c>
      <c r="E232" s="1265">
        <v>49742.400000000001</v>
      </c>
      <c r="F232" s="912" t="s">
        <v>5076</v>
      </c>
      <c r="G232" s="1201" t="s">
        <v>4683</v>
      </c>
      <c r="H232" s="1212">
        <v>44399</v>
      </c>
      <c r="I232" s="1201"/>
      <c r="J232" s="1201" t="s">
        <v>4626</v>
      </c>
    </row>
    <row r="233" spans="1:10" x14ac:dyDescent="0.2">
      <c r="A233" s="913" t="s">
        <v>5098</v>
      </c>
      <c r="B233" s="939" t="s">
        <v>4680</v>
      </c>
      <c r="C233" s="939" t="s">
        <v>4626</v>
      </c>
      <c r="D233" s="913" t="s">
        <v>5099</v>
      </c>
      <c r="E233" s="1265">
        <v>134268</v>
      </c>
      <c r="F233" s="912" t="s">
        <v>5100</v>
      </c>
      <c r="G233" s="1201" t="s">
        <v>5077</v>
      </c>
      <c r="H233" s="1212">
        <v>44289</v>
      </c>
      <c r="I233" s="1201"/>
      <c r="J233" s="1201" t="s">
        <v>4626</v>
      </c>
    </row>
    <row r="234" spans="1:10" x14ac:dyDescent="0.2">
      <c r="A234" s="1214" t="s">
        <v>4028</v>
      </c>
      <c r="B234" s="912"/>
      <c r="C234" s="912"/>
      <c r="D234" s="912"/>
      <c r="E234" s="1271"/>
      <c r="F234" s="912"/>
      <c r="G234" s="912"/>
      <c r="H234" s="912"/>
      <c r="I234" s="912"/>
      <c r="J234" s="912"/>
    </row>
    <row r="235" spans="1:10" ht="48" x14ac:dyDescent="0.2">
      <c r="A235" s="1218" t="s">
        <v>5101</v>
      </c>
      <c r="B235" s="1231" t="s">
        <v>5102</v>
      </c>
      <c r="C235" s="1232" t="s">
        <v>5103</v>
      </c>
      <c r="D235" s="1232" t="s">
        <v>5104</v>
      </c>
      <c r="E235" s="1272">
        <v>141600</v>
      </c>
      <c r="F235" s="1233" t="s">
        <v>5105</v>
      </c>
      <c r="G235" s="1188" t="s">
        <v>127</v>
      </c>
      <c r="H235" s="1194" t="s">
        <v>5106</v>
      </c>
      <c r="I235" s="1188"/>
      <c r="J235" s="1188"/>
    </row>
    <row r="236" spans="1:10" ht="48" x14ac:dyDescent="0.2">
      <c r="A236" s="1234" t="s">
        <v>5107</v>
      </c>
      <c r="B236" s="1231" t="s">
        <v>5007</v>
      </c>
      <c r="C236" s="1232" t="s">
        <v>5103</v>
      </c>
      <c r="D236" s="1232" t="s">
        <v>5108</v>
      </c>
      <c r="E236" s="1272">
        <v>218000</v>
      </c>
      <c r="F236" s="1233" t="s">
        <v>5109</v>
      </c>
      <c r="G236" s="1188" t="s">
        <v>127</v>
      </c>
      <c r="H236" s="1194" t="s">
        <v>5110</v>
      </c>
      <c r="I236" s="1188"/>
      <c r="J236" s="1188"/>
    </row>
    <row r="237" spans="1:10" ht="36" x14ac:dyDescent="0.2">
      <c r="A237" s="1438" t="s">
        <v>5111</v>
      </c>
      <c r="B237" s="1439" t="s">
        <v>5112</v>
      </c>
      <c r="C237" s="1440" t="s">
        <v>5103</v>
      </c>
      <c r="D237" s="1440" t="s">
        <v>5113</v>
      </c>
      <c r="E237" s="1272">
        <v>68900</v>
      </c>
      <c r="F237" s="1233" t="s">
        <v>5114</v>
      </c>
      <c r="G237" s="1188" t="s">
        <v>127</v>
      </c>
      <c r="H237" s="1194" t="s">
        <v>5115</v>
      </c>
      <c r="I237" s="1188"/>
      <c r="J237" s="1188"/>
    </row>
    <row r="238" spans="1:10" x14ac:dyDescent="0.2">
      <c r="A238" s="1438"/>
      <c r="B238" s="1439"/>
      <c r="C238" s="1440"/>
      <c r="D238" s="1440"/>
      <c r="E238" s="1272">
        <v>746256</v>
      </c>
      <c r="F238" s="1233" t="s">
        <v>5116</v>
      </c>
      <c r="G238" s="1188" t="s">
        <v>127</v>
      </c>
      <c r="H238" s="1194" t="s">
        <v>5117</v>
      </c>
      <c r="I238" s="1188"/>
      <c r="J238" s="1188"/>
    </row>
    <row r="239" spans="1:10" ht="36" x14ac:dyDescent="0.2">
      <c r="A239" s="1438"/>
      <c r="B239" s="1439"/>
      <c r="C239" s="1440"/>
      <c r="D239" s="1440"/>
      <c r="E239" s="1272" t="s">
        <v>5118</v>
      </c>
      <c r="F239" s="1233" t="s">
        <v>5119</v>
      </c>
      <c r="G239" s="1188" t="s">
        <v>127</v>
      </c>
      <c r="H239" s="1194" t="s">
        <v>5120</v>
      </c>
      <c r="I239" s="1188"/>
      <c r="J239" s="1188"/>
    </row>
    <row r="240" spans="1:10" x14ac:dyDescent="0.2">
      <c r="A240" s="1438"/>
      <c r="B240" s="1439"/>
      <c r="C240" s="1440"/>
      <c r="D240" s="1440"/>
      <c r="E240" s="1272">
        <v>163200</v>
      </c>
      <c r="F240" s="1233" t="s">
        <v>5121</v>
      </c>
      <c r="G240" s="1188" t="s">
        <v>127</v>
      </c>
      <c r="H240" s="1194" t="s">
        <v>5122</v>
      </c>
      <c r="I240" s="1188"/>
      <c r="J240" s="1188"/>
    </row>
    <row r="241" spans="1:10" ht="36" x14ac:dyDescent="0.2">
      <c r="A241" s="1233" t="s">
        <v>5123</v>
      </c>
      <c r="B241" s="1231" t="s">
        <v>5112</v>
      </c>
      <c r="C241" s="1232" t="s">
        <v>5124</v>
      </c>
      <c r="D241" s="1232" t="s">
        <v>5125</v>
      </c>
      <c r="E241" s="1272">
        <v>2392590</v>
      </c>
      <c r="F241" s="1233" t="s">
        <v>5126</v>
      </c>
      <c r="G241" s="1188" t="s">
        <v>127</v>
      </c>
      <c r="H241" s="1206">
        <v>44077</v>
      </c>
      <c r="I241" s="1235"/>
      <c r="J241" s="1235"/>
    </row>
    <row r="242" spans="1:10" ht="48" x14ac:dyDescent="0.2">
      <c r="A242" s="1233" t="s">
        <v>4982</v>
      </c>
      <c r="B242" s="1231" t="s">
        <v>5102</v>
      </c>
      <c r="C242" s="1232" t="s">
        <v>5103</v>
      </c>
      <c r="D242" s="1232" t="s">
        <v>5127</v>
      </c>
      <c r="E242" s="1272">
        <v>244949</v>
      </c>
      <c r="F242" s="1233" t="s">
        <v>5128</v>
      </c>
      <c r="G242" s="1188" t="s">
        <v>127</v>
      </c>
      <c r="H242" s="1236" t="s">
        <v>5129</v>
      </c>
      <c r="I242" s="1188"/>
      <c r="J242" s="1188"/>
    </row>
    <row r="243" spans="1:10" ht="72" x14ac:dyDescent="0.2">
      <c r="A243" s="1233" t="s">
        <v>5130</v>
      </c>
      <c r="B243" s="1231" t="s">
        <v>5131</v>
      </c>
      <c r="C243" s="1232" t="s">
        <v>5103</v>
      </c>
      <c r="D243" s="1232" t="s">
        <v>5132</v>
      </c>
      <c r="E243" s="1272">
        <v>125454</v>
      </c>
      <c r="F243" s="1233" t="s">
        <v>5133</v>
      </c>
      <c r="G243" s="1188" t="s">
        <v>127</v>
      </c>
      <c r="H243" s="1236" t="s">
        <v>5134</v>
      </c>
      <c r="I243" s="1188"/>
      <c r="J243" s="1188"/>
    </row>
    <row r="244" spans="1:10" ht="36" x14ac:dyDescent="0.2">
      <c r="A244" s="1233" t="s">
        <v>4993</v>
      </c>
      <c r="B244" s="1231" t="s">
        <v>5112</v>
      </c>
      <c r="C244" s="1232" t="s">
        <v>5124</v>
      </c>
      <c r="D244" s="1232" t="s">
        <v>5135</v>
      </c>
      <c r="E244" s="1272">
        <v>365000</v>
      </c>
      <c r="F244" s="1233" t="s">
        <v>5136</v>
      </c>
      <c r="G244" s="1188" t="s">
        <v>127</v>
      </c>
      <c r="H244" s="1236">
        <v>44820</v>
      </c>
      <c r="I244" s="1235"/>
      <c r="J244" s="1235"/>
    </row>
    <row r="245" spans="1:10" ht="36" x14ac:dyDescent="0.2">
      <c r="A245" s="1233" t="s">
        <v>5137</v>
      </c>
      <c r="B245" s="1231" t="s">
        <v>5131</v>
      </c>
      <c r="C245" s="1232" t="s">
        <v>5124</v>
      </c>
      <c r="D245" s="1232" t="s">
        <v>5138</v>
      </c>
      <c r="E245" s="1272">
        <v>224370</v>
      </c>
      <c r="F245" s="1233" t="s">
        <v>5139</v>
      </c>
      <c r="G245" s="1188" t="s">
        <v>127</v>
      </c>
      <c r="H245" s="1236" t="s">
        <v>5140</v>
      </c>
      <c r="I245" s="1188"/>
      <c r="J245" s="1188"/>
    </row>
    <row r="246" spans="1:10" ht="48" x14ac:dyDescent="0.2">
      <c r="A246" s="1233" t="s">
        <v>5141</v>
      </c>
      <c r="B246" s="1231" t="s">
        <v>5131</v>
      </c>
      <c r="C246" s="1232" t="s">
        <v>5103</v>
      </c>
      <c r="D246" s="1232" t="s">
        <v>5142</v>
      </c>
      <c r="E246" s="1272" t="s">
        <v>5143</v>
      </c>
      <c r="F246" s="1233" t="s">
        <v>5144</v>
      </c>
      <c r="G246" s="1188" t="s">
        <v>127</v>
      </c>
      <c r="H246" s="1194" t="s">
        <v>5145</v>
      </c>
      <c r="I246" s="1188"/>
      <c r="J246" s="1188"/>
    </row>
    <row r="247" spans="1:10" ht="36" x14ac:dyDescent="0.2">
      <c r="A247" s="1233" t="s">
        <v>5146</v>
      </c>
      <c r="B247" s="1231" t="s">
        <v>5131</v>
      </c>
      <c r="C247" s="1232" t="s">
        <v>5103</v>
      </c>
      <c r="D247" s="1232" t="s">
        <v>5147</v>
      </c>
      <c r="E247" s="1273" t="s">
        <v>5148</v>
      </c>
      <c r="F247" s="1233" t="s">
        <v>5149</v>
      </c>
      <c r="G247" s="1188" t="s">
        <v>127</v>
      </c>
      <c r="H247" s="1194" t="s">
        <v>5117</v>
      </c>
      <c r="I247" s="1188"/>
      <c r="J247" s="1188"/>
    </row>
    <row r="248" spans="1:10" ht="48" x14ac:dyDescent="0.2">
      <c r="A248" s="1233" t="s">
        <v>5150</v>
      </c>
      <c r="B248" s="1231" t="s">
        <v>5131</v>
      </c>
      <c r="C248" s="1232" t="s">
        <v>5103</v>
      </c>
      <c r="D248" s="1232" t="s">
        <v>5151</v>
      </c>
      <c r="E248" s="1272">
        <v>101800</v>
      </c>
      <c r="F248" s="1233" t="s">
        <v>5152</v>
      </c>
      <c r="G248" s="1188" t="s">
        <v>127</v>
      </c>
      <c r="H248" s="1194" t="s">
        <v>5153</v>
      </c>
      <c r="I248" s="1188"/>
      <c r="J248" s="1188"/>
    </row>
    <row r="249" spans="1:10" ht="36" x14ac:dyDescent="0.2">
      <c r="A249" s="1233" t="s">
        <v>5154</v>
      </c>
      <c r="B249" s="1231" t="s">
        <v>5131</v>
      </c>
      <c r="C249" s="1232" t="s">
        <v>5103</v>
      </c>
      <c r="D249" s="1232" t="s">
        <v>5155</v>
      </c>
      <c r="E249" s="1272" t="s">
        <v>5156</v>
      </c>
      <c r="F249" s="1233" t="s">
        <v>5157</v>
      </c>
      <c r="G249" s="1188" t="s">
        <v>127</v>
      </c>
      <c r="H249" s="1237" t="s">
        <v>5115</v>
      </c>
      <c r="I249" s="1188"/>
      <c r="J249" s="1188"/>
    </row>
    <row r="250" spans="1:10" ht="84" x14ac:dyDescent="0.2">
      <c r="A250" s="1233" t="s">
        <v>5158</v>
      </c>
      <c r="B250" s="1231" t="s">
        <v>5131</v>
      </c>
      <c r="C250" s="1232" t="s">
        <v>5103</v>
      </c>
      <c r="D250" s="1232" t="s">
        <v>5159</v>
      </c>
      <c r="E250" s="1272">
        <v>841125</v>
      </c>
      <c r="F250" s="1233" t="s">
        <v>5133</v>
      </c>
      <c r="G250" s="1188" t="s">
        <v>127</v>
      </c>
      <c r="H250" s="1194" t="s">
        <v>5153</v>
      </c>
      <c r="I250" s="1188"/>
      <c r="J250" s="1188"/>
    </row>
    <row r="251" spans="1:10" ht="48" x14ac:dyDescent="0.2">
      <c r="A251" s="1233" t="s">
        <v>5160</v>
      </c>
      <c r="B251" s="1231" t="s">
        <v>5131</v>
      </c>
      <c r="C251" s="1232" t="s">
        <v>5103</v>
      </c>
      <c r="D251" s="1232" t="s">
        <v>5161</v>
      </c>
      <c r="E251" s="1272">
        <v>50000</v>
      </c>
      <c r="F251" s="1233" t="s">
        <v>5162</v>
      </c>
      <c r="G251" s="1188" t="s">
        <v>127</v>
      </c>
      <c r="H251" s="1194" t="s">
        <v>5163</v>
      </c>
      <c r="I251" s="1188"/>
      <c r="J251" s="1188"/>
    </row>
    <row r="252" spans="1:10" ht="84" x14ac:dyDescent="0.2">
      <c r="A252" s="1233" t="s">
        <v>5164</v>
      </c>
      <c r="B252" s="1231" t="s">
        <v>5131</v>
      </c>
      <c r="C252" s="1232" t="s">
        <v>5103</v>
      </c>
      <c r="D252" s="1232" t="s">
        <v>5165</v>
      </c>
      <c r="E252" s="1272">
        <v>55000</v>
      </c>
      <c r="F252" s="1233" t="s">
        <v>5166</v>
      </c>
      <c r="G252" s="1188" t="s">
        <v>127</v>
      </c>
      <c r="H252" s="1194" t="s">
        <v>5120</v>
      </c>
      <c r="I252" s="1188"/>
      <c r="J252" s="1188"/>
    </row>
    <row r="253" spans="1:10" ht="48" x14ac:dyDescent="0.2">
      <c r="A253" s="1233" t="s">
        <v>5167</v>
      </c>
      <c r="B253" s="1231" t="s">
        <v>5131</v>
      </c>
      <c r="C253" s="1232" t="s">
        <v>5103</v>
      </c>
      <c r="D253" s="1232" t="s">
        <v>5168</v>
      </c>
      <c r="E253" s="1272">
        <v>78880</v>
      </c>
      <c r="F253" s="1233" t="s">
        <v>5169</v>
      </c>
      <c r="G253" s="1188" t="s">
        <v>127</v>
      </c>
      <c r="H253" s="1194" t="s">
        <v>5117</v>
      </c>
      <c r="I253" s="1188"/>
      <c r="J253" s="1188"/>
    </row>
    <row r="254" spans="1:10" ht="48" x14ac:dyDescent="0.2">
      <c r="A254" s="1233" t="s">
        <v>5170</v>
      </c>
      <c r="B254" s="1231" t="s">
        <v>5131</v>
      </c>
      <c r="C254" s="1232" t="s">
        <v>5103</v>
      </c>
      <c r="D254" s="1232" t="s">
        <v>5171</v>
      </c>
      <c r="E254" s="1272">
        <v>189000</v>
      </c>
      <c r="F254" s="1233" t="s">
        <v>5172</v>
      </c>
      <c r="G254" s="1188" t="s">
        <v>127</v>
      </c>
      <c r="H254" s="1206">
        <v>44095</v>
      </c>
      <c r="I254" s="1188"/>
      <c r="J254" s="1188"/>
    </row>
    <row r="255" spans="1:10" ht="36" x14ac:dyDescent="0.2">
      <c r="A255" s="1233" t="s">
        <v>5173</v>
      </c>
      <c r="B255" s="1231" t="s">
        <v>5131</v>
      </c>
      <c r="C255" s="1232" t="s">
        <v>5103</v>
      </c>
      <c r="D255" s="1232" t="s">
        <v>5174</v>
      </c>
      <c r="E255" s="1272">
        <v>84000</v>
      </c>
      <c r="F255" s="1233" t="s">
        <v>5175</v>
      </c>
      <c r="G255" s="1188" t="s">
        <v>127</v>
      </c>
      <c r="H255" s="1194" t="s">
        <v>5176</v>
      </c>
      <c r="I255" s="1188"/>
      <c r="J255" s="1188"/>
    </row>
    <row r="256" spans="1:10" ht="36" x14ac:dyDescent="0.2">
      <c r="A256" s="1233" t="s">
        <v>5177</v>
      </c>
      <c r="B256" s="1231" t="s">
        <v>5007</v>
      </c>
      <c r="C256" s="1232" t="s">
        <v>5103</v>
      </c>
      <c r="D256" s="1232" t="s">
        <v>5178</v>
      </c>
      <c r="E256" s="1272">
        <v>164629.6</v>
      </c>
      <c r="F256" s="1233" t="s">
        <v>5179</v>
      </c>
      <c r="G256" s="1188" t="s">
        <v>127</v>
      </c>
      <c r="H256" s="1206">
        <v>44095</v>
      </c>
      <c r="I256" s="1188"/>
      <c r="J256" s="1188"/>
    </row>
    <row r="257" spans="1:10" ht="24" x14ac:dyDescent="0.2">
      <c r="A257" s="1234" t="s">
        <v>5180</v>
      </c>
      <c r="B257" s="1231" t="s">
        <v>5007</v>
      </c>
      <c r="C257" s="1232" t="s">
        <v>5103</v>
      </c>
      <c r="D257" s="1232" t="s">
        <v>5181</v>
      </c>
      <c r="E257" s="1272"/>
      <c r="F257" s="1233"/>
      <c r="G257" s="1188" t="s">
        <v>5182</v>
      </c>
      <c r="H257" s="1194"/>
      <c r="I257" s="1188"/>
      <c r="J257" s="1188"/>
    </row>
    <row r="258" spans="1:10" ht="48" x14ac:dyDescent="0.2">
      <c r="A258" s="1233" t="s">
        <v>5183</v>
      </c>
      <c r="B258" s="1231" t="s">
        <v>5131</v>
      </c>
      <c r="C258" s="1232" t="s">
        <v>5103</v>
      </c>
      <c r="D258" s="1232" t="s">
        <v>5184</v>
      </c>
      <c r="E258" s="1272">
        <v>74000</v>
      </c>
      <c r="F258" s="1233" t="s">
        <v>5185</v>
      </c>
      <c r="G258" s="1188" t="s">
        <v>127</v>
      </c>
      <c r="H258" s="1206">
        <v>44033</v>
      </c>
      <c r="I258" s="1188"/>
      <c r="J258" s="1188"/>
    </row>
    <row r="259" spans="1:10" ht="36" x14ac:dyDescent="0.2">
      <c r="A259" s="1233" t="s">
        <v>5186</v>
      </c>
      <c r="B259" s="1231" t="s">
        <v>5131</v>
      </c>
      <c r="C259" s="1232" t="s">
        <v>5103</v>
      </c>
      <c r="D259" s="1232" t="s">
        <v>5187</v>
      </c>
      <c r="E259" s="1272">
        <v>59850</v>
      </c>
      <c r="F259" s="1233" t="s">
        <v>5188</v>
      </c>
      <c r="G259" s="1188" t="s">
        <v>5189</v>
      </c>
      <c r="H259" s="1206">
        <v>44034</v>
      </c>
      <c r="I259" s="1188"/>
      <c r="J259" s="1188"/>
    </row>
    <row r="260" spans="1:10" ht="36" x14ac:dyDescent="0.2">
      <c r="A260" s="1233" t="s">
        <v>5190</v>
      </c>
      <c r="B260" s="1231" t="s">
        <v>5007</v>
      </c>
      <c r="C260" s="1232" t="s">
        <v>5103</v>
      </c>
      <c r="D260" s="1232" t="s">
        <v>5191</v>
      </c>
      <c r="E260" s="1272">
        <v>684000</v>
      </c>
      <c r="F260" s="1233" t="s">
        <v>5192</v>
      </c>
      <c r="G260" s="1188" t="s">
        <v>127</v>
      </c>
      <c r="H260" s="1206">
        <v>44111</v>
      </c>
      <c r="I260" s="1188"/>
      <c r="J260" s="1188"/>
    </row>
    <row r="261" spans="1:10" ht="36" x14ac:dyDescent="0.2">
      <c r="A261" s="1441" t="s">
        <v>5193</v>
      </c>
      <c r="B261" s="1439" t="s">
        <v>5131</v>
      </c>
      <c r="C261" s="1440" t="s">
        <v>5103</v>
      </c>
      <c r="D261" s="1440" t="s">
        <v>5194</v>
      </c>
      <c r="E261" s="1272">
        <v>132000</v>
      </c>
      <c r="F261" s="1233" t="s">
        <v>5195</v>
      </c>
      <c r="G261" s="1188" t="s">
        <v>127</v>
      </c>
      <c r="H261" s="1206">
        <v>44089</v>
      </c>
      <c r="I261" s="1188"/>
      <c r="J261" s="1188"/>
    </row>
    <row r="262" spans="1:10" ht="72" x14ac:dyDescent="0.2">
      <c r="A262" s="1441"/>
      <c r="B262" s="1439"/>
      <c r="C262" s="1440"/>
      <c r="D262" s="1440"/>
      <c r="E262" s="1272">
        <v>53250</v>
      </c>
      <c r="F262" s="1233" t="s">
        <v>5196</v>
      </c>
      <c r="G262" s="1188" t="s">
        <v>127</v>
      </c>
      <c r="H262" s="1206">
        <v>44035</v>
      </c>
      <c r="I262" s="1188"/>
      <c r="J262" s="1188"/>
    </row>
    <row r="263" spans="1:10" ht="36" x14ac:dyDescent="0.2">
      <c r="A263" s="1233" t="s">
        <v>5197</v>
      </c>
      <c r="B263" s="1231" t="s">
        <v>5131</v>
      </c>
      <c r="C263" s="1232" t="s">
        <v>5103</v>
      </c>
      <c r="D263" s="1232" t="s">
        <v>5198</v>
      </c>
      <c r="E263" s="1272">
        <v>67160</v>
      </c>
      <c r="F263" s="1233" t="s">
        <v>5199</v>
      </c>
      <c r="G263" s="1188" t="s">
        <v>127</v>
      </c>
      <c r="H263" s="1206">
        <v>44036</v>
      </c>
      <c r="I263" s="1188"/>
      <c r="J263" s="1188"/>
    </row>
    <row r="264" spans="1:10" ht="36" x14ac:dyDescent="0.2">
      <c r="A264" s="1233" t="s">
        <v>5200</v>
      </c>
      <c r="B264" s="1231" t="s">
        <v>5131</v>
      </c>
      <c r="C264" s="1232" t="s">
        <v>5103</v>
      </c>
      <c r="D264" s="1232" t="s">
        <v>5201</v>
      </c>
      <c r="E264" s="1272"/>
      <c r="F264" s="1233" t="s">
        <v>5202</v>
      </c>
      <c r="G264" s="1188" t="s">
        <v>127</v>
      </c>
      <c r="H264" s="1206">
        <v>44042</v>
      </c>
      <c r="I264" s="1188"/>
      <c r="J264" s="1188"/>
    </row>
    <row r="265" spans="1:10" ht="36" x14ac:dyDescent="0.2">
      <c r="A265" s="1233" t="s">
        <v>5203</v>
      </c>
      <c r="B265" s="1231" t="s">
        <v>5131</v>
      </c>
      <c r="C265" s="1232" t="s">
        <v>5103</v>
      </c>
      <c r="D265" s="1232" t="s">
        <v>5204</v>
      </c>
      <c r="E265" s="1272">
        <v>146250</v>
      </c>
      <c r="F265" s="1233" t="s">
        <v>5205</v>
      </c>
      <c r="G265" s="1188" t="s">
        <v>127</v>
      </c>
      <c r="H265" s="1206">
        <v>44095</v>
      </c>
      <c r="I265" s="1188"/>
      <c r="J265" s="1188"/>
    </row>
    <row r="266" spans="1:10" ht="36" x14ac:dyDescent="0.2">
      <c r="A266" s="1234" t="s">
        <v>5206</v>
      </c>
      <c r="B266" s="1231" t="s">
        <v>5131</v>
      </c>
      <c r="C266" s="1232" t="s">
        <v>5103</v>
      </c>
      <c r="D266" s="1232" t="s">
        <v>5207</v>
      </c>
      <c r="E266" s="1272">
        <v>212580</v>
      </c>
      <c r="F266" s="1233" t="s">
        <v>5139</v>
      </c>
      <c r="G266" s="1188" t="s">
        <v>127</v>
      </c>
      <c r="H266" s="1206">
        <v>44132</v>
      </c>
      <c r="I266" s="1188"/>
      <c r="J266" s="1188"/>
    </row>
    <row r="267" spans="1:10" ht="60" x14ac:dyDescent="0.2">
      <c r="A267" s="1233" t="s">
        <v>5208</v>
      </c>
      <c r="B267" s="1231" t="s">
        <v>5131</v>
      </c>
      <c r="C267" s="1232" t="s">
        <v>5124</v>
      </c>
      <c r="D267" s="1232" t="s">
        <v>5209</v>
      </c>
      <c r="E267" s="1272">
        <v>67165.2</v>
      </c>
      <c r="F267" s="1233" t="s">
        <v>5210</v>
      </c>
      <c r="G267" s="1188" t="s">
        <v>127</v>
      </c>
      <c r="H267" s="1194"/>
      <c r="I267" s="1188"/>
      <c r="J267" s="1188"/>
    </row>
    <row r="268" spans="1:10" ht="36" x14ac:dyDescent="0.2">
      <c r="A268" s="1233" t="s">
        <v>5211</v>
      </c>
      <c r="B268" s="1231" t="s">
        <v>5131</v>
      </c>
      <c r="C268" s="1232" t="s">
        <v>5103</v>
      </c>
      <c r="D268" s="1232" t="s">
        <v>5212</v>
      </c>
      <c r="E268" s="1272">
        <v>203255</v>
      </c>
      <c r="F268" s="1233" t="s">
        <v>5205</v>
      </c>
      <c r="G268" s="1188" t="s">
        <v>127</v>
      </c>
      <c r="H268" s="1206">
        <v>44076</v>
      </c>
      <c r="I268" s="1188"/>
      <c r="J268" s="1188"/>
    </row>
    <row r="269" spans="1:10" ht="60" x14ac:dyDescent="0.2">
      <c r="A269" s="1233" t="s">
        <v>5213</v>
      </c>
      <c r="B269" s="1231" t="s">
        <v>5131</v>
      </c>
      <c r="C269" s="1232" t="s">
        <v>5124</v>
      </c>
      <c r="D269" s="1238" t="s">
        <v>5214</v>
      </c>
      <c r="E269" s="1272">
        <v>70000</v>
      </c>
      <c r="F269" s="1233" t="s">
        <v>5215</v>
      </c>
      <c r="G269" s="1188" t="s">
        <v>127</v>
      </c>
      <c r="H269" s="1206">
        <v>44064</v>
      </c>
      <c r="I269" s="1188"/>
      <c r="J269" s="1188"/>
    </row>
    <row r="270" spans="1:10" x14ac:dyDescent="0.2">
      <c r="A270" s="1239" t="s">
        <v>4995</v>
      </c>
      <c r="B270" s="1240"/>
      <c r="C270" s="1241"/>
      <c r="D270" s="1242"/>
      <c r="E270" s="1274"/>
      <c r="F270" s="1239"/>
      <c r="G270" s="1243"/>
      <c r="H270" s="1244"/>
      <c r="I270" s="1243"/>
      <c r="J270" s="1243"/>
    </row>
    <row r="271" spans="1:10" x14ac:dyDescent="0.2">
      <c r="A271" s="1187" t="s">
        <v>5216</v>
      </c>
      <c r="B271" s="1187" t="s">
        <v>5006</v>
      </c>
      <c r="C271" s="1194" t="s">
        <v>5007</v>
      </c>
      <c r="D271" s="1194" t="s">
        <v>5217</v>
      </c>
      <c r="E271" s="1264">
        <v>63146.2</v>
      </c>
      <c r="F271" s="1187" t="s">
        <v>5218</v>
      </c>
      <c r="G271" s="1188" t="s">
        <v>5001</v>
      </c>
      <c r="H271" s="1190">
        <v>44279</v>
      </c>
      <c r="I271" s="1190">
        <v>44310</v>
      </c>
      <c r="J271" s="1188" t="s">
        <v>5219</v>
      </c>
    </row>
    <row r="272" spans="1:10" x14ac:dyDescent="0.2">
      <c r="A272" s="1187" t="s">
        <v>5220</v>
      </c>
      <c r="B272" s="1187" t="s">
        <v>4997</v>
      </c>
      <c r="C272" s="1194" t="s">
        <v>4998</v>
      </c>
      <c r="D272" s="1194" t="s">
        <v>5217</v>
      </c>
      <c r="E272" s="1264">
        <v>47250</v>
      </c>
      <c r="F272" s="1187" t="s">
        <v>5221</v>
      </c>
      <c r="G272" s="1188"/>
      <c r="H272" s="1190">
        <v>44459</v>
      </c>
      <c r="I272" s="1190">
        <v>44489</v>
      </c>
      <c r="J272" s="1188" t="s">
        <v>5222</v>
      </c>
    </row>
    <row r="273" spans="1:10" ht="24" x14ac:dyDescent="0.2">
      <c r="A273" s="1239" t="s">
        <v>5009</v>
      </c>
      <c r="B273" s="1187"/>
      <c r="C273" s="1194"/>
      <c r="D273" s="1194"/>
      <c r="E273" s="1264"/>
      <c r="F273" s="1187"/>
      <c r="G273" s="1188"/>
      <c r="H273" s="1190"/>
      <c r="I273" s="1190"/>
      <c r="J273" s="1188"/>
    </row>
    <row r="274" spans="1:10" x14ac:dyDescent="0.2">
      <c r="A274" s="1245" t="s">
        <v>5223</v>
      </c>
      <c r="B274" s="1200" t="s">
        <v>5011</v>
      </c>
      <c r="C274" s="1200" t="s">
        <v>5012</v>
      </c>
      <c r="D274" s="1187"/>
      <c r="E274" s="1275">
        <v>17080</v>
      </c>
      <c r="F274" s="1245" t="s">
        <v>5224</v>
      </c>
      <c r="G274" s="1188"/>
      <c r="H274" s="1188"/>
      <c r="I274" s="1188"/>
      <c r="J274" s="1188"/>
    </row>
    <row r="275" spans="1:10" x14ac:dyDescent="0.2">
      <c r="A275" s="1245" t="s">
        <v>5225</v>
      </c>
      <c r="B275" s="1200" t="s">
        <v>5011</v>
      </c>
      <c r="C275" s="1200" t="s">
        <v>5012</v>
      </c>
      <c r="D275" s="1187"/>
      <c r="E275" s="1275">
        <v>14032</v>
      </c>
      <c r="F275" s="1245" t="s">
        <v>5226</v>
      </c>
      <c r="G275" s="1188"/>
      <c r="H275" s="1188"/>
      <c r="I275" s="1188"/>
      <c r="J275" s="1188"/>
    </row>
    <row r="276" spans="1:10" x14ac:dyDescent="0.2">
      <c r="A276" s="1245" t="s">
        <v>5227</v>
      </c>
      <c r="B276" s="1200" t="s">
        <v>5011</v>
      </c>
      <c r="C276" s="1200" t="s">
        <v>5012</v>
      </c>
      <c r="D276" s="1187"/>
      <c r="E276" s="1275">
        <v>13160</v>
      </c>
      <c r="F276" s="1245" t="s">
        <v>5228</v>
      </c>
      <c r="G276" s="1188"/>
      <c r="H276" s="1188"/>
      <c r="I276" s="1188"/>
      <c r="J276" s="1188"/>
    </row>
    <row r="277" spans="1:10" x14ac:dyDescent="0.2">
      <c r="A277" s="1245" t="s">
        <v>5010</v>
      </c>
      <c r="B277" s="1200" t="s">
        <v>5011</v>
      </c>
      <c r="C277" s="1200" t="s">
        <v>5012</v>
      </c>
      <c r="D277" s="1187"/>
      <c r="E277" s="1275">
        <v>12420</v>
      </c>
      <c r="F277" s="1245" t="s">
        <v>5229</v>
      </c>
      <c r="G277" s="1188"/>
      <c r="H277" s="1188"/>
      <c r="I277" s="1188"/>
      <c r="J277" s="1188"/>
    </row>
    <row r="278" spans="1:10" x14ac:dyDescent="0.2">
      <c r="A278" s="1245" t="s">
        <v>5013</v>
      </c>
      <c r="B278" s="1200" t="s">
        <v>5011</v>
      </c>
      <c r="C278" s="1200" t="s">
        <v>5012</v>
      </c>
      <c r="D278" s="1187"/>
      <c r="E278" s="1275">
        <v>12279.6</v>
      </c>
      <c r="F278" s="1245" t="s">
        <v>5230</v>
      </c>
      <c r="G278" s="1188"/>
      <c r="H278" s="1188"/>
      <c r="I278" s="1188"/>
      <c r="J278" s="1188"/>
    </row>
    <row r="279" spans="1:10" x14ac:dyDescent="0.2">
      <c r="A279" s="1245" t="s">
        <v>5231</v>
      </c>
      <c r="B279" s="1200" t="s">
        <v>5011</v>
      </c>
      <c r="C279" s="1200" t="s">
        <v>5012</v>
      </c>
      <c r="D279" s="1187"/>
      <c r="E279" s="1275">
        <v>10580</v>
      </c>
      <c r="F279" s="1245" t="s">
        <v>5229</v>
      </c>
      <c r="G279" s="1188"/>
      <c r="H279" s="1188"/>
      <c r="I279" s="1188"/>
      <c r="J279" s="1188"/>
    </row>
    <row r="280" spans="1:10" x14ac:dyDescent="0.2">
      <c r="A280" s="1245" t="s">
        <v>5232</v>
      </c>
      <c r="B280" s="1200" t="s">
        <v>5011</v>
      </c>
      <c r="C280" s="1200" t="s">
        <v>5012</v>
      </c>
      <c r="D280" s="1187"/>
      <c r="E280" s="1275">
        <v>10500</v>
      </c>
      <c r="F280" s="1245" t="s">
        <v>5233</v>
      </c>
      <c r="G280" s="1188"/>
      <c r="H280" s="1188"/>
      <c r="I280" s="1188"/>
      <c r="J280" s="1188"/>
    </row>
    <row r="281" spans="1:10" x14ac:dyDescent="0.2">
      <c r="A281" s="1245" t="s">
        <v>5234</v>
      </c>
      <c r="B281" s="1200" t="s">
        <v>5011</v>
      </c>
      <c r="C281" s="1200" t="s">
        <v>5012</v>
      </c>
      <c r="D281" s="1187"/>
      <c r="E281" s="1275">
        <v>10275</v>
      </c>
      <c r="F281" s="1245" t="s">
        <v>5235</v>
      </c>
      <c r="G281" s="1188"/>
      <c r="H281" s="1188"/>
      <c r="I281" s="1188"/>
      <c r="J281" s="1188"/>
    </row>
    <row r="282" spans="1:10" x14ac:dyDescent="0.2">
      <c r="A282" s="1245" t="s">
        <v>5236</v>
      </c>
      <c r="B282" s="1200" t="s">
        <v>5011</v>
      </c>
      <c r="C282" s="1200" t="s">
        <v>5012</v>
      </c>
      <c r="D282" s="1187"/>
      <c r="E282" s="1275">
        <v>9874.5</v>
      </c>
      <c r="F282" s="1245" t="s">
        <v>5237</v>
      </c>
      <c r="G282" s="1188"/>
      <c r="H282" s="1188"/>
      <c r="I282" s="1188"/>
      <c r="J282" s="1188"/>
    </row>
    <row r="283" spans="1:10" x14ac:dyDescent="0.2">
      <c r="A283" s="1245" t="s">
        <v>5238</v>
      </c>
      <c r="B283" s="1200" t="s">
        <v>5011</v>
      </c>
      <c r="C283" s="1200" t="s">
        <v>5012</v>
      </c>
      <c r="D283" s="1187"/>
      <c r="E283" s="1275">
        <v>9788.7999999999993</v>
      </c>
      <c r="F283" s="1245" t="s">
        <v>5239</v>
      </c>
      <c r="G283" s="1188"/>
      <c r="H283" s="1188"/>
      <c r="I283" s="1188"/>
      <c r="J283" s="1188"/>
    </row>
    <row r="284" spans="1:10" x14ac:dyDescent="0.2">
      <c r="A284" s="1245" t="s">
        <v>5240</v>
      </c>
      <c r="B284" s="1200" t="s">
        <v>5011</v>
      </c>
      <c r="C284" s="1200" t="s">
        <v>5012</v>
      </c>
      <c r="D284" s="1187"/>
      <c r="E284" s="1275">
        <v>9396</v>
      </c>
      <c r="F284" s="1245" t="s">
        <v>5237</v>
      </c>
      <c r="G284" s="1188"/>
      <c r="H284" s="1188"/>
      <c r="I284" s="1188"/>
      <c r="J284" s="1188"/>
    </row>
    <row r="285" spans="1:10" x14ac:dyDescent="0.2">
      <c r="A285" s="1245" t="s">
        <v>5241</v>
      </c>
      <c r="B285" s="1200" t="s">
        <v>5011</v>
      </c>
      <c r="C285" s="1200" t="s">
        <v>5012</v>
      </c>
      <c r="D285" s="1187"/>
      <c r="E285" s="1275">
        <v>8628</v>
      </c>
      <c r="F285" s="1245" t="s">
        <v>5242</v>
      </c>
      <c r="G285" s="1188"/>
      <c r="H285" s="1188"/>
      <c r="I285" s="1188"/>
      <c r="J285" s="1188"/>
    </row>
    <row r="286" spans="1:10" x14ac:dyDescent="0.2">
      <c r="A286" s="1245" t="s">
        <v>5243</v>
      </c>
      <c r="B286" s="1200" t="s">
        <v>5011</v>
      </c>
      <c r="C286" s="1200" t="s">
        <v>5012</v>
      </c>
      <c r="D286" s="1187"/>
      <c r="E286" s="1275">
        <v>8400</v>
      </c>
      <c r="F286" s="1245" t="s">
        <v>5244</v>
      </c>
      <c r="G286" s="1188"/>
      <c r="H286" s="1188"/>
      <c r="I286" s="1188"/>
      <c r="J286" s="1188"/>
    </row>
    <row r="287" spans="1:10" x14ac:dyDescent="0.2">
      <c r="A287" s="1245" t="s">
        <v>5245</v>
      </c>
      <c r="B287" s="1200" t="s">
        <v>5011</v>
      </c>
      <c r="C287" s="1200" t="s">
        <v>5012</v>
      </c>
      <c r="D287" s="1187"/>
      <c r="E287" s="1275">
        <v>8200</v>
      </c>
      <c r="F287" s="1245" t="s">
        <v>5224</v>
      </c>
      <c r="G287" s="1188"/>
      <c r="H287" s="1188"/>
      <c r="I287" s="1188"/>
      <c r="J287" s="1188"/>
    </row>
    <row r="288" spans="1:10" ht="15" x14ac:dyDescent="0.25">
      <c r="A288" s="1246" t="s">
        <v>5246</v>
      </c>
      <c r="B288" s="912"/>
      <c r="C288" s="912"/>
      <c r="D288" s="912"/>
      <c r="E288" s="1271"/>
      <c r="F288" s="912"/>
      <c r="G288" s="912"/>
      <c r="H288" s="912"/>
      <c r="I288" s="912"/>
      <c r="J288" s="912"/>
    </row>
    <row r="289" spans="1:10" x14ac:dyDescent="0.2">
      <c r="A289" s="1247" t="s">
        <v>836</v>
      </c>
      <c r="B289" s="1215"/>
      <c r="C289" s="1215"/>
      <c r="D289" s="1215"/>
      <c r="E289" s="1267"/>
      <c r="F289" s="1215"/>
      <c r="G289" s="1215"/>
      <c r="H289" s="1215"/>
      <c r="I289" s="1215"/>
      <c r="J289" s="1215"/>
    </row>
    <row r="290" spans="1:10" x14ac:dyDescent="0.2">
      <c r="A290" s="939" t="s">
        <v>5247</v>
      </c>
      <c r="B290" s="939" t="s">
        <v>4564</v>
      </c>
      <c r="C290" s="939" t="s">
        <v>4565</v>
      </c>
      <c r="D290" s="939" t="s">
        <v>5248</v>
      </c>
      <c r="E290" s="1269">
        <v>86600</v>
      </c>
      <c r="F290" s="939"/>
      <c r="G290" s="1201"/>
      <c r="H290" s="1201"/>
      <c r="I290" s="1201"/>
      <c r="J290" s="1201" t="s">
        <v>5249</v>
      </c>
    </row>
    <row r="291" spans="1:10" x14ac:dyDescent="0.2">
      <c r="A291" s="939" t="s">
        <v>5250</v>
      </c>
      <c r="B291" s="939" t="s">
        <v>4030</v>
      </c>
      <c r="C291" s="939" t="s">
        <v>4565</v>
      </c>
      <c r="D291" s="939" t="s">
        <v>5251</v>
      </c>
      <c r="E291" s="1269">
        <f>8800*12</f>
        <v>105600</v>
      </c>
      <c r="F291" s="939"/>
      <c r="G291" s="1201"/>
      <c r="H291" s="1201"/>
      <c r="I291" s="1201"/>
      <c r="J291" s="1201" t="s">
        <v>5249</v>
      </c>
    </row>
    <row r="292" spans="1:10" x14ac:dyDescent="0.2">
      <c r="A292" s="939" t="s">
        <v>5252</v>
      </c>
      <c r="B292" s="939" t="s">
        <v>4582</v>
      </c>
      <c r="C292" s="939" t="s">
        <v>4565</v>
      </c>
      <c r="D292" s="939" t="s">
        <v>5253</v>
      </c>
      <c r="E292" s="1269">
        <v>40000</v>
      </c>
      <c r="F292" s="939"/>
      <c r="G292" s="1201"/>
      <c r="H292" s="1201"/>
      <c r="I292" s="1201"/>
      <c r="J292" s="1201" t="s">
        <v>5249</v>
      </c>
    </row>
    <row r="293" spans="1:10" x14ac:dyDescent="0.2">
      <c r="A293" s="1247" t="s">
        <v>636</v>
      </c>
      <c r="B293" s="1215"/>
      <c r="C293" s="1215"/>
      <c r="D293" s="1215"/>
      <c r="E293" s="1267"/>
      <c r="F293" s="1215"/>
      <c r="G293" s="1215"/>
      <c r="H293" s="1215"/>
      <c r="I293" s="1215"/>
      <c r="J293" s="1215"/>
    </row>
    <row r="294" spans="1:10" x14ac:dyDescent="0.2">
      <c r="A294" s="912" t="s">
        <v>5254</v>
      </c>
      <c r="B294" s="1194" t="s">
        <v>4621</v>
      </c>
      <c r="C294" s="1194" t="s">
        <v>5043</v>
      </c>
      <c r="D294" s="1194">
        <v>1</v>
      </c>
      <c r="E294" s="1264">
        <v>358000</v>
      </c>
      <c r="F294" s="1187"/>
      <c r="G294" s="1194"/>
      <c r="H294" s="1209"/>
      <c r="I294" s="1194"/>
      <c r="J294" s="1194"/>
    </row>
    <row r="295" spans="1:10" x14ac:dyDescent="0.2">
      <c r="A295" s="1187" t="s">
        <v>5045</v>
      </c>
      <c r="B295" s="1194" t="s">
        <v>4621</v>
      </c>
      <c r="C295" s="1194" t="s">
        <v>5043</v>
      </c>
      <c r="D295" s="1194">
        <v>2</v>
      </c>
      <c r="E295" s="1264">
        <v>94500</v>
      </c>
      <c r="F295" s="1194"/>
      <c r="G295" s="1194"/>
      <c r="H295" s="1209"/>
      <c r="I295" s="1194"/>
      <c r="J295" s="1194"/>
    </row>
    <row r="296" spans="1:10" x14ac:dyDescent="0.2">
      <c r="A296" s="1187" t="s">
        <v>5050</v>
      </c>
      <c r="B296" s="1194" t="s">
        <v>4621</v>
      </c>
      <c r="C296" s="1194" t="s">
        <v>5043</v>
      </c>
      <c r="D296" s="1194">
        <v>3</v>
      </c>
      <c r="E296" s="1264">
        <v>96800</v>
      </c>
      <c r="F296" s="1187"/>
      <c r="G296" s="1194"/>
      <c r="H296" s="1209"/>
      <c r="I296" s="1194"/>
      <c r="J296" s="1194"/>
    </row>
    <row r="297" spans="1:10" x14ac:dyDescent="0.2">
      <c r="A297" s="1187" t="s">
        <v>4630</v>
      </c>
      <c r="B297" s="1194" t="s">
        <v>4621</v>
      </c>
      <c r="C297" s="1194" t="s">
        <v>5043</v>
      </c>
      <c r="D297" s="1194">
        <v>4</v>
      </c>
      <c r="E297" s="1264">
        <v>85000</v>
      </c>
      <c r="F297" s="1187"/>
      <c r="G297" s="1194"/>
      <c r="H297" s="1209"/>
      <c r="I297" s="1194"/>
      <c r="J297" s="1194"/>
    </row>
    <row r="298" spans="1:10" x14ac:dyDescent="0.2">
      <c r="A298" s="1433" t="s">
        <v>4632</v>
      </c>
      <c r="B298" s="1434" t="s">
        <v>4621</v>
      </c>
      <c r="C298" s="1434" t="s">
        <v>5043</v>
      </c>
      <c r="D298" s="1434">
        <v>5</v>
      </c>
      <c r="E298" s="1435">
        <v>139800</v>
      </c>
      <c r="F298" s="1187"/>
      <c r="G298" s="1434"/>
      <c r="H298" s="1437"/>
      <c r="I298" s="1434"/>
      <c r="J298" s="1434"/>
    </row>
    <row r="299" spans="1:10" x14ac:dyDescent="0.2">
      <c r="A299" s="1433"/>
      <c r="B299" s="1434"/>
      <c r="C299" s="1434"/>
      <c r="D299" s="1434"/>
      <c r="E299" s="1435"/>
      <c r="F299" s="1187"/>
      <c r="G299" s="1434"/>
      <c r="H299" s="1437"/>
      <c r="I299" s="1434"/>
      <c r="J299" s="1434"/>
    </row>
    <row r="300" spans="1:10" x14ac:dyDescent="0.2">
      <c r="A300" s="1187" t="s">
        <v>5053</v>
      </c>
      <c r="B300" s="1194" t="s">
        <v>4621</v>
      </c>
      <c r="C300" s="1194" t="s">
        <v>5043</v>
      </c>
      <c r="D300" s="1194">
        <v>6</v>
      </c>
      <c r="E300" s="1264">
        <v>58000</v>
      </c>
      <c r="F300" s="1194"/>
      <c r="G300" s="1194"/>
      <c r="H300" s="1209"/>
      <c r="I300" s="1194"/>
      <c r="J300" s="1194"/>
    </row>
    <row r="301" spans="1:10" x14ac:dyDescent="0.2">
      <c r="A301" s="1188" t="s">
        <v>5055</v>
      </c>
      <c r="B301" s="1188" t="s">
        <v>4621</v>
      </c>
      <c r="C301" s="1194" t="s">
        <v>5043</v>
      </c>
      <c r="D301" s="1194">
        <v>7</v>
      </c>
      <c r="E301" s="1264">
        <v>41500</v>
      </c>
      <c r="F301" s="1187"/>
      <c r="G301" s="1194"/>
      <c r="H301" s="1209"/>
      <c r="I301" s="1194"/>
      <c r="J301" s="1194"/>
    </row>
    <row r="302" spans="1:10" x14ac:dyDescent="0.2">
      <c r="A302" s="1247" t="s">
        <v>5255</v>
      </c>
      <c r="B302" s="1215"/>
      <c r="C302" s="1215"/>
      <c r="D302" s="1215"/>
      <c r="E302" s="1267"/>
      <c r="F302" s="1215"/>
      <c r="G302" s="1215"/>
      <c r="H302" s="1215"/>
      <c r="I302" s="1215"/>
      <c r="J302" s="1215"/>
    </row>
    <row r="303" spans="1:10" x14ac:dyDescent="0.2">
      <c r="A303" s="939" t="s">
        <v>5256</v>
      </c>
      <c r="B303" s="939" t="s">
        <v>4669</v>
      </c>
      <c r="C303" s="939" t="s">
        <v>4670</v>
      </c>
      <c r="D303" s="1200" t="s">
        <v>4671</v>
      </c>
      <c r="E303" s="1269">
        <v>80500</v>
      </c>
      <c r="F303" s="939"/>
      <c r="G303" s="1201"/>
      <c r="H303" s="1201"/>
      <c r="I303" s="1201"/>
      <c r="J303" s="1201" t="s">
        <v>5257</v>
      </c>
    </row>
    <row r="304" spans="1:10" x14ac:dyDescent="0.2">
      <c r="A304" s="939" t="s">
        <v>5258</v>
      </c>
      <c r="B304" s="939" t="s">
        <v>4669</v>
      </c>
      <c r="C304" s="939" t="s">
        <v>4670</v>
      </c>
      <c r="D304" s="1200" t="s">
        <v>5067</v>
      </c>
      <c r="E304" s="1269">
        <v>104200</v>
      </c>
      <c r="F304" s="939"/>
      <c r="G304" s="1201"/>
      <c r="H304" s="1201"/>
      <c r="I304" s="1201"/>
      <c r="J304" s="1201"/>
    </row>
    <row r="305" spans="1:10" x14ac:dyDescent="0.2">
      <c r="A305" s="1247" t="s">
        <v>708</v>
      </c>
      <c r="B305" s="1215"/>
      <c r="C305" s="1215"/>
      <c r="D305" s="1215"/>
      <c r="E305" s="1267"/>
      <c r="F305" s="1215"/>
      <c r="G305" s="1215"/>
      <c r="H305" s="1215"/>
      <c r="I305" s="1215"/>
      <c r="J305" s="1215"/>
    </row>
    <row r="306" spans="1:10" x14ac:dyDescent="0.2">
      <c r="A306" s="913" t="s">
        <v>4690</v>
      </c>
      <c r="B306" s="939" t="s">
        <v>4680</v>
      </c>
      <c r="C306" s="939" t="s">
        <v>4626</v>
      </c>
      <c r="D306" s="912" t="s">
        <v>5259</v>
      </c>
      <c r="E306" s="1265">
        <v>64214.97</v>
      </c>
      <c r="F306" s="912"/>
      <c r="G306" s="912"/>
      <c r="H306" s="912"/>
      <c r="I306" s="912"/>
      <c r="J306" s="1201"/>
    </row>
    <row r="307" spans="1:10" x14ac:dyDescent="0.2">
      <c r="A307" s="913" t="s">
        <v>4693</v>
      </c>
      <c r="B307" s="939" t="s">
        <v>4680</v>
      </c>
      <c r="C307" s="939" t="s">
        <v>4626</v>
      </c>
      <c r="D307" s="912" t="s">
        <v>5259</v>
      </c>
      <c r="E307" s="1265">
        <v>187686.39999999999</v>
      </c>
      <c r="F307" s="912"/>
      <c r="G307" s="912"/>
      <c r="H307" s="912"/>
      <c r="I307" s="912"/>
      <c r="J307" s="1201"/>
    </row>
    <row r="308" spans="1:10" x14ac:dyDescent="0.2">
      <c r="A308" s="913" t="s">
        <v>4698</v>
      </c>
      <c r="B308" s="939" t="s">
        <v>4680</v>
      </c>
      <c r="C308" s="939" t="s">
        <v>4626</v>
      </c>
      <c r="D308" s="912" t="s">
        <v>5259</v>
      </c>
      <c r="E308" s="1265">
        <v>228674.6</v>
      </c>
      <c r="F308" s="912"/>
      <c r="G308" s="912"/>
      <c r="H308" s="912"/>
      <c r="I308" s="912"/>
      <c r="J308" s="1201"/>
    </row>
    <row r="309" spans="1:10" x14ac:dyDescent="0.2">
      <c r="A309" s="939" t="s">
        <v>5260</v>
      </c>
      <c r="B309" s="939" t="s">
        <v>4680</v>
      </c>
      <c r="C309" s="939" t="s">
        <v>4626</v>
      </c>
      <c r="D309" s="912" t="s">
        <v>5259</v>
      </c>
      <c r="E309" s="1265">
        <v>58237</v>
      </c>
      <c r="F309" s="912"/>
      <c r="G309" s="912"/>
      <c r="H309" s="912"/>
      <c r="I309" s="912"/>
      <c r="J309" s="1201"/>
    </row>
    <row r="310" spans="1:10" x14ac:dyDescent="0.2">
      <c r="A310" s="1247" t="s">
        <v>5261</v>
      </c>
      <c r="B310" s="1215"/>
      <c r="C310" s="1215"/>
      <c r="D310" s="1215"/>
      <c r="E310" s="1267"/>
      <c r="F310" s="1215"/>
      <c r="G310" s="1215"/>
      <c r="H310" s="1215"/>
      <c r="I310" s="1215"/>
      <c r="J310" s="1215"/>
    </row>
    <row r="311" spans="1:10" x14ac:dyDescent="0.2">
      <c r="A311" s="939" t="s">
        <v>5262</v>
      </c>
      <c r="B311" s="1194" t="s">
        <v>4621</v>
      </c>
      <c r="C311" s="1194" t="s">
        <v>5043</v>
      </c>
      <c r="D311" s="1200">
        <v>1</v>
      </c>
      <c r="E311" s="1276">
        <v>29252</v>
      </c>
      <c r="F311" s="939"/>
      <c r="G311" s="1201"/>
      <c r="H311" s="1212"/>
      <c r="I311" s="1201"/>
      <c r="J311" s="1201"/>
    </row>
    <row r="312" spans="1:10" x14ac:dyDescent="0.2">
      <c r="A312" s="912" t="s">
        <v>5263</v>
      </c>
      <c r="B312" s="1194" t="s">
        <v>4621</v>
      </c>
      <c r="C312" s="1194" t="s">
        <v>5043</v>
      </c>
      <c r="D312" s="1200">
        <v>2</v>
      </c>
      <c r="E312" s="1276">
        <v>50758</v>
      </c>
      <c r="F312" s="939"/>
      <c r="G312" s="1201"/>
      <c r="H312" s="1212"/>
      <c r="I312" s="1201"/>
      <c r="J312" s="1201"/>
    </row>
    <row r="313" spans="1:10" x14ac:dyDescent="0.2">
      <c r="A313" s="1248" t="s">
        <v>4028</v>
      </c>
      <c r="B313" s="1249"/>
      <c r="C313" s="1249"/>
      <c r="D313" s="1249"/>
      <c r="E313" s="1277"/>
      <c r="F313" s="1249"/>
      <c r="G313" s="1249"/>
      <c r="H313" s="1249"/>
      <c r="I313" s="1249"/>
      <c r="J313" s="1249"/>
    </row>
    <row r="314" spans="1:10" x14ac:dyDescent="0.2">
      <c r="A314" s="1250" t="s">
        <v>5264</v>
      </c>
      <c r="B314" s="1251" t="s">
        <v>5265</v>
      </c>
      <c r="C314" s="1252"/>
      <c r="D314" s="1252"/>
      <c r="E314" s="1278">
        <v>4000000</v>
      </c>
      <c r="F314" s="1253"/>
      <c r="G314" s="1254"/>
      <c r="H314" s="1254"/>
      <c r="I314" s="1254"/>
      <c r="J314" s="1254"/>
    </row>
    <row r="315" spans="1:10" x14ac:dyDescent="0.2">
      <c r="A315" s="1250" t="s">
        <v>4979</v>
      </c>
      <c r="B315" s="1251" t="s">
        <v>5265</v>
      </c>
      <c r="C315" s="1252"/>
      <c r="D315" s="1252"/>
      <c r="E315" s="1278">
        <v>2000000</v>
      </c>
      <c r="F315" s="1253"/>
      <c r="G315" s="1254"/>
      <c r="H315" s="1254"/>
      <c r="I315" s="1254"/>
      <c r="J315" s="1254"/>
    </row>
    <row r="316" spans="1:10" x14ac:dyDescent="0.2">
      <c r="A316" s="1250" t="s">
        <v>4984</v>
      </c>
      <c r="B316" s="1251" t="s">
        <v>5265</v>
      </c>
      <c r="C316" s="1252"/>
      <c r="D316" s="1252"/>
      <c r="E316" s="1278">
        <v>1000000</v>
      </c>
      <c r="F316" s="1253"/>
      <c r="G316" s="1254"/>
      <c r="H316" s="1254"/>
      <c r="I316" s="1254"/>
      <c r="J316" s="1254"/>
    </row>
    <row r="317" spans="1:10" x14ac:dyDescent="0.2">
      <c r="A317" s="1250" t="s">
        <v>5266</v>
      </c>
      <c r="B317" s="1251" t="s">
        <v>5265</v>
      </c>
      <c r="C317" s="1252"/>
      <c r="D317" s="1252"/>
      <c r="E317" s="1278">
        <v>2000000</v>
      </c>
      <c r="F317" s="1253"/>
      <c r="G317" s="1254"/>
      <c r="H317" s="1254"/>
      <c r="I317" s="1254"/>
      <c r="J317" s="1254"/>
    </row>
    <row r="318" spans="1:10" x14ac:dyDescent="0.2">
      <c r="A318" s="1250" t="s">
        <v>5267</v>
      </c>
      <c r="B318" s="1251" t="s">
        <v>5265</v>
      </c>
      <c r="C318" s="1252"/>
      <c r="D318" s="1252"/>
      <c r="E318" s="1278">
        <v>5000000</v>
      </c>
      <c r="F318" s="1253"/>
      <c r="G318" s="1254"/>
      <c r="H318" s="1254"/>
      <c r="I318" s="1254"/>
      <c r="J318" s="1254"/>
    </row>
    <row r="319" spans="1:10" x14ac:dyDescent="0.2">
      <c r="A319" s="1250" t="s">
        <v>5268</v>
      </c>
      <c r="B319" s="1251" t="s">
        <v>5265</v>
      </c>
      <c r="C319" s="1252"/>
      <c r="D319" s="1252"/>
      <c r="E319" s="1278">
        <v>2000000</v>
      </c>
      <c r="F319" s="1253"/>
      <c r="G319" s="1254"/>
      <c r="H319" s="1254"/>
      <c r="I319" s="1254"/>
      <c r="J319" s="1254"/>
    </row>
    <row r="320" spans="1:10" x14ac:dyDescent="0.2">
      <c r="A320" s="1248" t="s">
        <v>4995</v>
      </c>
      <c r="B320" s="1251"/>
      <c r="C320" s="1252"/>
      <c r="D320" s="1252"/>
      <c r="E320" s="1278"/>
      <c r="F320" s="1253"/>
      <c r="G320" s="1254"/>
      <c r="H320" s="1254"/>
      <c r="I320" s="1254"/>
      <c r="J320" s="1254"/>
    </row>
    <row r="321" spans="1:10" x14ac:dyDescent="0.2">
      <c r="A321" s="1255" t="s">
        <v>5269</v>
      </c>
      <c r="B321" s="1255" t="s">
        <v>4997</v>
      </c>
      <c r="C321" s="1252" t="s">
        <v>4998</v>
      </c>
      <c r="D321" s="1256" t="s">
        <v>5270</v>
      </c>
      <c r="E321" s="1279">
        <v>180000</v>
      </c>
      <c r="F321" s="1254"/>
      <c r="G321" s="1254"/>
      <c r="H321" s="1254"/>
      <c r="I321" s="1254"/>
      <c r="J321" s="1254" t="s">
        <v>935</v>
      </c>
    </row>
    <row r="322" spans="1:10" x14ac:dyDescent="0.2">
      <c r="A322" s="1255" t="s">
        <v>5271</v>
      </c>
      <c r="B322" s="1255" t="s">
        <v>4997</v>
      </c>
      <c r="C322" s="1252" t="s">
        <v>4998</v>
      </c>
      <c r="D322" s="1256" t="s">
        <v>5270</v>
      </c>
      <c r="E322" s="1279">
        <v>70000</v>
      </c>
      <c r="F322" s="1255"/>
      <c r="G322" s="1254"/>
      <c r="H322" s="1254"/>
      <c r="I322" s="1254"/>
      <c r="J322" s="1254" t="s">
        <v>935</v>
      </c>
    </row>
    <row r="323" spans="1:10" x14ac:dyDescent="0.2">
      <c r="A323" s="1255" t="s">
        <v>5272</v>
      </c>
      <c r="B323" s="1255" t="s">
        <v>4997</v>
      </c>
      <c r="C323" s="1252" t="s">
        <v>4998</v>
      </c>
      <c r="D323" s="1256" t="s">
        <v>5270</v>
      </c>
      <c r="E323" s="1279">
        <v>90000</v>
      </c>
      <c r="F323" s="1255"/>
      <c r="G323" s="1254"/>
      <c r="H323" s="1254"/>
      <c r="I323" s="1254"/>
      <c r="J323" s="1254" t="s">
        <v>935</v>
      </c>
    </row>
    <row r="324" spans="1:10" x14ac:dyDescent="0.2">
      <c r="A324" s="1255" t="s">
        <v>5273</v>
      </c>
      <c r="B324" s="1255" t="s">
        <v>5274</v>
      </c>
      <c r="C324" s="1255"/>
      <c r="D324" s="1252"/>
      <c r="E324" s="1279">
        <v>55000</v>
      </c>
      <c r="F324" s="1255"/>
      <c r="G324" s="1254"/>
      <c r="H324" s="1254"/>
      <c r="I324" s="1254"/>
      <c r="J324" s="1254" t="s">
        <v>935</v>
      </c>
    </row>
    <row r="325" spans="1:10" x14ac:dyDescent="0.2">
      <c r="A325" s="1257" t="s">
        <v>5275</v>
      </c>
      <c r="B325" s="1255"/>
      <c r="C325" s="1255"/>
      <c r="D325" s="1252"/>
      <c r="E325" s="1279"/>
      <c r="F325" s="1255"/>
      <c r="G325" s="1254"/>
      <c r="H325" s="1254"/>
      <c r="I325" s="1254"/>
      <c r="J325" s="1254"/>
    </row>
    <row r="326" spans="1:10" x14ac:dyDescent="0.2">
      <c r="A326" s="1255" t="s">
        <v>5276</v>
      </c>
      <c r="B326" s="1255" t="s">
        <v>4680</v>
      </c>
      <c r="C326" s="1255" t="s">
        <v>5024</v>
      </c>
      <c r="D326" s="1255">
        <v>1</v>
      </c>
      <c r="E326" s="1280">
        <v>120440</v>
      </c>
      <c r="F326" s="1258"/>
      <c r="G326" s="1259"/>
      <c r="H326" s="1259"/>
      <c r="I326" s="1259"/>
      <c r="J326" s="1259"/>
    </row>
    <row r="327" spans="1:10" ht="12.75" thickBot="1" x14ac:dyDescent="0.25">
      <c r="A327" s="1255" t="s">
        <v>5277</v>
      </c>
      <c r="B327" s="1255" t="s">
        <v>5278</v>
      </c>
      <c r="C327" s="1255" t="s">
        <v>5024</v>
      </c>
      <c r="D327" s="1255">
        <v>1</v>
      </c>
      <c r="E327" s="1280">
        <v>59120</v>
      </c>
      <c r="F327" s="1258"/>
      <c r="G327" s="1259"/>
      <c r="H327" s="1259"/>
      <c r="I327" s="1259"/>
      <c r="J327" s="1259"/>
    </row>
    <row r="328" spans="1:10" ht="12.75" thickBot="1" x14ac:dyDescent="0.25">
      <c r="A328" s="69" t="s">
        <v>0</v>
      </c>
      <c r="B328" s="26"/>
      <c r="C328" s="22"/>
      <c r="D328" s="67"/>
      <c r="E328" s="1281">
        <f>SUM(E8:E327)</f>
        <v>70513074.579999998</v>
      </c>
      <c r="F328" s="65"/>
      <c r="G328" s="24"/>
      <c r="H328" s="23"/>
      <c r="I328" s="23"/>
      <c r="J328" s="24"/>
    </row>
  </sheetData>
  <mergeCells count="33">
    <mergeCell ref="H298:H299"/>
    <mergeCell ref="I298:I299"/>
    <mergeCell ref="J298:J299"/>
    <mergeCell ref="A298:A299"/>
    <mergeCell ref="B298:B299"/>
    <mergeCell ref="C298:C299"/>
    <mergeCell ref="D298:D299"/>
    <mergeCell ref="E298:E299"/>
    <mergeCell ref="G298:G299"/>
    <mergeCell ref="A237:A240"/>
    <mergeCell ref="B237:B240"/>
    <mergeCell ref="C237:C240"/>
    <mergeCell ref="D237:D240"/>
    <mergeCell ref="A261:A262"/>
    <mergeCell ref="B261:B262"/>
    <mergeCell ref="C261:C262"/>
    <mergeCell ref="D261:D262"/>
    <mergeCell ref="G215:G216"/>
    <mergeCell ref="H215:H216"/>
    <mergeCell ref="I215:I216"/>
    <mergeCell ref="J215:J216"/>
    <mergeCell ref="A218:A219"/>
    <mergeCell ref="B218:B219"/>
    <mergeCell ref="C218:C219"/>
    <mergeCell ref="A28:A29"/>
    <mergeCell ref="B28:B29"/>
    <mergeCell ref="D28:D29"/>
    <mergeCell ref="E28:E29"/>
    <mergeCell ref="A215:A216"/>
    <mergeCell ref="B215:B216"/>
    <mergeCell ref="C215:C216"/>
    <mergeCell ref="D215:D216"/>
    <mergeCell ref="E215:E216"/>
  </mergeCells>
  <phoneticPr fontId="13" type="noConversion"/>
  <printOptions horizontalCentered="1"/>
  <pageMargins left="0.25" right="0.25" top="0.75" bottom="0.75" header="0.3" footer="0.3"/>
  <pageSetup paperSize="9" scale="6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W32"/>
  <sheetViews>
    <sheetView view="pageLayout" zoomScale="85" zoomScaleNormal="100" zoomScaleSheetLayoutView="100" zoomScalePageLayoutView="85" workbookViewId="0">
      <selection activeCell="E37" sqref="E37"/>
    </sheetView>
  </sheetViews>
  <sheetFormatPr baseColWidth="10" defaultColWidth="11.42578125" defaultRowHeight="12" x14ac:dyDescent="0.2"/>
  <cols>
    <col min="1" max="1" width="35.7109375" style="897" customWidth="1"/>
    <col min="2" max="2" width="30.7109375" style="897" customWidth="1"/>
    <col min="3" max="3" width="31.140625" style="897" customWidth="1"/>
    <col min="4" max="4" width="23.28515625" style="897" customWidth="1"/>
    <col min="5" max="5" width="22.28515625" style="897" customWidth="1"/>
    <col min="6" max="6" width="32.85546875" style="897" customWidth="1"/>
    <col min="7" max="7" width="39.5703125" style="897" customWidth="1"/>
    <col min="8" max="8" width="23.5703125" style="897" customWidth="1"/>
    <col min="9" max="16384" width="11.42578125" style="897"/>
  </cols>
  <sheetData>
    <row r="1" spans="1:23" x14ac:dyDescent="0.2">
      <c r="A1" s="817" t="s">
        <v>390</v>
      </c>
      <c r="B1" s="817"/>
      <c r="C1" s="817"/>
      <c r="D1" s="817"/>
      <c r="E1" s="817"/>
      <c r="F1" s="817"/>
      <c r="G1" s="817"/>
      <c r="H1" s="166"/>
    </row>
    <row r="2" spans="1:23" x14ac:dyDescent="0.2">
      <c r="A2" s="817" t="s">
        <v>729</v>
      </c>
      <c r="B2" s="817"/>
      <c r="C2" s="817"/>
      <c r="D2" s="817"/>
      <c r="E2" s="817"/>
      <c r="F2" s="817"/>
      <c r="G2" s="817"/>
      <c r="H2" s="817"/>
      <c r="I2" s="817"/>
      <c r="J2" s="817"/>
      <c r="K2" s="817"/>
      <c r="L2" s="817"/>
      <c r="M2" s="817"/>
      <c r="N2" s="817"/>
      <c r="O2" s="817"/>
      <c r="P2" s="817"/>
      <c r="Q2" s="817"/>
      <c r="R2" s="817"/>
      <c r="S2" s="817"/>
      <c r="T2" s="817"/>
      <c r="U2" s="817"/>
      <c r="V2" s="817"/>
      <c r="W2" s="817"/>
    </row>
    <row r="3" spans="1:23" ht="12.75" thickBot="1" x14ac:dyDescent="0.25">
      <c r="A3" s="1151"/>
      <c r="B3" s="1151"/>
      <c r="C3" s="1151"/>
      <c r="D3" s="1152"/>
      <c r="E3" s="1152"/>
      <c r="F3" s="1152"/>
      <c r="G3" s="166"/>
      <c r="H3" s="166"/>
    </row>
    <row r="4" spans="1:23" ht="12.75" thickBot="1" x14ac:dyDescent="0.25">
      <c r="A4" s="1442" t="s">
        <v>26</v>
      </c>
      <c r="B4" s="1442" t="s">
        <v>321</v>
      </c>
      <c r="C4" s="1442" t="s">
        <v>322</v>
      </c>
      <c r="D4" s="1153" t="s">
        <v>416</v>
      </c>
      <c r="E4" s="1153" t="s">
        <v>417</v>
      </c>
      <c r="F4" s="1154" t="s">
        <v>418</v>
      </c>
      <c r="G4" s="1442" t="s">
        <v>40</v>
      </c>
      <c r="H4" s="1442" t="s">
        <v>105</v>
      </c>
    </row>
    <row r="5" spans="1:23" ht="12.75" customHeight="1" thickBot="1" x14ac:dyDescent="0.25">
      <c r="A5" s="1443"/>
      <c r="B5" s="1443"/>
      <c r="C5" s="1443"/>
      <c r="D5" s="1155" t="s">
        <v>319</v>
      </c>
      <c r="E5" s="1155" t="s">
        <v>319</v>
      </c>
      <c r="F5" s="1155" t="s">
        <v>319</v>
      </c>
      <c r="G5" s="1444"/>
      <c r="H5" s="1444"/>
    </row>
    <row r="6" spans="1:23" ht="12" customHeight="1" x14ac:dyDescent="0.2">
      <c r="A6" s="1156" t="s">
        <v>4015</v>
      </c>
      <c r="B6" s="1156">
        <v>10421796594</v>
      </c>
      <c r="C6" s="1157" t="s">
        <v>4016</v>
      </c>
      <c r="D6" s="1158">
        <v>34900</v>
      </c>
      <c r="E6" s="817">
        <v>15900</v>
      </c>
      <c r="F6" s="1159">
        <v>0</v>
      </c>
      <c r="G6" s="1160" t="s">
        <v>4017</v>
      </c>
      <c r="H6" s="1160" t="s">
        <v>4017</v>
      </c>
    </row>
    <row r="7" spans="1:23" x14ac:dyDescent="0.2">
      <c r="A7" s="1156" t="s">
        <v>4018</v>
      </c>
      <c r="B7" s="1156">
        <v>10023652698</v>
      </c>
      <c r="C7" s="1156"/>
      <c r="D7" s="1161">
        <v>11340</v>
      </c>
      <c r="E7" s="846">
        <v>4860</v>
      </c>
      <c r="F7" s="1162">
        <v>0</v>
      </c>
      <c r="G7" s="1160" t="s">
        <v>4019</v>
      </c>
      <c r="H7" s="1160" t="s">
        <v>4017</v>
      </c>
    </row>
    <row r="8" spans="1:23" x14ac:dyDescent="0.2">
      <c r="A8" s="1156"/>
      <c r="B8" s="1156"/>
      <c r="C8" s="1156"/>
      <c r="D8" s="1161"/>
      <c r="E8" s="846"/>
      <c r="F8" s="1162"/>
      <c r="G8" s="1160"/>
      <c r="H8" s="1160"/>
    </row>
    <row r="9" spans="1:23" x14ac:dyDescent="0.2">
      <c r="A9" s="1156"/>
      <c r="B9" s="1156"/>
      <c r="C9" s="1156"/>
      <c r="D9" s="1161"/>
      <c r="E9" s="846"/>
      <c r="F9" s="1162"/>
      <c r="G9" s="1160"/>
      <c r="H9" s="1160"/>
    </row>
    <row r="10" spans="1:23" x14ac:dyDescent="0.2">
      <c r="A10" s="1156"/>
      <c r="B10" s="1156"/>
      <c r="C10" s="1156"/>
      <c r="D10" s="1161"/>
      <c r="E10" s="846"/>
      <c r="F10" s="1162"/>
      <c r="G10" s="1160"/>
      <c r="H10" s="1160"/>
    </row>
    <row r="11" spans="1:23" x14ac:dyDescent="0.2">
      <c r="A11" s="1156"/>
      <c r="B11" s="1156"/>
      <c r="C11" s="1156"/>
      <c r="D11" s="1161"/>
      <c r="E11" s="846"/>
      <c r="F11" s="1162"/>
      <c r="G11" s="1160"/>
      <c r="H11" s="1160"/>
    </row>
    <row r="12" spans="1:23" x14ac:dyDescent="0.2">
      <c r="A12" s="1156"/>
      <c r="B12" s="1156"/>
      <c r="C12" s="1156"/>
      <c r="D12" s="1161"/>
      <c r="E12" s="846"/>
      <c r="F12" s="1162"/>
      <c r="G12" s="1160"/>
      <c r="H12" s="1160"/>
    </row>
    <row r="13" spans="1:23" x14ac:dyDescent="0.2">
      <c r="A13" s="1156"/>
      <c r="B13" s="1156"/>
      <c r="C13" s="1156"/>
      <c r="D13" s="1161"/>
      <c r="E13" s="846"/>
      <c r="F13" s="1162"/>
      <c r="G13" s="1160"/>
      <c r="H13" s="1160"/>
    </row>
    <row r="14" spans="1:23" x14ac:dyDescent="0.2">
      <c r="A14" s="1156"/>
      <c r="B14" s="1156"/>
      <c r="C14" s="1156"/>
      <c r="D14" s="1161"/>
      <c r="E14" s="846"/>
      <c r="F14" s="1162"/>
      <c r="G14" s="1160"/>
      <c r="H14" s="1160"/>
    </row>
    <row r="15" spans="1:23" x14ac:dyDescent="0.2">
      <c r="A15" s="1156"/>
      <c r="B15" s="1156"/>
      <c r="C15" s="1156"/>
      <c r="D15" s="1161"/>
      <c r="E15" s="846"/>
      <c r="F15" s="1162"/>
      <c r="G15" s="1160"/>
      <c r="H15" s="1160"/>
    </row>
    <row r="16" spans="1:23" ht="12.75" thickBot="1" x14ac:dyDescent="0.25">
      <c r="A16" s="891"/>
      <c r="B16" s="891"/>
      <c r="C16" s="891"/>
      <c r="D16" s="1163"/>
      <c r="E16" s="830"/>
      <c r="F16" s="1164"/>
      <c r="G16" s="21"/>
      <c r="H16" s="21"/>
    </row>
    <row r="17" spans="1:8" ht="12.75" thickBot="1" x14ac:dyDescent="0.25">
      <c r="A17" s="1165" t="s">
        <v>27</v>
      </c>
      <c r="B17" s="1166"/>
      <c r="C17" s="1166"/>
      <c r="D17" s="1167">
        <f>SUM(D6:D16)</f>
        <v>46240</v>
      </c>
      <c r="E17" s="1167">
        <f>SUM(E6:E16)</f>
        <v>20760</v>
      </c>
      <c r="F17" s="1167">
        <f>SUM(F6:F16)</f>
        <v>0</v>
      </c>
      <c r="G17" s="1168"/>
      <c r="H17" s="1168"/>
    </row>
    <row r="18" spans="1:8" x14ac:dyDescent="0.2">
      <c r="A18" s="783"/>
      <c r="B18" s="783"/>
      <c r="C18" s="783"/>
      <c r="D18" s="817"/>
      <c r="E18" s="817"/>
      <c r="F18" s="817"/>
      <c r="G18" s="166"/>
      <c r="H18" s="166"/>
    </row>
    <row r="19" spans="1:8" x14ac:dyDescent="0.2">
      <c r="A19" s="1169" t="s">
        <v>41</v>
      </c>
      <c r="B19" s="1169"/>
      <c r="C19" s="1169"/>
      <c r="D19" s="817"/>
      <c r="E19" s="817"/>
      <c r="F19" s="817"/>
      <c r="G19" s="166"/>
      <c r="H19" s="166"/>
    </row>
    <row r="20" spans="1:8" x14ac:dyDescent="0.2">
      <c r="A20" s="816" t="s">
        <v>106</v>
      </c>
      <c r="B20" s="816"/>
      <c r="C20" s="816"/>
      <c r="D20" s="817"/>
      <c r="E20" s="817"/>
      <c r="F20" s="817"/>
      <c r="G20" s="166"/>
      <c r="H20" s="166"/>
    </row>
    <row r="21" spans="1:8" x14ac:dyDescent="0.2">
      <c r="A21" s="166"/>
      <c r="B21" s="166"/>
      <c r="C21" s="166"/>
      <c r="D21" s="166"/>
      <c r="E21" s="166"/>
      <c r="F21" s="166"/>
      <c r="G21" s="166"/>
      <c r="H21" s="166"/>
    </row>
    <row r="22" spans="1:8" x14ac:dyDescent="0.2">
      <c r="A22" s="817" t="s">
        <v>390</v>
      </c>
      <c r="B22" s="817"/>
      <c r="C22" s="817"/>
      <c r="D22" s="817"/>
      <c r="E22" s="817"/>
      <c r="F22" s="817"/>
      <c r="G22" s="817"/>
    </row>
    <row r="23" spans="1:8" x14ac:dyDescent="0.2">
      <c r="A23" s="817" t="s">
        <v>313</v>
      </c>
      <c r="B23" s="817"/>
      <c r="C23" s="817"/>
      <c r="D23" s="817"/>
      <c r="E23" s="817"/>
      <c r="F23" s="817"/>
      <c r="G23" s="817"/>
      <c r="H23" s="817"/>
    </row>
    <row r="24" spans="1:8" ht="12.75" thickBot="1" x14ac:dyDescent="0.25">
      <c r="A24" s="1149"/>
      <c r="B24" s="1149"/>
      <c r="C24" s="1149"/>
      <c r="D24" s="1152"/>
      <c r="E24" s="1152"/>
      <c r="F24" s="1152"/>
    </row>
    <row r="25" spans="1:8" ht="12.75" thickBot="1" x14ac:dyDescent="0.25">
      <c r="A25" s="1442" t="s">
        <v>26</v>
      </c>
      <c r="B25" s="1442" t="s">
        <v>321</v>
      </c>
      <c r="C25" s="1442" t="s">
        <v>322</v>
      </c>
      <c r="D25" s="1153" t="s">
        <v>4020</v>
      </c>
      <c r="E25" s="1153" t="s">
        <v>4021</v>
      </c>
      <c r="F25" s="1154" t="s">
        <v>4022</v>
      </c>
      <c r="G25" s="1442" t="s">
        <v>40</v>
      </c>
      <c r="H25" s="1442" t="s">
        <v>105</v>
      </c>
    </row>
    <row r="26" spans="1:8" ht="12.75" thickBot="1" x14ac:dyDescent="0.25">
      <c r="A26" s="1443"/>
      <c r="B26" s="1443"/>
      <c r="C26" s="1443"/>
      <c r="D26" s="1155" t="s">
        <v>319</v>
      </c>
      <c r="E26" s="1155" t="s">
        <v>319</v>
      </c>
      <c r="F26" s="1155" t="s">
        <v>319</v>
      </c>
      <c r="G26" s="1444"/>
      <c r="H26" s="1444"/>
    </row>
    <row r="27" spans="1:8" ht="89.25" x14ac:dyDescent="0.2">
      <c r="A27" s="1156">
        <v>1</v>
      </c>
      <c r="B27" s="1170" t="s">
        <v>4023</v>
      </c>
      <c r="C27" s="1170" t="s">
        <v>82</v>
      </c>
      <c r="D27" s="1171">
        <v>33100</v>
      </c>
      <c r="E27" s="1172"/>
      <c r="F27" s="1172"/>
      <c r="G27" s="1173" t="s">
        <v>4024</v>
      </c>
      <c r="H27" s="1174" t="s">
        <v>4025</v>
      </c>
    </row>
    <row r="28" spans="1:8" ht="51.75" thickBot="1" x14ac:dyDescent="0.25">
      <c r="A28" s="1156">
        <v>2</v>
      </c>
      <c r="B28" s="1175" t="s">
        <v>4026</v>
      </c>
      <c r="C28" s="1176" t="s">
        <v>82</v>
      </c>
      <c r="D28" s="1177">
        <v>16000</v>
      </c>
      <c r="E28" s="1178"/>
      <c r="F28" s="1178"/>
      <c r="G28" s="1179" t="s">
        <v>4027</v>
      </c>
      <c r="H28" s="1180" t="s">
        <v>4025</v>
      </c>
    </row>
    <row r="29" spans="1:8" ht="12.75" thickBot="1" x14ac:dyDescent="0.25">
      <c r="A29" s="1165" t="s">
        <v>27</v>
      </c>
      <c r="B29" s="1166"/>
      <c r="C29" s="1166"/>
      <c r="D29" s="1181">
        <f>SUM(D27:D28)</f>
        <v>49100</v>
      </c>
      <c r="E29" s="843"/>
      <c r="F29" s="165"/>
      <c r="G29" s="1168"/>
      <c r="H29" s="1168"/>
    </row>
    <row r="30" spans="1:8" x14ac:dyDescent="0.2">
      <c r="A30" s="783"/>
      <c r="B30" s="783"/>
      <c r="C30" s="783"/>
      <c r="D30" s="817"/>
      <c r="E30" s="817"/>
      <c r="F30" s="817"/>
    </row>
    <row r="31" spans="1:8" x14ac:dyDescent="0.2">
      <c r="A31" s="1169" t="s">
        <v>41</v>
      </c>
      <c r="B31" s="1169"/>
      <c r="C31" s="1169"/>
      <c r="D31" s="817"/>
      <c r="E31" s="817"/>
      <c r="F31" s="817"/>
    </row>
    <row r="32" spans="1:8" x14ac:dyDescent="0.2">
      <c r="A32" s="816" t="s">
        <v>106</v>
      </c>
      <c r="B32" s="816"/>
      <c r="C32" s="816"/>
      <c r="D32" s="817"/>
      <c r="E32" s="817"/>
      <c r="F32" s="817"/>
    </row>
  </sheetData>
  <mergeCells count="10">
    <mergeCell ref="A25:A26"/>
    <mergeCell ref="B25:B26"/>
    <mergeCell ref="C25:C26"/>
    <mergeCell ref="G25:G26"/>
    <mergeCell ref="H25:H26"/>
    <mergeCell ref="A4:A5"/>
    <mergeCell ref="B4:B5"/>
    <mergeCell ref="C4:C5"/>
    <mergeCell ref="G4:G5"/>
    <mergeCell ref="H4:H5"/>
  </mergeCells>
  <printOptions horizontalCentered="1"/>
  <pageMargins left="0.23622047244094491" right="0.31496062992125984" top="0.74803149606299213" bottom="0.74803149606299213" header="0.31496062992125984" footer="0.31496062992125984"/>
  <pageSetup paperSize="9" scale="6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2:H90"/>
  <sheetViews>
    <sheetView zoomScaleNormal="100" zoomScaleSheetLayoutView="100" zoomScalePageLayoutView="85" workbookViewId="0">
      <selection activeCell="C39" sqref="C39"/>
    </sheetView>
  </sheetViews>
  <sheetFormatPr baseColWidth="10" defaultColWidth="11.42578125" defaultRowHeight="12" x14ac:dyDescent="0.2"/>
  <cols>
    <col min="1" max="1" width="42" style="166" bestFit="1" customWidth="1"/>
    <col min="2" max="2" width="23.5703125" style="166" customWidth="1"/>
    <col min="3" max="3" width="35.42578125" style="166" customWidth="1"/>
    <col min="4" max="4" width="15.5703125" style="166" customWidth="1"/>
    <col min="5" max="6" width="15.5703125" style="1111" customWidth="1"/>
    <col min="7" max="8" width="15.5703125" style="166" customWidth="1"/>
    <col min="9" max="16384" width="11.42578125" style="166"/>
  </cols>
  <sheetData>
    <row r="2" spans="1:8" ht="15.75" x14ac:dyDescent="0.25">
      <c r="A2" s="1151" t="s">
        <v>391</v>
      </c>
      <c r="B2" s="1150"/>
      <c r="C2" s="1150"/>
      <c r="D2" s="1150"/>
      <c r="E2" s="1150"/>
      <c r="F2" s="1150"/>
      <c r="G2" s="1150"/>
      <c r="H2" s="1150"/>
    </row>
    <row r="3" spans="1:8" ht="15.75" x14ac:dyDescent="0.2">
      <c r="A3" s="817" t="s">
        <v>4014</v>
      </c>
      <c r="B3" s="781"/>
      <c r="C3" s="781"/>
      <c r="D3" s="781"/>
      <c r="E3" s="781"/>
      <c r="F3" s="781"/>
      <c r="G3" s="781"/>
      <c r="H3" s="781"/>
    </row>
    <row r="4" spans="1:8" ht="12.75" thickBot="1" x14ac:dyDescent="0.25">
      <c r="A4" s="1149"/>
      <c r="E4" s="166"/>
      <c r="F4" s="166"/>
    </row>
    <row r="5" spans="1:8" ht="12.75" thickBot="1" x14ac:dyDescent="0.25">
      <c r="A5" s="1445" t="s">
        <v>329</v>
      </c>
      <c r="B5" s="1445" t="s">
        <v>84</v>
      </c>
      <c r="C5" s="1447" t="s">
        <v>328</v>
      </c>
      <c r="D5" s="1448"/>
      <c r="E5" s="1448"/>
      <c r="F5" s="1448"/>
      <c r="G5" s="1448"/>
      <c r="H5" s="1448"/>
    </row>
    <row r="6" spans="1:8" s="1148" customFormat="1" ht="13.5" customHeight="1" thickBot="1" x14ac:dyDescent="0.25">
      <c r="A6" s="1446"/>
      <c r="B6" s="1446"/>
      <c r="C6" s="1147" t="s">
        <v>327</v>
      </c>
      <c r="D6" s="1146" t="s">
        <v>326</v>
      </c>
      <c r="E6" s="1145" t="s">
        <v>325</v>
      </c>
      <c r="F6" s="1144" t="s">
        <v>324</v>
      </c>
      <c r="G6" s="1144" t="s">
        <v>415</v>
      </c>
      <c r="H6" s="1144" t="s">
        <v>421</v>
      </c>
    </row>
    <row r="7" spans="1:8" ht="12.75" thickBot="1" x14ac:dyDescent="0.25">
      <c r="A7" s="1445" t="s">
        <v>329</v>
      </c>
      <c r="B7" s="1445" t="s">
        <v>84</v>
      </c>
      <c r="C7" s="1447" t="s">
        <v>328</v>
      </c>
      <c r="D7" s="1448"/>
      <c r="E7" s="1448"/>
      <c r="F7" s="1448"/>
      <c r="G7" s="1448"/>
      <c r="H7" s="1448"/>
    </row>
    <row r="8" spans="1:8" ht="24.75" thickBot="1" x14ac:dyDescent="0.25">
      <c r="A8" s="1446"/>
      <c r="B8" s="1446"/>
      <c r="C8" s="1147" t="s">
        <v>327</v>
      </c>
      <c r="D8" s="1146" t="s">
        <v>326</v>
      </c>
      <c r="E8" s="1145" t="s">
        <v>325</v>
      </c>
      <c r="F8" s="1144" t="s">
        <v>324</v>
      </c>
      <c r="G8" s="1144" t="s">
        <v>4013</v>
      </c>
      <c r="H8" s="1144" t="s">
        <v>421</v>
      </c>
    </row>
    <row r="9" spans="1:8" ht="12.75" x14ac:dyDescent="0.2">
      <c r="A9" s="1137" t="s">
        <v>28</v>
      </c>
      <c r="B9" s="1143"/>
      <c r="C9" s="1141"/>
      <c r="D9" s="1141"/>
      <c r="E9" s="1142"/>
      <c r="F9" s="1141"/>
      <c r="G9" s="1140"/>
      <c r="H9" s="1140"/>
    </row>
    <row r="10" spans="1:8" ht="12.75" x14ac:dyDescent="0.2">
      <c r="A10" s="1135"/>
      <c r="B10" s="1132" t="s">
        <v>3944</v>
      </c>
      <c r="C10" s="1130" t="s">
        <v>3939</v>
      </c>
      <c r="D10" s="1121" t="s">
        <v>4012</v>
      </c>
      <c r="E10" s="1131" t="s">
        <v>4011</v>
      </c>
      <c r="F10" s="1130" t="s">
        <v>3928</v>
      </c>
      <c r="G10" s="1129">
        <v>1772357.18</v>
      </c>
      <c r="H10" s="1129">
        <v>0</v>
      </c>
    </row>
    <row r="11" spans="1:8" ht="12.75" x14ac:dyDescent="0.2">
      <c r="A11" s="1135"/>
      <c r="B11" s="1132" t="s">
        <v>3944</v>
      </c>
      <c r="C11" s="1130" t="s">
        <v>3939</v>
      </c>
      <c r="D11" s="1121" t="s">
        <v>4010</v>
      </c>
      <c r="E11" s="1131" t="s">
        <v>4007</v>
      </c>
      <c r="F11" s="1130" t="s">
        <v>3928</v>
      </c>
      <c r="G11" s="1129"/>
      <c r="H11" s="1129">
        <v>2095762.08</v>
      </c>
    </row>
    <row r="12" spans="1:8" ht="12.75" x14ac:dyDescent="0.2">
      <c r="A12" s="1135"/>
      <c r="B12" s="1132" t="s">
        <v>3944</v>
      </c>
      <c r="C12" s="1130" t="s">
        <v>3939</v>
      </c>
      <c r="D12" s="1121" t="s">
        <v>4009</v>
      </c>
      <c r="E12" s="1131" t="s">
        <v>4007</v>
      </c>
      <c r="F12" s="1130" t="s">
        <v>3928</v>
      </c>
      <c r="G12" s="1129"/>
      <c r="H12" s="1129">
        <v>24764993.829999998</v>
      </c>
    </row>
    <row r="13" spans="1:8" ht="12.75" x14ac:dyDescent="0.2">
      <c r="A13" s="1135"/>
      <c r="B13" s="1132" t="s">
        <v>3944</v>
      </c>
      <c r="C13" s="1130" t="s">
        <v>3939</v>
      </c>
      <c r="D13" s="1121" t="s">
        <v>4008</v>
      </c>
      <c r="E13" s="1131" t="s">
        <v>4007</v>
      </c>
      <c r="F13" s="1130" t="s">
        <v>3928</v>
      </c>
      <c r="G13" s="1129"/>
      <c r="H13" s="1129">
        <v>3862583</v>
      </c>
    </row>
    <row r="14" spans="1:8" ht="12.75" x14ac:dyDescent="0.2">
      <c r="A14" s="1135"/>
      <c r="B14" s="1132" t="s">
        <v>3944</v>
      </c>
      <c r="C14" s="1130" t="s">
        <v>3939</v>
      </c>
      <c r="D14" s="1121" t="s">
        <v>4006</v>
      </c>
      <c r="E14" s="1131" t="s">
        <v>4005</v>
      </c>
      <c r="F14" s="1130" t="s">
        <v>3928</v>
      </c>
      <c r="G14" s="1129"/>
      <c r="H14" s="1129">
        <v>3276770.03</v>
      </c>
    </row>
    <row r="15" spans="1:8" ht="12.75" x14ac:dyDescent="0.2">
      <c r="A15" s="1135"/>
      <c r="B15" s="1132" t="s">
        <v>3992</v>
      </c>
      <c r="C15" s="1130" t="s">
        <v>3933</v>
      </c>
      <c r="D15" s="1121" t="s">
        <v>4004</v>
      </c>
      <c r="E15" s="1131" t="s">
        <v>4003</v>
      </c>
      <c r="F15" s="1130" t="s">
        <v>3928</v>
      </c>
      <c r="G15" s="1129">
        <v>0</v>
      </c>
      <c r="H15" s="1129">
        <v>0</v>
      </c>
    </row>
    <row r="16" spans="1:8" ht="12.75" x14ac:dyDescent="0.2">
      <c r="A16" s="1135"/>
      <c r="B16" s="1132" t="s">
        <v>3931</v>
      </c>
      <c r="C16" s="1130" t="s">
        <v>3933</v>
      </c>
      <c r="D16" s="1121" t="s">
        <v>3989</v>
      </c>
      <c r="E16" s="1131">
        <v>2004</v>
      </c>
      <c r="F16" s="1130" t="s">
        <v>3928</v>
      </c>
      <c r="G16" s="1129">
        <v>0</v>
      </c>
      <c r="H16" s="1129">
        <v>0</v>
      </c>
    </row>
    <row r="17" spans="1:8" ht="12.75" x14ac:dyDescent="0.2">
      <c r="A17" s="1135"/>
      <c r="B17" s="1132" t="s">
        <v>3917</v>
      </c>
      <c r="C17" s="1130" t="s">
        <v>3933</v>
      </c>
      <c r="D17" s="1121">
        <v>101074501</v>
      </c>
      <c r="E17" s="1131">
        <v>2003</v>
      </c>
      <c r="F17" s="1130" t="s">
        <v>3928</v>
      </c>
      <c r="G17" s="1129">
        <v>0</v>
      </c>
      <c r="H17" s="1129">
        <v>0</v>
      </c>
    </row>
    <row r="18" spans="1:8" ht="12.75" x14ac:dyDescent="0.2">
      <c r="A18" s="1135"/>
      <c r="B18" s="1132" t="s">
        <v>3941</v>
      </c>
      <c r="C18" s="1130" t="s">
        <v>3933</v>
      </c>
      <c r="D18" s="1121" t="s">
        <v>3940</v>
      </c>
      <c r="E18" s="1131">
        <v>2016</v>
      </c>
      <c r="F18" s="1130" t="s">
        <v>3928</v>
      </c>
      <c r="G18" s="1129">
        <v>481835.56</v>
      </c>
      <c r="H18" s="1129">
        <v>6593573.9699999997</v>
      </c>
    </row>
    <row r="19" spans="1:8" ht="12.75" x14ac:dyDescent="0.2">
      <c r="A19" s="1135"/>
      <c r="B19" s="1132" t="s">
        <v>3934</v>
      </c>
      <c r="C19" s="1130" t="s">
        <v>3933</v>
      </c>
      <c r="D19" s="1121" t="s">
        <v>3932</v>
      </c>
      <c r="E19" s="1131">
        <v>2005</v>
      </c>
      <c r="F19" s="1130" t="s">
        <v>3928</v>
      </c>
      <c r="G19" s="1129">
        <v>0</v>
      </c>
      <c r="H19" s="1129">
        <v>0</v>
      </c>
    </row>
    <row r="20" spans="1:8" ht="12.75" x14ac:dyDescent="0.2">
      <c r="A20" s="1137" t="s">
        <v>29</v>
      </c>
      <c r="B20" s="1132"/>
      <c r="C20" s="1130"/>
      <c r="D20" s="1121"/>
      <c r="E20" s="1131"/>
      <c r="F20" s="1130" t="s">
        <v>3928</v>
      </c>
      <c r="G20" s="1129"/>
      <c r="H20" s="1129"/>
    </row>
    <row r="21" spans="1:8" ht="12.75" x14ac:dyDescent="0.2">
      <c r="A21" s="1135"/>
      <c r="B21" s="1132" t="s">
        <v>3944</v>
      </c>
      <c r="C21" s="1130" t="s">
        <v>3933</v>
      </c>
      <c r="D21" s="1121" t="s">
        <v>4002</v>
      </c>
      <c r="E21" s="1131">
        <v>2001</v>
      </c>
      <c r="F21" s="1130" t="s">
        <v>3928</v>
      </c>
      <c r="G21" s="1129">
        <v>0.27</v>
      </c>
      <c r="H21" s="1129">
        <v>0</v>
      </c>
    </row>
    <row r="22" spans="1:8" ht="12.75" x14ac:dyDescent="0.2">
      <c r="A22" s="1135"/>
      <c r="B22" s="1132" t="s">
        <v>3944</v>
      </c>
      <c r="C22" s="1130" t="s">
        <v>3933</v>
      </c>
      <c r="D22" s="1121" t="s">
        <v>4001</v>
      </c>
      <c r="E22" s="1131" t="s">
        <v>3998</v>
      </c>
      <c r="F22" s="1130" t="s">
        <v>3928</v>
      </c>
      <c r="G22" s="1129">
        <v>1556.7</v>
      </c>
      <c r="H22" s="1129">
        <v>31215.58</v>
      </c>
    </row>
    <row r="23" spans="1:8" ht="12.75" x14ac:dyDescent="0.2">
      <c r="A23" s="1135"/>
      <c r="B23" s="1132" t="s">
        <v>3944</v>
      </c>
      <c r="C23" s="1130" t="s">
        <v>3933</v>
      </c>
      <c r="D23" s="1121" t="s">
        <v>4000</v>
      </c>
      <c r="E23" s="1131" t="s">
        <v>3998</v>
      </c>
      <c r="F23" s="1130" t="s">
        <v>3928</v>
      </c>
      <c r="G23" s="1129"/>
      <c r="H23" s="1129">
        <v>0</v>
      </c>
    </row>
    <row r="24" spans="1:8" ht="12.75" x14ac:dyDescent="0.2">
      <c r="A24" s="1135"/>
      <c r="B24" s="1132" t="s">
        <v>3944</v>
      </c>
      <c r="C24" s="1130" t="s">
        <v>3933</v>
      </c>
      <c r="D24" s="1121" t="s">
        <v>3999</v>
      </c>
      <c r="E24" s="1131" t="s">
        <v>3998</v>
      </c>
      <c r="F24" s="1130" t="s">
        <v>3928</v>
      </c>
      <c r="G24" s="1129">
        <v>45524.54</v>
      </c>
      <c r="H24" s="1129">
        <v>0</v>
      </c>
    </row>
    <row r="25" spans="1:8" ht="12.75" x14ac:dyDescent="0.2">
      <c r="A25" s="1135"/>
      <c r="B25" s="1132" t="s">
        <v>3944</v>
      </c>
      <c r="C25" s="1130" t="s">
        <v>3933</v>
      </c>
      <c r="D25" s="1121" t="s">
        <v>3997</v>
      </c>
      <c r="E25" s="1131" t="s">
        <v>3996</v>
      </c>
      <c r="F25" s="1130" t="s">
        <v>3928</v>
      </c>
      <c r="G25" s="1129">
        <v>460037.47</v>
      </c>
      <c r="H25" s="1129">
        <v>198118.6</v>
      </c>
    </row>
    <row r="26" spans="1:8" ht="12.75" x14ac:dyDescent="0.2">
      <c r="A26" s="1135"/>
      <c r="B26" s="1132" t="s">
        <v>3944</v>
      </c>
      <c r="C26" s="1130" t="s">
        <v>3933</v>
      </c>
      <c r="D26" s="1121" t="s">
        <v>3995</v>
      </c>
      <c r="E26" s="1131" t="s">
        <v>3994</v>
      </c>
      <c r="F26" s="1130" t="s">
        <v>3928</v>
      </c>
      <c r="G26" s="1129">
        <v>0</v>
      </c>
      <c r="H26" s="1129">
        <v>0</v>
      </c>
    </row>
    <row r="27" spans="1:8" ht="12.75" x14ac:dyDescent="0.2">
      <c r="A27" s="1135"/>
      <c r="B27" s="1132" t="s">
        <v>3944</v>
      </c>
      <c r="C27" s="1130" t="s">
        <v>3939</v>
      </c>
      <c r="D27" s="1121" t="s">
        <v>3993</v>
      </c>
      <c r="E27" s="1131" t="s">
        <v>3942</v>
      </c>
      <c r="F27" s="1130" t="s">
        <v>3928</v>
      </c>
      <c r="G27" s="1129">
        <v>31290553.309999999</v>
      </c>
      <c r="H27" s="1129">
        <v>355305.4</v>
      </c>
    </row>
    <row r="28" spans="1:8" ht="12.75" x14ac:dyDescent="0.2">
      <c r="A28" s="1135"/>
      <c r="B28" s="1132" t="s">
        <v>3992</v>
      </c>
      <c r="C28" s="1130" t="s">
        <v>3933</v>
      </c>
      <c r="D28" s="1121" t="s">
        <v>3991</v>
      </c>
      <c r="E28" s="1131" t="s">
        <v>3990</v>
      </c>
      <c r="F28" s="1130" t="s">
        <v>3928</v>
      </c>
      <c r="G28" s="1129">
        <v>441.81</v>
      </c>
      <c r="H28" s="1129">
        <v>489.81</v>
      </c>
    </row>
    <row r="29" spans="1:8" ht="12.75" x14ac:dyDescent="0.2">
      <c r="A29" s="1135"/>
      <c r="B29" s="1132" t="s">
        <v>3931</v>
      </c>
      <c r="C29" s="1130" t="s">
        <v>3933</v>
      </c>
      <c r="D29" s="1121" t="s">
        <v>3989</v>
      </c>
      <c r="E29" s="1131">
        <v>2013</v>
      </c>
      <c r="F29" s="1130" t="s">
        <v>3928</v>
      </c>
      <c r="G29" s="1129">
        <v>2315753.8199999998</v>
      </c>
      <c r="H29" s="1129">
        <v>1748945.41</v>
      </c>
    </row>
    <row r="30" spans="1:8" ht="12.75" x14ac:dyDescent="0.2">
      <c r="A30" s="1135"/>
      <c r="B30" s="1132" t="s">
        <v>3931</v>
      </c>
      <c r="C30" s="1130" t="s">
        <v>3933</v>
      </c>
      <c r="D30" s="1121" t="s">
        <v>3988</v>
      </c>
      <c r="E30" s="1131">
        <v>37827</v>
      </c>
      <c r="F30" s="1130" t="s">
        <v>3928</v>
      </c>
      <c r="G30" s="1129">
        <v>71142.22</v>
      </c>
      <c r="H30" s="1129">
        <v>71162.62</v>
      </c>
    </row>
    <row r="31" spans="1:8" ht="12.75" x14ac:dyDescent="0.2">
      <c r="A31" s="1135"/>
      <c r="B31" s="1132" t="s">
        <v>3931</v>
      </c>
      <c r="C31" s="1130" t="s">
        <v>3933</v>
      </c>
      <c r="D31" s="1121" t="s">
        <v>3987</v>
      </c>
      <c r="E31" s="1131" t="s">
        <v>3986</v>
      </c>
      <c r="F31" s="1130" t="s">
        <v>3928</v>
      </c>
      <c r="G31" s="1129">
        <v>0</v>
      </c>
      <c r="H31" s="1129">
        <v>6084.29</v>
      </c>
    </row>
    <row r="32" spans="1:8" ht="12.75" x14ac:dyDescent="0.2">
      <c r="A32" s="1135"/>
      <c r="B32" s="1132" t="s">
        <v>3917</v>
      </c>
      <c r="C32" s="1130" t="s">
        <v>3933</v>
      </c>
      <c r="D32" s="1121">
        <v>101074501</v>
      </c>
      <c r="E32" s="1131">
        <v>2013</v>
      </c>
      <c r="F32" s="1130" t="s">
        <v>3928</v>
      </c>
      <c r="G32" s="1129">
        <v>2298825.9900000002</v>
      </c>
      <c r="H32" s="1129">
        <v>2779626.71</v>
      </c>
    </row>
    <row r="33" spans="1:8" ht="12.75" x14ac:dyDescent="0.2">
      <c r="A33" s="1135"/>
      <c r="B33" s="1132" t="s">
        <v>3941</v>
      </c>
      <c r="C33" s="1130" t="s">
        <v>3933</v>
      </c>
      <c r="D33" s="1121" t="s">
        <v>3940</v>
      </c>
      <c r="E33" s="1131">
        <v>2016</v>
      </c>
      <c r="F33" s="1130" t="s">
        <v>3928</v>
      </c>
      <c r="G33" s="1129">
        <v>1203662.43</v>
      </c>
      <c r="H33" s="1129">
        <v>796183.3</v>
      </c>
    </row>
    <row r="34" spans="1:8" ht="12.75" x14ac:dyDescent="0.2">
      <c r="A34" s="1135"/>
      <c r="B34" s="1132" t="s">
        <v>3936</v>
      </c>
      <c r="C34" s="1130" t="s">
        <v>3959</v>
      </c>
      <c r="D34" s="1121" t="s">
        <v>3985</v>
      </c>
      <c r="E34" s="1131">
        <v>2001</v>
      </c>
      <c r="F34" s="1130" t="s">
        <v>3928</v>
      </c>
      <c r="G34" s="1129">
        <v>0.24</v>
      </c>
      <c r="H34" s="1129">
        <v>0.24</v>
      </c>
    </row>
    <row r="35" spans="1:8" ht="12.75" x14ac:dyDescent="0.2">
      <c r="A35" s="1135"/>
      <c r="B35" s="1132" t="s">
        <v>3936</v>
      </c>
      <c r="C35" s="1130" t="s">
        <v>3959</v>
      </c>
      <c r="D35" s="1121" t="s">
        <v>3984</v>
      </c>
      <c r="E35" s="1131">
        <v>2001</v>
      </c>
      <c r="F35" s="1130" t="s">
        <v>3928</v>
      </c>
      <c r="G35" s="1129">
        <v>156954.44</v>
      </c>
      <c r="H35" s="1129">
        <v>418566.21</v>
      </c>
    </row>
    <row r="36" spans="1:8" ht="12.75" x14ac:dyDescent="0.2">
      <c r="A36" s="1135"/>
      <c r="B36" s="1132" t="s">
        <v>3936</v>
      </c>
      <c r="C36" s="1130" t="s">
        <v>3959</v>
      </c>
      <c r="D36" s="1121" t="s">
        <v>3983</v>
      </c>
      <c r="E36" s="1131">
        <v>2001</v>
      </c>
      <c r="F36" s="1130" t="s">
        <v>3928</v>
      </c>
      <c r="G36" s="1129">
        <v>86204.7</v>
      </c>
      <c r="H36" s="1129">
        <v>365869</v>
      </c>
    </row>
    <row r="37" spans="1:8" ht="12.75" x14ac:dyDescent="0.2">
      <c r="A37" s="1135"/>
      <c r="B37" s="1132" t="s">
        <v>3936</v>
      </c>
      <c r="C37" s="1130" t="s">
        <v>3959</v>
      </c>
      <c r="D37" s="1121" t="s">
        <v>3982</v>
      </c>
      <c r="E37" s="1131">
        <v>2007</v>
      </c>
      <c r="F37" s="1130" t="s">
        <v>3928</v>
      </c>
      <c r="G37" s="1129">
        <v>77653.55</v>
      </c>
      <c r="H37" s="1129">
        <v>211048.01</v>
      </c>
    </row>
    <row r="38" spans="1:8" ht="12.75" x14ac:dyDescent="0.2">
      <c r="A38" s="1135"/>
      <c r="B38" s="1132" t="s">
        <v>3936</v>
      </c>
      <c r="C38" s="1130" t="s">
        <v>3959</v>
      </c>
      <c r="D38" s="1121" t="s">
        <v>3981</v>
      </c>
      <c r="E38" s="1131">
        <v>2018</v>
      </c>
      <c r="F38" s="1130" t="s">
        <v>3928</v>
      </c>
      <c r="G38" s="1129">
        <v>200720.13</v>
      </c>
      <c r="H38" s="1129">
        <v>11992.95</v>
      </c>
    </row>
    <row r="39" spans="1:8" ht="12.75" x14ac:dyDescent="0.2">
      <c r="A39" s="1135"/>
      <c r="B39" s="1132" t="s">
        <v>3936</v>
      </c>
      <c r="C39" s="1130" t="s">
        <v>3939</v>
      </c>
      <c r="D39" s="1121"/>
      <c r="E39" s="1131">
        <v>2013</v>
      </c>
      <c r="F39" s="1130" t="s">
        <v>3928</v>
      </c>
      <c r="G39" s="1129">
        <v>781275.35</v>
      </c>
      <c r="H39" s="1129">
        <v>802490.42</v>
      </c>
    </row>
    <row r="40" spans="1:8" ht="12.75" x14ac:dyDescent="0.2">
      <c r="A40" s="1135"/>
      <c r="B40" s="1132" t="s">
        <v>3934</v>
      </c>
      <c r="C40" s="1130" t="s">
        <v>3933</v>
      </c>
      <c r="D40" s="1121" t="s">
        <v>3980</v>
      </c>
      <c r="E40" s="1131">
        <v>2001</v>
      </c>
      <c r="F40" s="1130" t="s">
        <v>3928</v>
      </c>
      <c r="G40" s="1129">
        <v>0</v>
      </c>
      <c r="H40" s="1129">
        <v>0</v>
      </c>
    </row>
    <row r="41" spans="1:8" ht="12.75" x14ac:dyDescent="0.2">
      <c r="A41" s="1135"/>
      <c r="B41" s="1132" t="s">
        <v>3934</v>
      </c>
      <c r="C41" s="1130" t="s">
        <v>3933</v>
      </c>
      <c r="D41" s="1121" t="s">
        <v>3979</v>
      </c>
      <c r="E41" s="1131">
        <v>2003</v>
      </c>
      <c r="F41" s="1130" t="s">
        <v>3928</v>
      </c>
      <c r="G41" s="1129">
        <v>0</v>
      </c>
      <c r="H41" s="1129">
        <v>0</v>
      </c>
    </row>
    <row r="42" spans="1:8" ht="12.75" x14ac:dyDescent="0.2">
      <c r="A42" s="1135"/>
      <c r="B42" s="1132" t="s">
        <v>3934</v>
      </c>
      <c r="C42" s="1130" t="s">
        <v>3978</v>
      </c>
      <c r="D42" s="1121" t="s">
        <v>3932</v>
      </c>
      <c r="E42" s="1131">
        <v>2013</v>
      </c>
      <c r="F42" s="1130" t="s">
        <v>3928</v>
      </c>
      <c r="G42" s="1129">
        <v>213063.28</v>
      </c>
      <c r="H42" s="1129">
        <v>23717.49</v>
      </c>
    </row>
    <row r="43" spans="1:8" ht="25.5" x14ac:dyDescent="0.2">
      <c r="A43" s="1136" t="s">
        <v>3977</v>
      </c>
      <c r="B43" s="1132"/>
      <c r="C43" s="1130"/>
      <c r="D43" s="1121"/>
      <c r="E43" s="1131"/>
      <c r="F43" s="1130" t="s">
        <v>3928</v>
      </c>
      <c r="G43" s="1129"/>
      <c r="H43" s="1129"/>
    </row>
    <row r="44" spans="1:8" ht="12.75" x14ac:dyDescent="0.2">
      <c r="A44" s="1137" t="s">
        <v>3976</v>
      </c>
      <c r="B44" s="1132" t="s">
        <v>3944</v>
      </c>
      <c r="C44" s="1130" t="s">
        <v>3939</v>
      </c>
      <c r="D44" s="1121" t="s">
        <v>3975</v>
      </c>
      <c r="E44" s="1131" t="s">
        <v>3962</v>
      </c>
      <c r="F44" s="1130" t="s">
        <v>3928</v>
      </c>
      <c r="G44" s="1129"/>
      <c r="H44" s="1129">
        <v>11521161.66</v>
      </c>
    </row>
    <row r="45" spans="1:8" ht="12.75" x14ac:dyDescent="0.2">
      <c r="A45" s="1135"/>
      <c r="B45" s="1132" t="s">
        <v>3944</v>
      </c>
      <c r="C45" s="1130" t="s">
        <v>3939</v>
      </c>
      <c r="D45" s="1121" t="s">
        <v>3974</v>
      </c>
      <c r="E45" s="1131" t="s">
        <v>3962</v>
      </c>
      <c r="F45" s="1130" t="s">
        <v>3928</v>
      </c>
      <c r="G45" s="1129"/>
      <c r="H45" s="1129">
        <v>25519302.129999999</v>
      </c>
    </row>
    <row r="46" spans="1:8" ht="12.75" x14ac:dyDescent="0.2">
      <c r="A46" s="1135"/>
      <c r="B46" s="1132" t="s">
        <v>3944</v>
      </c>
      <c r="C46" s="1130" t="s">
        <v>3939</v>
      </c>
      <c r="D46" s="1121" t="s">
        <v>3973</v>
      </c>
      <c r="E46" s="1131" t="s">
        <v>3962</v>
      </c>
      <c r="F46" s="1130" t="s">
        <v>3928</v>
      </c>
      <c r="G46" s="1129"/>
      <c r="H46" s="1129">
        <v>2828770.74</v>
      </c>
    </row>
    <row r="47" spans="1:8" ht="12.75" x14ac:dyDescent="0.2">
      <c r="A47" s="1135"/>
      <c r="B47" s="1132" t="s">
        <v>3944</v>
      </c>
      <c r="C47" s="1130" t="s">
        <v>3939</v>
      </c>
      <c r="D47" s="1121" t="s">
        <v>3972</v>
      </c>
      <c r="E47" s="1131" t="s">
        <v>3962</v>
      </c>
      <c r="F47" s="1130" t="s">
        <v>3928</v>
      </c>
      <c r="G47" s="1129"/>
      <c r="H47" s="1129">
        <v>47870182.329999998</v>
      </c>
    </row>
    <row r="48" spans="1:8" ht="12.75" x14ac:dyDescent="0.2">
      <c r="A48" s="1135"/>
      <c r="B48" s="1132" t="s">
        <v>3944</v>
      </c>
      <c r="C48" s="1130" t="s">
        <v>3939</v>
      </c>
      <c r="D48" s="1121" t="s">
        <v>3971</v>
      </c>
      <c r="E48" s="1131" t="s">
        <v>3962</v>
      </c>
      <c r="F48" s="1130" t="s">
        <v>3928</v>
      </c>
      <c r="G48" s="1129">
        <v>120321497.92</v>
      </c>
      <c r="H48" s="1129">
        <v>14958773.59</v>
      </c>
    </row>
    <row r="49" spans="1:8" ht="12.75" x14ac:dyDescent="0.2">
      <c r="A49" s="1135"/>
      <c r="B49" s="1132" t="s">
        <v>3941</v>
      </c>
      <c r="C49" s="1130" t="s">
        <v>3933</v>
      </c>
      <c r="D49" s="1121" t="s">
        <v>3940</v>
      </c>
      <c r="E49" s="1131">
        <v>2020</v>
      </c>
      <c r="F49" s="1130" t="s">
        <v>3928</v>
      </c>
      <c r="G49" s="1129">
        <v>0</v>
      </c>
      <c r="H49" s="1129">
        <v>56305</v>
      </c>
    </row>
    <row r="50" spans="1:8" ht="12.75" x14ac:dyDescent="0.2">
      <c r="A50" s="1135"/>
      <c r="B50" s="1132" t="s">
        <v>3934</v>
      </c>
      <c r="C50" s="1130" t="s">
        <v>3933</v>
      </c>
      <c r="D50" s="1121" t="s">
        <v>3932</v>
      </c>
      <c r="E50" s="1131">
        <v>2020</v>
      </c>
      <c r="F50" s="1130" t="s">
        <v>3928</v>
      </c>
      <c r="G50" s="1129">
        <v>0</v>
      </c>
      <c r="H50" s="1129">
        <v>123236</v>
      </c>
    </row>
    <row r="51" spans="1:8" ht="12.75" x14ac:dyDescent="0.2">
      <c r="A51" s="1135"/>
      <c r="B51" s="1132"/>
      <c r="C51" s="1130"/>
      <c r="D51" s="1121"/>
      <c r="E51" s="1131"/>
      <c r="F51" s="1130" t="s">
        <v>3928</v>
      </c>
      <c r="G51" s="1129"/>
      <c r="H51" s="1129"/>
    </row>
    <row r="52" spans="1:8" ht="12.75" x14ac:dyDescent="0.2">
      <c r="A52" s="1137" t="s">
        <v>3970</v>
      </c>
      <c r="B52" s="1132" t="s">
        <v>3944</v>
      </c>
      <c r="C52" s="1130" t="s">
        <v>3939</v>
      </c>
      <c r="D52" s="1121" t="s">
        <v>3963</v>
      </c>
      <c r="E52" s="1131" t="s">
        <v>3969</v>
      </c>
      <c r="F52" s="1130" t="s">
        <v>3928</v>
      </c>
      <c r="G52" s="1129">
        <v>20332</v>
      </c>
      <c r="H52" s="1129">
        <v>20332</v>
      </c>
    </row>
    <row r="53" spans="1:8" x14ac:dyDescent="0.2">
      <c r="A53" s="1138"/>
      <c r="B53" s="1132"/>
      <c r="C53" s="1130"/>
      <c r="D53" s="1121"/>
      <c r="E53" s="1131"/>
      <c r="F53" s="1130" t="s">
        <v>3928</v>
      </c>
      <c r="G53" s="1129"/>
      <c r="H53" s="1129"/>
    </row>
    <row r="54" spans="1:8" ht="25.5" x14ac:dyDescent="0.2">
      <c r="A54" s="1136" t="s">
        <v>3968</v>
      </c>
      <c r="B54" s="1132"/>
      <c r="C54" s="1130"/>
      <c r="D54" s="1121"/>
      <c r="E54" s="1131"/>
      <c r="F54" s="1130" t="s">
        <v>3928</v>
      </c>
      <c r="G54" s="1129"/>
      <c r="H54" s="1129"/>
    </row>
    <row r="55" spans="1:8" ht="12.75" x14ac:dyDescent="0.2">
      <c r="A55" s="1137" t="s">
        <v>3967</v>
      </c>
      <c r="B55" s="1132" t="s">
        <v>3944</v>
      </c>
      <c r="C55" s="1130" t="s">
        <v>3939</v>
      </c>
      <c r="D55" s="1121" t="s">
        <v>3963</v>
      </c>
      <c r="E55" s="1131" t="s">
        <v>3966</v>
      </c>
      <c r="F55" s="1130" t="s">
        <v>3928</v>
      </c>
      <c r="G55" s="1129">
        <v>1387400.29</v>
      </c>
      <c r="H55" s="1129">
        <v>1340975.7</v>
      </c>
    </row>
    <row r="56" spans="1:8" ht="12.75" x14ac:dyDescent="0.2">
      <c r="A56" s="1137" t="s">
        <v>3965</v>
      </c>
      <c r="B56" s="1132" t="s">
        <v>3931</v>
      </c>
      <c r="C56" s="1130" t="s">
        <v>3959</v>
      </c>
      <c r="D56" s="1121" t="s">
        <v>3964</v>
      </c>
      <c r="E56" s="1131">
        <v>43857</v>
      </c>
      <c r="F56" s="1130" t="s">
        <v>3928</v>
      </c>
      <c r="G56" s="1129">
        <v>0</v>
      </c>
      <c r="H56" s="1129">
        <v>519860</v>
      </c>
    </row>
    <row r="57" spans="1:8" ht="12.75" x14ac:dyDescent="0.2">
      <c r="A57" s="1139"/>
      <c r="B57" s="1132" t="s">
        <v>3917</v>
      </c>
      <c r="C57" s="1130" t="s">
        <v>3933</v>
      </c>
      <c r="D57" s="1121">
        <v>101074501</v>
      </c>
      <c r="E57" s="1131">
        <v>2016</v>
      </c>
      <c r="F57" s="1130" t="s">
        <v>3928</v>
      </c>
      <c r="G57" s="1129">
        <v>14174.01</v>
      </c>
      <c r="H57" s="1129">
        <v>14174.01</v>
      </c>
    </row>
    <row r="58" spans="1:8" ht="12.75" x14ac:dyDescent="0.2">
      <c r="A58" s="1139"/>
      <c r="B58" s="1132" t="s">
        <v>3944</v>
      </c>
      <c r="C58" s="1130" t="s">
        <v>3939</v>
      </c>
      <c r="D58" s="1121" t="s">
        <v>3963</v>
      </c>
      <c r="E58" s="1131" t="s">
        <v>3962</v>
      </c>
      <c r="F58" s="1130" t="s">
        <v>3928</v>
      </c>
      <c r="G58" s="1129">
        <v>677090.34</v>
      </c>
      <c r="H58" s="1129">
        <v>263425.25</v>
      </c>
    </row>
    <row r="59" spans="1:8" ht="12.75" x14ac:dyDescent="0.2">
      <c r="A59" s="1139"/>
      <c r="B59" s="1132" t="s">
        <v>3941</v>
      </c>
      <c r="C59" s="1130" t="s">
        <v>3933</v>
      </c>
      <c r="D59" s="1121" t="s">
        <v>3940</v>
      </c>
      <c r="E59" s="1131">
        <v>2016</v>
      </c>
      <c r="F59" s="1130" t="s">
        <v>3928</v>
      </c>
      <c r="G59" s="1129">
        <v>759223.57</v>
      </c>
      <c r="H59" s="1129">
        <v>838192.03</v>
      </c>
    </row>
    <row r="60" spans="1:8" ht="12.75" x14ac:dyDescent="0.2">
      <c r="A60" s="1139"/>
      <c r="B60" s="1132" t="s">
        <v>3936</v>
      </c>
      <c r="C60" s="1130" t="s">
        <v>3959</v>
      </c>
      <c r="D60" s="1121" t="s">
        <v>3961</v>
      </c>
      <c r="E60" s="1131">
        <v>2009</v>
      </c>
      <c r="F60" s="1130" t="s">
        <v>3928</v>
      </c>
      <c r="G60" s="1129">
        <v>129894.99</v>
      </c>
      <c r="H60" s="1129">
        <v>129894.99</v>
      </c>
    </row>
    <row r="61" spans="1:8" ht="12.75" x14ac:dyDescent="0.2">
      <c r="A61" s="1139"/>
      <c r="B61" s="1132" t="s">
        <v>3936</v>
      </c>
      <c r="C61" s="1130" t="s">
        <v>3959</v>
      </c>
      <c r="D61" s="1121" t="s">
        <v>3960</v>
      </c>
      <c r="E61" s="1131">
        <v>2003</v>
      </c>
      <c r="F61" s="1130" t="s">
        <v>3928</v>
      </c>
      <c r="G61" s="1129">
        <v>590.09</v>
      </c>
      <c r="H61" s="1129">
        <v>590.09</v>
      </c>
    </row>
    <row r="62" spans="1:8" ht="12.75" x14ac:dyDescent="0.2">
      <c r="A62" s="1139"/>
      <c r="B62" s="1132" t="s">
        <v>3936</v>
      </c>
      <c r="C62" s="1130" t="s">
        <v>3959</v>
      </c>
      <c r="D62" s="1121" t="s">
        <v>3958</v>
      </c>
      <c r="E62" s="1131">
        <v>2012</v>
      </c>
      <c r="F62" s="1130" t="s">
        <v>3928</v>
      </c>
      <c r="G62" s="1129">
        <v>1347.02</v>
      </c>
      <c r="H62" s="1129">
        <v>1347.02</v>
      </c>
    </row>
    <row r="63" spans="1:8" ht="12.75" x14ac:dyDescent="0.2">
      <c r="A63" s="1139"/>
      <c r="B63" s="1132" t="s">
        <v>3936</v>
      </c>
      <c r="C63" s="1130" t="s">
        <v>3939</v>
      </c>
      <c r="D63" s="1121"/>
      <c r="E63" s="1131">
        <v>2018</v>
      </c>
      <c r="F63" s="1130" t="s">
        <v>3928</v>
      </c>
      <c r="G63" s="1129">
        <v>75287</v>
      </c>
      <c r="H63" s="1129">
        <v>75287</v>
      </c>
    </row>
    <row r="64" spans="1:8" x14ac:dyDescent="0.2">
      <c r="A64" s="1138"/>
      <c r="B64" s="1132" t="s">
        <v>3934</v>
      </c>
      <c r="C64" s="1130" t="s">
        <v>3933</v>
      </c>
      <c r="D64" s="1121" t="s">
        <v>3957</v>
      </c>
      <c r="E64" s="1131">
        <v>2003</v>
      </c>
      <c r="F64" s="1130" t="s">
        <v>3928</v>
      </c>
      <c r="G64" s="1129">
        <v>119.6</v>
      </c>
      <c r="H64" s="1129">
        <v>55.8</v>
      </c>
    </row>
    <row r="65" spans="1:8" x14ac:dyDescent="0.2">
      <c r="A65" s="1138"/>
      <c r="B65" s="1132" t="s">
        <v>3934</v>
      </c>
      <c r="C65" s="1130" t="s">
        <v>3956</v>
      </c>
      <c r="D65" s="1121" t="s">
        <v>3932</v>
      </c>
      <c r="E65" s="1131">
        <v>2017</v>
      </c>
      <c r="F65" s="1130" t="s">
        <v>3928</v>
      </c>
      <c r="G65" s="1129">
        <v>273140.75</v>
      </c>
      <c r="H65" s="1129">
        <v>579596.15</v>
      </c>
    </row>
    <row r="66" spans="1:8" ht="12.75" x14ac:dyDescent="0.2">
      <c r="A66" s="1137" t="s">
        <v>32</v>
      </c>
      <c r="B66" s="1132"/>
      <c r="C66" s="1130"/>
      <c r="D66" s="1121"/>
      <c r="E66" s="1131"/>
      <c r="F66" s="1130" t="s">
        <v>3928</v>
      </c>
      <c r="G66" s="1129"/>
      <c r="H66" s="1129"/>
    </row>
    <row r="67" spans="1:8" ht="12.75" x14ac:dyDescent="0.2">
      <c r="A67" s="1135"/>
      <c r="B67" s="1132"/>
      <c r="C67" s="1130"/>
      <c r="D67" s="1121"/>
      <c r="E67" s="1131"/>
      <c r="F67" s="1130" t="s">
        <v>3928</v>
      </c>
      <c r="G67" s="1129"/>
      <c r="H67" s="1129"/>
    </row>
    <row r="68" spans="1:8" ht="25.5" x14ac:dyDescent="0.2">
      <c r="A68" s="1136" t="s">
        <v>3955</v>
      </c>
      <c r="B68" s="1132" t="s">
        <v>3944</v>
      </c>
      <c r="C68" s="1130" t="s">
        <v>3939</v>
      </c>
      <c r="D68" s="1121" t="s">
        <v>3954</v>
      </c>
      <c r="E68" s="1131" t="s">
        <v>3942</v>
      </c>
      <c r="F68" s="1130" t="s">
        <v>3928</v>
      </c>
      <c r="G68" s="1129"/>
      <c r="H68" s="1129">
        <v>139.69</v>
      </c>
    </row>
    <row r="69" spans="1:8" ht="12.75" x14ac:dyDescent="0.2">
      <c r="A69" s="1135"/>
      <c r="B69" s="1132" t="s">
        <v>3944</v>
      </c>
      <c r="C69" s="1130" t="s">
        <v>3939</v>
      </c>
      <c r="D69" s="1121" t="s">
        <v>3953</v>
      </c>
      <c r="E69" s="1131" t="s">
        <v>3942</v>
      </c>
      <c r="F69" s="1130" t="s">
        <v>3928</v>
      </c>
      <c r="G69" s="1129"/>
      <c r="H69" s="1129">
        <v>918443.83</v>
      </c>
    </row>
    <row r="70" spans="1:8" ht="12.75" x14ac:dyDescent="0.2">
      <c r="A70" s="1135"/>
      <c r="B70" s="1132" t="s">
        <v>3944</v>
      </c>
      <c r="C70" s="1130" t="s">
        <v>3939</v>
      </c>
      <c r="D70" s="1121" t="s">
        <v>3952</v>
      </c>
      <c r="E70" s="1131" t="s">
        <v>3942</v>
      </c>
      <c r="F70" s="1130" t="s">
        <v>3928</v>
      </c>
      <c r="G70" s="1129"/>
      <c r="H70" s="1129">
        <v>65591</v>
      </c>
    </row>
    <row r="71" spans="1:8" ht="12.75" x14ac:dyDescent="0.2">
      <c r="A71" s="1135"/>
      <c r="B71" s="1132" t="s">
        <v>3944</v>
      </c>
      <c r="C71" s="1130" t="s">
        <v>3939</v>
      </c>
      <c r="D71" s="1121" t="s">
        <v>3951</v>
      </c>
      <c r="E71" s="1131" t="s">
        <v>3942</v>
      </c>
      <c r="F71" s="1130" t="s">
        <v>3928</v>
      </c>
      <c r="G71" s="1129">
        <v>15758024.539999999</v>
      </c>
      <c r="H71" s="1129">
        <v>24018320.600000001</v>
      </c>
    </row>
    <row r="72" spans="1:8" ht="12.75" x14ac:dyDescent="0.2">
      <c r="A72" s="1135"/>
      <c r="B72" s="1132" t="s">
        <v>3944</v>
      </c>
      <c r="C72" s="1130" t="s">
        <v>3939</v>
      </c>
      <c r="D72" s="1121" t="s">
        <v>3950</v>
      </c>
      <c r="E72" s="1131" t="s">
        <v>3942</v>
      </c>
      <c r="F72" s="1130" t="s">
        <v>3928</v>
      </c>
      <c r="G72" s="1129"/>
      <c r="H72" s="1129">
        <v>1326171.54</v>
      </c>
    </row>
    <row r="73" spans="1:8" ht="12.75" x14ac:dyDescent="0.2">
      <c r="A73" s="1135"/>
      <c r="B73" s="1132" t="s">
        <v>3944</v>
      </c>
      <c r="C73" s="1130" t="s">
        <v>3939</v>
      </c>
      <c r="D73" s="1121" t="s">
        <v>3949</v>
      </c>
      <c r="E73" s="1131" t="s">
        <v>3942</v>
      </c>
      <c r="F73" s="1130" t="s">
        <v>3928</v>
      </c>
      <c r="G73" s="1129"/>
      <c r="H73" s="1129">
        <v>976341.84</v>
      </c>
    </row>
    <row r="74" spans="1:8" ht="12.75" x14ac:dyDescent="0.2">
      <c r="A74" s="1135"/>
      <c r="B74" s="1132" t="s">
        <v>3944</v>
      </c>
      <c r="C74" s="1130" t="s">
        <v>3939</v>
      </c>
      <c r="D74" s="1121" t="s">
        <v>3948</v>
      </c>
      <c r="E74" s="1131" t="s">
        <v>3942</v>
      </c>
      <c r="F74" s="1130" t="s">
        <v>3928</v>
      </c>
      <c r="G74" s="1129"/>
      <c r="H74" s="1129">
        <v>319.51</v>
      </c>
    </row>
    <row r="75" spans="1:8" ht="12.75" x14ac:dyDescent="0.2">
      <c r="A75" s="1135"/>
      <c r="B75" s="1132" t="s">
        <v>3944</v>
      </c>
      <c r="C75" s="1130" t="s">
        <v>3939</v>
      </c>
      <c r="D75" s="1121" t="s">
        <v>3947</v>
      </c>
      <c r="E75" s="1131" t="s">
        <v>3942</v>
      </c>
      <c r="F75" s="1130" t="s">
        <v>3928</v>
      </c>
      <c r="G75" s="1129"/>
      <c r="H75" s="1129">
        <v>246323.81</v>
      </c>
    </row>
    <row r="76" spans="1:8" ht="12.75" x14ac:dyDescent="0.2">
      <c r="A76" s="1135"/>
      <c r="B76" s="1132" t="s">
        <v>3944</v>
      </c>
      <c r="C76" s="1130" t="s">
        <v>3939</v>
      </c>
      <c r="D76" s="1121" t="s">
        <v>3946</v>
      </c>
      <c r="E76" s="1131" t="s">
        <v>3942</v>
      </c>
      <c r="F76" s="1130" t="s">
        <v>3928</v>
      </c>
      <c r="G76" s="1129"/>
      <c r="H76" s="1129">
        <v>70061213.430000007</v>
      </c>
    </row>
    <row r="77" spans="1:8" ht="12.75" x14ac:dyDescent="0.2">
      <c r="A77" s="1135"/>
      <c r="B77" s="1132" t="s">
        <v>3944</v>
      </c>
      <c r="C77" s="1130" t="s">
        <v>3939</v>
      </c>
      <c r="D77" s="1121" t="s">
        <v>3945</v>
      </c>
      <c r="E77" s="1131" t="s">
        <v>3942</v>
      </c>
      <c r="F77" s="1130" t="s">
        <v>3928</v>
      </c>
      <c r="G77" s="1129"/>
      <c r="H77" s="1129">
        <v>1318.61</v>
      </c>
    </row>
    <row r="78" spans="1:8" ht="12.75" x14ac:dyDescent="0.2">
      <c r="A78" s="1134"/>
      <c r="B78" s="1132" t="s">
        <v>3944</v>
      </c>
      <c r="C78" s="1130" t="s">
        <v>3939</v>
      </c>
      <c r="D78" s="1121" t="s">
        <v>3943</v>
      </c>
      <c r="E78" s="1131" t="s">
        <v>3942</v>
      </c>
      <c r="F78" s="1130" t="s">
        <v>3928</v>
      </c>
      <c r="G78" s="1129"/>
      <c r="H78" s="1129">
        <v>4736.6499999999996</v>
      </c>
    </row>
    <row r="79" spans="1:8" ht="12.75" x14ac:dyDescent="0.2">
      <c r="A79" s="1133"/>
      <c r="B79" s="1132" t="s">
        <v>3917</v>
      </c>
      <c r="C79" s="1130" t="s">
        <v>3933</v>
      </c>
      <c r="D79" s="1121">
        <v>101074501</v>
      </c>
      <c r="E79" s="1131">
        <v>2016</v>
      </c>
      <c r="F79" s="1130" t="s">
        <v>3928</v>
      </c>
      <c r="G79" s="1129">
        <v>17825.490000000002</v>
      </c>
      <c r="H79" s="1129">
        <v>5245.49</v>
      </c>
    </row>
    <row r="80" spans="1:8" ht="12.75" x14ac:dyDescent="0.2">
      <c r="A80" s="1133"/>
      <c r="B80" s="1132" t="s">
        <v>3941</v>
      </c>
      <c r="C80" s="1130" t="s">
        <v>3933</v>
      </c>
      <c r="D80" s="1121" t="s">
        <v>3940</v>
      </c>
      <c r="E80" s="1131">
        <v>2018</v>
      </c>
      <c r="F80" s="1130" t="s">
        <v>3928</v>
      </c>
      <c r="G80" s="1129">
        <v>0</v>
      </c>
      <c r="H80" s="1129">
        <v>0</v>
      </c>
    </row>
    <row r="81" spans="1:8" ht="12.75" x14ac:dyDescent="0.2">
      <c r="A81" s="1133"/>
      <c r="B81" s="1132" t="s">
        <v>3936</v>
      </c>
      <c r="C81" s="1130" t="s">
        <v>3939</v>
      </c>
      <c r="D81" s="1121" t="s">
        <v>3938</v>
      </c>
      <c r="E81" s="1131">
        <v>2017</v>
      </c>
      <c r="F81" s="1130" t="s">
        <v>3928</v>
      </c>
      <c r="G81" s="1129">
        <v>190890.74</v>
      </c>
      <c r="H81" s="1129">
        <v>151843.54</v>
      </c>
    </row>
    <row r="82" spans="1:8" ht="12.75" x14ac:dyDescent="0.2">
      <c r="A82" s="1133"/>
      <c r="B82" s="1132" t="s">
        <v>3936</v>
      </c>
      <c r="C82" s="1130"/>
      <c r="D82" s="1121" t="s">
        <v>3937</v>
      </c>
      <c r="E82" s="1131">
        <v>2019</v>
      </c>
      <c r="F82" s="1130" t="s">
        <v>3928</v>
      </c>
      <c r="G82" s="1129">
        <v>343698.76</v>
      </c>
      <c r="H82" s="1129">
        <v>282004.08</v>
      </c>
    </row>
    <row r="83" spans="1:8" ht="12.75" x14ac:dyDescent="0.2">
      <c r="A83" s="1133"/>
      <c r="B83" s="1132" t="s">
        <v>3936</v>
      </c>
      <c r="C83" s="1130"/>
      <c r="D83" s="1121" t="s">
        <v>3935</v>
      </c>
      <c r="E83" s="1131">
        <v>2013</v>
      </c>
      <c r="F83" s="1130" t="s">
        <v>3928</v>
      </c>
      <c r="G83" s="1129">
        <v>617.24</v>
      </c>
      <c r="H83" s="1129">
        <v>620.92999999999995</v>
      </c>
    </row>
    <row r="84" spans="1:8" ht="12.75" x14ac:dyDescent="0.2">
      <c r="A84" s="1133"/>
      <c r="B84" s="1132" t="s">
        <v>3934</v>
      </c>
      <c r="C84" s="1130" t="s">
        <v>3933</v>
      </c>
      <c r="D84" s="1121" t="s">
        <v>3932</v>
      </c>
      <c r="E84" s="1131">
        <v>2015</v>
      </c>
      <c r="F84" s="1130" t="s">
        <v>3928</v>
      </c>
      <c r="G84" s="1129">
        <v>125600.22</v>
      </c>
      <c r="H84" s="1129">
        <v>41311.03</v>
      </c>
    </row>
    <row r="85" spans="1:8" ht="12.75" x14ac:dyDescent="0.2">
      <c r="A85" s="1133"/>
      <c r="B85" s="1132"/>
      <c r="C85" s="1130"/>
      <c r="D85" s="1121"/>
      <c r="E85" s="1131"/>
      <c r="F85" s="1130" t="s">
        <v>3928</v>
      </c>
      <c r="G85" s="1129"/>
      <c r="H85" s="1129"/>
    </row>
    <row r="86" spans="1:8" ht="12.75" thickBot="1" x14ac:dyDescent="0.25">
      <c r="A86" s="1128" t="s">
        <v>323</v>
      </c>
      <c r="B86" s="1127" t="s">
        <v>3931</v>
      </c>
      <c r="C86" s="1124" t="s">
        <v>3930</v>
      </c>
      <c r="D86" s="1126" t="s">
        <v>3929</v>
      </c>
      <c r="E86" s="1125">
        <v>2003</v>
      </c>
      <c r="F86" s="1124" t="s">
        <v>3928</v>
      </c>
      <c r="G86" s="1123">
        <v>49523.92</v>
      </c>
      <c r="H86" s="1123">
        <v>45194.36</v>
      </c>
    </row>
    <row r="87" spans="1:8" ht="12.75" thickBot="1" x14ac:dyDescent="0.25">
      <c r="A87" s="1122"/>
      <c r="B87" s="1111"/>
      <c r="C87" s="1121"/>
      <c r="D87" s="1120"/>
      <c r="E87" s="1119"/>
      <c r="F87" s="1118"/>
      <c r="G87" s="1117"/>
      <c r="H87" s="1117"/>
    </row>
    <row r="88" spans="1:8" ht="13.5" thickBot="1" x14ac:dyDescent="0.25">
      <c r="A88" s="1116" t="s">
        <v>0</v>
      </c>
      <c r="B88" s="1115"/>
      <c r="C88" s="1113"/>
      <c r="D88" s="1113"/>
      <c r="E88" s="1114"/>
      <c r="F88" s="1113"/>
      <c r="G88" s="1112">
        <f>SUM(G9:G87)</f>
        <v>181603841.48000002</v>
      </c>
      <c r="H88" s="1112">
        <f>SUM(H9:H87)</f>
        <v>253221100.38000008</v>
      </c>
    </row>
    <row r="89" spans="1:8" x14ac:dyDescent="0.2">
      <c r="A89" s="166" t="s">
        <v>3927</v>
      </c>
      <c r="B89" s="1111"/>
      <c r="C89" s="1111"/>
      <c r="D89" s="1111"/>
      <c r="F89" s="166"/>
    </row>
    <row r="90" spans="1:8" x14ac:dyDescent="0.2">
      <c r="A90" s="166" t="s">
        <v>396</v>
      </c>
      <c r="B90" s="1111"/>
      <c r="C90" s="1111"/>
      <c r="D90" s="1111"/>
      <c r="F90" s="166"/>
    </row>
  </sheetData>
  <mergeCells count="6">
    <mergeCell ref="A7:A8"/>
    <mergeCell ref="B7:B8"/>
    <mergeCell ref="C7:H7"/>
    <mergeCell ref="A5:A6"/>
    <mergeCell ref="B5:B6"/>
    <mergeCell ref="C5:H5"/>
  </mergeCells>
  <printOptions horizontalCentered="1"/>
  <pageMargins left="0.25" right="0.25" top="0.75" bottom="0.75" header="0.3" footer="0.3"/>
  <pageSetup paperSize="9" scale="56" orientation="portrait"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1686"/>
  <sheetViews>
    <sheetView zoomScaleNormal="100" zoomScaleSheetLayoutView="100" zoomScalePageLayoutView="75" workbookViewId="0">
      <selection activeCell="H16" sqref="H16"/>
    </sheetView>
  </sheetViews>
  <sheetFormatPr baseColWidth="10" defaultColWidth="11.42578125" defaultRowHeight="12" x14ac:dyDescent="0.2"/>
  <cols>
    <col min="1" max="7" width="18.7109375" style="3" customWidth="1"/>
    <col min="8" max="9" width="18.7109375" style="40" customWidth="1"/>
    <col min="10" max="10" width="18.7109375" style="3" customWidth="1"/>
    <col min="11" max="12" width="7.140625" style="29" customWidth="1"/>
    <col min="13" max="13" width="11.28515625" style="3" bestFit="1" customWidth="1"/>
    <col min="14" max="14" width="7.140625" style="3" customWidth="1"/>
    <col min="15" max="15" width="7.5703125" style="3" bestFit="1" customWidth="1"/>
    <col min="16" max="16" width="11.28515625" style="3" bestFit="1" customWidth="1"/>
    <col min="17" max="16384" width="11.42578125" style="3"/>
  </cols>
  <sheetData>
    <row r="1" spans="1:22" s="70" customFormat="1" x14ac:dyDescent="0.2">
      <c r="A1" s="87" t="s">
        <v>392</v>
      </c>
      <c r="B1" s="87"/>
      <c r="C1" s="87"/>
      <c r="D1" s="87"/>
      <c r="E1" s="87"/>
      <c r="F1" s="87"/>
      <c r="G1" s="87"/>
      <c r="H1" s="87"/>
      <c r="I1" s="87"/>
      <c r="J1" s="87"/>
      <c r="K1" s="87"/>
      <c r="L1" s="87"/>
    </row>
    <row r="2" spans="1:22" s="5" customFormat="1" x14ac:dyDescent="0.2">
      <c r="A2" s="86" t="s">
        <v>313</v>
      </c>
      <c r="B2" s="86"/>
      <c r="C2" s="86"/>
      <c r="D2" s="86"/>
      <c r="E2" s="86"/>
      <c r="F2" s="86"/>
      <c r="G2" s="86"/>
      <c r="H2" s="86"/>
      <c r="I2" s="86"/>
      <c r="J2" s="86"/>
      <c r="K2" s="86"/>
      <c r="L2" s="86"/>
      <c r="M2" s="86"/>
      <c r="N2" s="86"/>
      <c r="O2" s="86"/>
      <c r="P2" s="86"/>
      <c r="Q2" s="86"/>
      <c r="R2" s="86"/>
      <c r="S2" s="86"/>
      <c r="T2" s="86"/>
      <c r="U2" s="86"/>
      <c r="V2" s="86"/>
    </row>
    <row r="3" spans="1:22" s="74" customFormat="1" ht="12.75" thickBot="1" x14ac:dyDescent="0.25">
      <c r="K3" s="29"/>
      <c r="L3" s="29"/>
    </row>
    <row r="4" spans="1:22" s="36" customFormat="1" ht="12.75" customHeight="1" thickBot="1" x14ac:dyDescent="0.25">
      <c r="A4" s="1452" t="s">
        <v>126</v>
      </c>
      <c r="B4" s="1453"/>
      <c r="C4" s="1453"/>
      <c r="D4" s="1453"/>
      <c r="E4" s="1454"/>
      <c r="F4" s="1455" t="s">
        <v>127</v>
      </c>
      <c r="G4" s="1456"/>
      <c r="H4" s="1457"/>
      <c r="I4" s="1457"/>
      <c r="J4" s="1458"/>
      <c r="K4" s="1449" t="s">
        <v>427</v>
      </c>
      <c r="L4" s="1450"/>
      <c r="M4" s="1451"/>
      <c r="N4" s="1449" t="s">
        <v>428</v>
      </c>
      <c r="O4" s="1450"/>
      <c r="P4" s="1451"/>
    </row>
    <row r="5" spans="1:22" s="37" customFormat="1" ht="80.099999999999994" customHeight="1" thickBot="1" x14ac:dyDescent="0.25">
      <c r="A5" s="150" t="s">
        <v>84</v>
      </c>
      <c r="B5" s="151" t="s">
        <v>8</v>
      </c>
      <c r="C5" s="151" t="s">
        <v>79</v>
      </c>
      <c r="D5" s="152" t="s">
        <v>85</v>
      </c>
      <c r="E5" s="153" t="s">
        <v>107</v>
      </c>
      <c r="F5" s="150" t="s">
        <v>114</v>
      </c>
      <c r="G5" s="152" t="s">
        <v>115</v>
      </c>
      <c r="H5" s="152" t="s">
        <v>128</v>
      </c>
      <c r="I5" s="151" t="s">
        <v>129</v>
      </c>
      <c r="J5" s="154" t="s">
        <v>119</v>
      </c>
      <c r="K5" s="155" t="s">
        <v>116</v>
      </c>
      <c r="L5" s="156" t="s">
        <v>117</v>
      </c>
      <c r="M5" s="157" t="s">
        <v>118</v>
      </c>
      <c r="N5" s="155" t="s">
        <v>116</v>
      </c>
      <c r="O5" s="156" t="s">
        <v>117</v>
      </c>
      <c r="P5" s="157" t="s">
        <v>118</v>
      </c>
    </row>
    <row r="6" spans="1:22" x14ac:dyDescent="0.2">
      <c r="A6" s="900" t="s">
        <v>874</v>
      </c>
      <c r="B6" s="900" t="s">
        <v>875</v>
      </c>
      <c r="C6" s="901" t="s">
        <v>78</v>
      </c>
      <c r="D6" s="900" t="s">
        <v>876</v>
      </c>
      <c r="E6" s="902">
        <v>12250</v>
      </c>
      <c r="F6" s="903">
        <v>29688121</v>
      </c>
      <c r="G6" s="900" t="s">
        <v>877</v>
      </c>
      <c r="H6" s="904" t="s">
        <v>878</v>
      </c>
      <c r="I6" s="900" t="s">
        <v>879</v>
      </c>
      <c r="J6" s="904" t="s">
        <v>878</v>
      </c>
      <c r="K6" s="905" t="s">
        <v>880</v>
      </c>
      <c r="L6" s="900">
        <v>12</v>
      </c>
      <c r="M6" s="902">
        <v>12250</v>
      </c>
      <c r="N6" s="905" t="s">
        <v>880</v>
      </c>
      <c r="O6" s="906">
        <v>6</v>
      </c>
      <c r="P6" s="902">
        <v>12250</v>
      </c>
    </row>
    <row r="7" spans="1:22" x14ac:dyDescent="0.2">
      <c r="A7" s="900" t="s">
        <v>874</v>
      </c>
      <c r="B7" s="900"/>
      <c r="C7" s="901" t="s">
        <v>78</v>
      </c>
      <c r="D7" s="900" t="s">
        <v>881</v>
      </c>
      <c r="E7" s="902">
        <v>8000</v>
      </c>
      <c r="F7" s="907">
        <v>29306293</v>
      </c>
      <c r="G7" s="900" t="s">
        <v>882</v>
      </c>
      <c r="H7" s="900" t="s">
        <v>883</v>
      </c>
      <c r="I7" s="900" t="s">
        <v>884</v>
      </c>
      <c r="J7" s="900" t="s">
        <v>883</v>
      </c>
      <c r="K7" s="905" t="s">
        <v>885</v>
      </c>
      <c r="L7" s="900">
        <v>12</v>
      </c>
      <c r="M7" s="902">
        <v>8000</v>
      </c>
      <c r="N7" s="905" t="s">
        <v>885</v>
      </c>
      <c r="O7" s="900">
        <v>6</v>
      </c>
      <c r="P7" s="902">
        <v>8000</v>
      </c>
    </row>
    <row r="8" spans="1:22" x14ac:dyDescent="0.2">
      <c r="A8" s="900" t="s">
        <v>874</v>
      </c>
      <c r="B8" s="900"/>
      <c r="C8" s="901" t="s">
        <v>78</v>
      </c>
      <c r="D8" s="900" t="s">
        <v>881</v>
      </c>
      <c r="E8" s="902">
        <v>8000</v>
      </c>
      <c r="F8" s="907">
        <v>29301972</v>
      </c>
      <c r="G8" s="900" t="s">
        <v>886</v>
      </c>
      <c r="H8" s="908" t="s">
        <v>887</v>
      </c>
      <c r="I8" s="900" t="s">
        <v>888</v>
      </c>
      <c r="J8" s="900" t="s">
        <v>887</v>
      </c>
      <c r="K8" s="905" t="s">
        <v>889</v>
      </c>
      <c r="L8" s="900">
        <v>4</v>
      </c>
      <c r="M8" s="902">
        <v>8000</v>
      </c>
      <c r="N8" s="905"/>
      <c r="O8" s="900"/>
      <c r="P8" s="902"/>
    </row>
    <row r="9" spans="1:22" x14ac:dyDescent="0.2">
      <c r="A9" s="900" t="s">
        <v>874</v>
      </c>
      <c r="B9" s="900"/>
      <c r="C9" s="901" t="s">
        <v>78</v>
      </c>
      <c r="D9" s="900" t="s">
        <v>881</v>
      </c>
      <c r="E9" s="902">
        <v>8000</v>
      </c>
      <c r="F9" s="907">
        <v>29301972</v>
      </c>
      <c r="G9" s="900" t="s">
        <v>886</v>
      </c>
      <c r="H9" s="908" t="s">
        <v>887</v>
      </c>
      <c r="I9" s="900" t="s">
        <v>888</v>
      </c>
      <c r="J9" s="900" t="s">
        <v>887</v>
      </c>
      <c r="K9" s="905" t="s">
        <v>890</v>
      </c>
      <c r="L9" s="900">
        <v>1</v>
      </c>
      <c r="M9" s="902">
        <v>7000</v>
      </c>
      <c r="N9" s="905" t="s">
        <v>890</v>
      </c>
      <c r="O9" s="900">
        <v>6</v>
      </c>
      <c r="P9" s="902">
        <v>7000</v>
      </c>
    </row>
    <row r="10" spans="1:22" x14ac:dyDescent="0.2">
      <c r="A10" s="900" t="s">
        <v>874</v>
      </c>
      <c r="B10" s="900"/>
      <c r="C10" s="901" t="s">
        <v>78</v>
      </c>
      <c r="D10" s="900" t="s">
        <v>891</v>
      </c>
      <c r="E10" s="902">
        <v>6250</v>
      </c>
      <c r="F10" s="903">
        <v>29202649</v>
      </c>
      <c r="G10" s="900" t="s">
        <v>892</v>
      </c>
      <c r="H10" s="908" t="s">
        <v>893</v>
      </c>
      <c r="I10" s="900" t="s">
        <v>894</v>
      </c>
      <c r="J10" s="900" t="s">
        <v>893</v>
      </c>
      <c r="K10" s="905" t="s">
        <v>895</v>
      </c>
      <c r="L10" s="900">
        <v>12</v>
      </c>
      <c r="M10" s="902">
        <v>6250</v>
      </c>
      <c r="N10" s="905" t="s">
        <v>895</v>
      </c>
      <c r="O10" s="900">
        <v>5</v>
      </c>
      <c r="P10" s="902">
        <v>6250</v>
      </c>
    </row>
    <row r="11" spans="1:22" x14ac:dyDescent="0.2">
      <c r="A11" s="900" t="s">
        <v>874</v>
      </c>
      <c r="B11" s="900"/>
      <c r="C11" s="901" t="s">
        <v>78</v>
      </c>
      <c r="D11" s="900" t="s">
        <v>891</v>
      </c>
      <c r="E11" s="902">
        <v>6250</v>
      </c>
      <c r="F11" s="903">
        <v>29665792</v>
      </c>
      <c r="G11" s="900" t="s">
        <v>896</v>
      </c>
      <c r="H11" s="908" t="s">
        <v>893</v>
      </c>
      <c r="I11" s="900" t="s">
        <v>894</v>
      </c>
      <c r="J11" s="900" t="s">
        <v>893</v>
      </c>
      <c r="K11" s="905"/>
      <c r="L11" s="900"/>
      <c r="M11" s="902"/>
      <c r="N11" s="905" t="s">
        <v>897</v>
      </c>
      <c r="O11" s="900">
        <v>1</v>
      </c>
      <c r="P11" s="902">
        <v>6250</v>
      </c>
    </row>
    <row r="12" spans="1:22" x14ac:dyDescent="0.2">
      <c r="A12" s="900" t="s">
        <v>874</v>
      </c>
      <c r="B12" s="900"/>
      <c r="C12" s="901" t="s">
        <v>78</v>
      </c>
      <c r="D12" s="900" t="s">
        <v>898</v>
      </c>
      <c r="E12" s="902">
        <v>7000</v>
      </c>
      <c r="F12" s="903">
        <v>29643425</v>
      </c>
      <c r="G12" s="900" t="s">
        <v>899</v>
      </c>
      <c r="H12" s="900" t="s">
        <v>883</v>
      </c>
      <c r="I12" s="900" t="s">
        <v>884</v>
      </c>
      <c r="J12" s="900" t="s">
        <v>883</v>
      </c>
      <c r="K12" s="905" t="s">
        <v>900</v>
      </c>
      <c r="L12" s="900">
        <v>9</v>
      </c>
      <c r="M12" s="902">
        <v>7000</v>
      </c>
      <c r="N12" s="905"/>
      <c r="O12" s="900"/>
      <c r="P12" s="902"/>
    </row>
    <row r="13" spans="1:22" x14ac:dyDescent="0.2">
      <c r="A13" s="900" t="s">
        <v>874</v>
      </c>
      <c r="B13" s="900"/>
      <c r="C13" s="901" t="s">
        <v>78</v>
      </c>
      <c r="D13" s="900" t="s">
        <v>898</v>
      </c>
      <c r="E13" s="902">
        <v>7000</v>
      </c>
      <c r="F13" s="903">
        <v>29643425</v>
      </c>
      <c r="G13" s="900" t="s">
        <v>899</v>
      </c>
      <c r="H13" s="900" t="s">
        <v>883</v>
      </c>
      <c r="I13" s="900" t="s">
        <v>884</v>
      </c>
      <c r="J13" s="900" t="s">
        <v>883</v>
      </c>
      <c r="K13" s="905" t="s">
        <v>901</v>
      </c>
      <c r="L13" s="900">
        <v>3</v>
      </c>
      <c r="M13" s="902">
        <v>9000</v>
      </c>
      <c r="N13" s="905" t="s">
        <v>901</v>
      </c>
      <c r="O13" s="900">
        <v>6</v>
      </c>
      <c r="P13" s="902">
        <v>9000</v>
      </c>
    </row>
    <row r="14" spans="1:22" x14ac:dyDescent="0.2">
      <c r="A14" s="900" t="s">
        <v>874</v>
      </c>
      <c r="B14" s="900"/>
      <c r="C14" s="901" t="s">
        <v>78</v>
      </c>
      <c r="D14" s="900" t="s">
        <v>881</v>
      </c>
      <c r="E14" s="902">
        <v>8000</v>
      </c>
      <c r="F14" s="903">
        <v>43614905</v>
      </c>
      <c r="G14" s="900" t="s">
        <v>902</v>
      </c>
      <c r="H14" s="900" t="s">
        <v>883</v>
      </c>
      <c r="I14" s="900" t="s">
        <v>903</v>
      </c>
      <c r="J14" s="900" t="s">
        <v>883</v>
      </c>
      <c r="K14" s="905" t="s">
        <v>904</v>
      </c>
      <c r="L14" s="900">
        <v>11</v>
      </c>
      <c r="M14" s="902">
        <v>8000</v>
      </c>
      <c r="N14" s="905" t="s">
        <v>905</v>
      </c>
      <c r="O14" s="900">
        <v>6</v>
      </c>
      <c r="P14" s="902">
        <v>8000</v>
      </c>
    </row>
    <row r="15" spans="1:22" x14ac:dyDescent="0.2">
      <c r="A15" s="900" t="s">
        <v>874</v>
      </c>
      <c r="B15" s="900"/>
      <c r="C15" s="901" t="s">
        <v>78</v>
      </c>
      <c r="D15" s="900" t="s">
        <v>906</v>
      </c>
      <c r="E15" s="902">
        <v>10000</v>
      </c>
      <c r="F15" s="903">
        <v>29522405</v>
      </c>
      <c r="G15" s="900" t="s">
        <v>907</v>
      </c>
      <c r="H15" s="900" t="s">
        <v>883</v>
      </c>
      <c r="I15" s="900" t="s">
        <v>884</v>
      </c>
      <c r="J15" s="900" t="s">
        <v>883</v>
      </c>
      <c r="K15" s="905" t="s">
        <v>908</v>
      </c>
      <c r="L15" s="900">
        <v>7</v>
      </c>
      <c r="M15" s="902">
        <v>10000</v>
      </c>
      <c r="N15" s="905"/>
      <c r="O15" s="900"/>
      <c r="P15" s="902"/>
    </row>
    <row r="16" spans="1:22" x14ac:dyDescent="0.2">
      <c r="A16" s="900" t="s">
        <v>874</v>
      </c>
      <c r="B16" s="900"/>
      <c r="C16" s="901" t="s">
        <v>78</v>
      </c>
      <c r="D16" s="900" t="s">
        <v>909</v>
      </c>
      <c r="E16" s="902">
        <v>6000</v>
      </c>
      <c r="F16" s="903">
        <v>42480502</v>
      </c>
      <c r="G16" s="900" t="s">
        <v>910</v>
      </c>
      <c r="H16" s="904" t="s">
        <v>911</v>
      </c>
      <c r="I16" s="900" t="s">
        <v>912</v>
      </c>
      <c r="J16" s="904" t="s">
        <v>911</v>
      </c>
      <c r="K16" s="905" t="s">
        <v>913</v>
      </c>
      <c r="L16" s="900">
        <v>9</v>
      </c>
      <c r="M16" s="902">
        <v>6000</v>
      </c>
      <c r="N16" s="905"/>
      <c r="O16" s="900"/>
      <c r="P16" s="902"/>
    </row>
    <row r="17" spans="1:16" x14ac:dyDescent="0.2">
      <c r="A17" s="900" t="s">
        <v>874</v>
      </c>
      <c r="B17" s="900"/>
      <c r="C17" s="901" t="s">
        <v>78</v>
      </c>
      <c r="D17" s="900" t="s">
        <v>881</v>
      </c>
      <c r="E17" s="902">
        <v>7500</v>
      </c>
      <c r="F17" s="903">
        <v>42040078</v>
      </c>
      <c r="G17" s="900" t="s">
        <v>914</v>
      </c>
      <c r="H17" s="904" t="s">
        <v>915</v>
      </c>
      <c r="I17" s="900" t="s">
        <v>916</v>
      </c>
      <c r="J17" s="904" t="s">
        <v>915</v>
      </c>
      <c r="K17" s="909" t="s">
        <v>917</v>
      </c>
      <c r="L17" s="900">
        <v>11</v>
      </c>
      <c r="M17" s="902">
        <v>7500</v>
      </c>
      <c r="N17" s="909"/>
      <c r="O17" s="900"/>
      <c r="P17" s="902"/>
    </row>
    <row r="18" spans="1:16" x14ac:dyDescent="0.2">
      <c r="A18" s="900" t="s">
        <v>874</v>
      </c>
      <c r="B18" s="900"/>
      <c r="C18" s="901" t="s">
        <v>78</v>
      </c>
      <c r="D18" s="900" t="s">
        <v>881</v>
      </c>
      <c r="E18" s="902">
        <v>8000</v>
      </c>
      <c r="F18" s="910">
        <v>42477663</v>
      </c>
      <c r="G18" s="900" t="s">
        <v>918</v>
      </c>
      <c r="H18" s="904" t="s">
        <v>919</v>
      </c>
      <c r="I18" s="900" t="s">
        <v>920</v>
      </c>
      <c r="J18" s="904" t="s">
        <v>919</v>
      </c>
      <c r="K18" s="905" t="s">
        <v>921</v>
      </c>
      <c r="L18" s="900">
        <v>6</v>
      </c>
      <c r="M18" s="902">
        <v>8000</v>
      </c>
      <c r="N18" s="905" t="s">
        <v>921</v>
      </c>
      <c r="O18" s="900">
        <v>6</v>
      </c>
      <c r="P18" s="902">
        <v>8000</v>
      </c>
    </row>
    <row r="19" spans="1:16" x14ac:dyDescent="0.2">
      <c r="A19" s="900" t="s">
        <v>874</v>
      </c>
      <c r="B19" s="900"/>
      <c r="C19" s="901" t="s">
        <v>78</v>
      </c>
      <c r="D19" s="900" t="s">
        <v>881</v>
      </c>
      <c r="E19" s="902">
        <v>7000</v>
      </c>
      <c r="F19" s="903">
        <v>40470785</v>
      </c>
      <c r="G19" s="911" t="s">
        <v>922</v>
      </c>
      <c r="H19" s="908" t="s">
        <v>923</v>
      </c>
      <c r="I19" s="900" t="s">
        <v>924</v>
      </c>
      <c r="J19" s="900" t="s">
        <v>925</v>
      </c>
      <c r="K19" s="905" t="s">
        <v>926</v>
      </c>
      <c r="L19" s="900">
        <v>11</v>
      </c>
      <c r="M19" s="902">
        <v>7000</v>
      </c>
      <c r="N19" s="905" t="s">
        <v>926</v>
      </c>
      <c r="O19" s="900">
        <v>1</v>
      </c>
      <c r="P19" s="902">
        <v>7000</v>
      </c>
    </row>
    <row r="20" spans="1:16" x14ac:dyDescent="0.2">
      <c r="A20" s="900" t="s">
        <v>874</v>
      </c>
      <c r="B20" s="900"/>
      <c r="C20" s="901" t="s">
        <v>78</v>
      </c>
      <c r="D20" s="900" t="s">
        <v>881</v>
      </c>
      <c r="E20" s="902">
        <v>7000</v>
      </c>
      <c r="F20" s="903">
        <v>29581667</v>
      </c>
      <c r="G20" s="911" t="s">
        <v>927</v>
      </c>
      <c r="H20" s="900" t="s">
        <v>928</v>
      </c>
      <c r="I20" s="900" t="s">
        <v>929</v>
      </c>
      <c r="J20" s="900" t="s">
        <v>928</v>
      </c>
      <c r="K20" s="905" t="s">
        <v>930</v>
      </c>
      <c r="L20" s="900">
        <v>4</v>
      </c>
      <c r="M20" s="902">
        <v>7000</v>
      </c>
      <c r="N20" s="905" t="s">
        <v>926</v>
      </c>
      <c r="O20" s="900">
        <v>6</v>
      </c>
      <c r="P20" s="902">
        <v>7000</v>
      </c>
    </row>
    <row r="21" spans="1:16" x14ac:dyDescent="0.2">
      <c r="A21" s="900" t="s">
        <v>874</v>
      </c>
      <c r="B21" s="900"/>
      <c r="C21" s="901" t="s">
        <v>78</v>
      </c>
      <c r="D21" s="900" t="s">
        <v>881</v>
      </c>
      <c r="E21" s="902">
        <v>7000</v>
      </c>
      <c r="F21" s="903">
        <v>72865477</v>
      </c>
      <c r="G21" s="911" t="s">
        <v>931</v>
      </c>
      <c r="H21" s="908" t="s">
        <v>923</v>
      </c>
      <c r="I21" s="900" t="s">
        <v>924</v>
      </c>
      <c r="J21" s="900" t="s">
        <v>925</v>
      </c>
      <c r="K21" s="905"/>
      <c r="L21" s="900"/>
      <c r="M21" s="902"/>
      <c r="N21" s="905" t="s">
        <v>932</v>
      </c>
      <c r="O21" s="900">
        <v>5</v>
      </c>
      <c r="P21" s="902">
        <v>7000</v>
      </c>
    </row>
    <row r="22" spans="1:16" x14ac:dyDescent="0.2">
      <c r="A22" s="900" t="s">
        <v>874</v>
      </c>
      <c r="B22" s="900"/>
      <c r="C22" s="901" t="s">
        <v>78</v>
      </c>
      <c r="D22" s="900" t="s">
        <v>881</v>
      </c>
      <c r="E22" s="902">
        <v>7000</v>
      </c>
      <c r="F22" s="903">
        <v>29703406</v>
      </c>
      <c r="G22" s="911" t="s">
        <v>933</v>
      </c>
      <c r="H22" s="900" t="s">
        <v>883</v>
      </c>
      <c r="I22" s="900" t="s">
        <v>884</v>
      </c>
      <c r="J22" s="900" t="s">
        <v>883</v>
      </c>
      <c r="K22" s="905"/>
      <c r="L22" s="900"/>
      <c r="M22" s="902"/>
      <c r="N22" s="905" t="s">
        <v>934</v>
      </c>
      <c r="O22" s="900">
        <v>4</v>
      </c>
      <c r="P22" s="902">
        <v>7000</v>
      </c>
    </row>
    <row r="23" spans="1:16" x14ac:dyDescent="0.2">
      <c r="A23" s="912" t="s">
        <v>874</v>
      </c>
      <c r="B23" s="913" t="s">
        <v>935</v>
      </c>
      <c r="C23" s="914" t="s">
        <v>80</v>
      </c>
      <c r="D23" s="913" t="s">
        <v>936</v>
      </c>
      <c r="E23" s="915">
        <v>2725</v>
      </c>
      <c r="F23" s="916" t="s">
        <v>937</v>
      </c>
      <c r="G23" s="913" t="s">
        <v>938</v>
      </c>
      <c r="H23" s="913" t="s">
        <v>939</v>
      </c>
      <c r="I23" s="913" t="s">
        <v>940</v>
      </c>
      <c r="J23" s="913" t="s">
        <v>939</v>
      </c>
      <c r="K23" s="913">
        <v>3</v>
      </c>
      <c r="L23" s="913">
        <v>5</v>
      </c>
      <c r="M23" s="917">
        <f>L23*E23</f>
        <v>13625</v>
      </c>
      <c r="N23" s="916"/>
      <c r="O23" s="916"/>
      <c r="P23" s="917">
        <f t="shared" ref="P23:P86" si="0">E23*O23</f>
        <v>0</v>
      </c>
    </row>
    <row r="24" spans="1:16" x14ac:dyDescent="0.2">
      <c r="A24" s="912" t="s">
        <v>874</v>
      </c>
      <c r="B24" s="913" t="s">
        <v>935</v>
      </c>
      <c r="C24" s="914" t="s">
        <v>80</v>
      </c>
      <c r="D24" s="912" t="s">
        <v>941</v>
      </c>
      <c r="E24" s="915">
        <v>2180</v>
      </c>
      <c r="F24" s="914">
        <v>43713762</v>
      </c>
      <c r="G24" s="912" t="s">
        <v>942</v>
      </c>
      <c r="H24" s="913" t="s">
        <v>943</v>
      </c>
      <c r="I24" s="913" t="s">
        <v>940</v>
      </c>
      <c r="J24" s="913" t="s">
        <v>943</v>
      </c>
      <c r="K24" s="913"/>
      <c r="L24" s="913"/>
      <c r="M24" s="917"/>
      <c r="N24" s="916">
        <v>2</v>
      </c>
      <c r="O24" s="916">
        <v>2</v>
      </c>
      <c r="P24" s="917">
        <f t="shared" si="0"/>
        <v>4360</v>
      </c>
    </row>
    <row r="25" spans="1:16" x14ac:dyDescent="0.2">
      <c r="A25" s="912" t="s">
        <v>874</v>
      </c>
      <c r="B25" s="913" t="s">
        <v>935</v>
      </c>
      <c r="C25" s="914" t="s">
        <v>80</v>
      </c>
      <c r="D25" s="913" t="s">
        <v>944</v>
      </c>
      <c r="E25" s="918">
        <v>1962</v>
      </c>
      <c r="F25" s="916" t="s">
        <v>945</v>
      </c>
      <c r="G25" s="913" t="s">
        <v>946</v>
      </c>
      <c r="H25" s="912" t="s">
        <v>944</v>
      </c>
      <c r="I25" s="912" t="s">
        <v>940</v>
      </c>
      <c r="J25" s="912" t="s">
        <v>947</v>
      </c>
      <c r="K25" s="919">
        <v>6</v>
      </c>
      <c r="L25" s="919">
        <v>10</v>
      </c>
      <c r="M25" s="917">
        <f>L25*E25</f>
        <v>19620</v>
      </c>
      <c r="N25" s="920">
        <v>3</v>
      </c>
      <c r="O25" s="920">
        <v>6</v>
      </c>
      <c r="P25" s="917">
        <f t="shared" si="0"/>
        <v>11772</v>
      </c>
    </row>
    <row r="26" spans="1:16" x14ac:dyDescent="0.2">
      <c r="A26" s="912" t="s">
        <v>874</v>
      </c>
      <c r="B26" s="912" t="s">
        <v>935</v>
      </c>
      <c r="C26" s="914" t="s">
        <v>80</v>
      </c>
      <c r="D26" s="913" t="s">
        <v>948</v>
      </c>
      <c r="E26" s="921">
        <v>2180</v>
      </c>
      <c r="F26" s="916" t="s">
        <v>949</v>
      </c>
      <c r="G26" s="913" t="s">
        <v>950</v>
      </c>
      <c r="H26" s="912" t="s">
        <v>951</v>
      </c>
      <c r="I26" s="912" t="s">
        <v>940</v>
      </c>
      <c r="J26" s="912" t="s">
        <v>951</v>
      </c>
      <c r="K26" s="919">
        <v>1</v>
      </c>
      <c r="L26" s="919">
        <v>1</v>
      </c>
      <c r="M26" s="917">
        <f>L26*E26</f>
        <v>2180</v>
      </c>
      <c r="N26" s="920"/>
      <c r="O26" s="920"/>
      <c r="P26" s="917">
        <f t="shared" si="0"/>
        <v>0</v>
      </c>
    </row>
    <row r="27" spans="1:16" x14ac:dyDescent="0.2">
      <c r="A27" s="912" t="s">
        <v>874</v>
      </c>
      <c r="B27" s="912" t="s">
        <v>935</v>
      </c>
      <c r="C27" s="914" t="s">
        <v>80</v>
      </c>
      <c r="D27" s="913" t="s">
        <v>952</v>
      </c>
      <c r="E27" s="921">
        <v>2180</v>
      </c>
      <c r="F27" s="916" t="s">
        <v>953</v>
      </c>
      <c r="G27" s="913" t="s">
        <v>954</v>
      </c>
      <c r="H27" s="912" t="s">
        <v>955</v>
      </c>
      <c r="I27" s="912" t="s">
        <v>940</v>
      </c>
      <c r="J27" s="912" t="s">
        <v>955</v>
      </c>
      <c r="K27" s="919">
        <v>1</v>
      </c>
      <c r="L27" s="919">
        <v>2</v>
      </c>
      <c r="M27" s="917">
        <f>L27*E27</f>
        <v>4360</v>
      </c>
      <c r="N27" s="920">
        <v>5</v>
      </c>
      <c r="O27" s="920">
        <v>5</v>
      </c>
      <c r="P27" s="917">
        <f t="shared" si="0"/>
        <v>10900</v>
      </c>
    </row>
    <row r="28" spans="1:16" x14ac:dyDescent="0.2">
      <c r="A28" s="912" t="s">
        <v>874</v>
      </c>
      <c r="B28" s="913" t="s">
        <v>935</v>
      </c>
      <c r="C28" s="914" t="s">
        <v>80</v>
      </c>
      <c r="D28" s="912" t="s">
        <v>956</v>
      </c>
      <c r="E28" s="915">
        <v>2725</v>
      </c>
      <c r="F28" s="914">
        <v>70008847</v>
      </c>
      <c r="G28" s="913" t="s">
        <v>957</v>
      </c>
      <c r="H28" s="913" t="s">
        <v>956</v>
      </c>
      <c r="I28" s="913" t="s">
        <v>940</v>
      </c>
      <c r="J28" s="913" t="s">
        <v>956</v>
      </c>
      <c r="K28" s="913"/>
      <c r="L28" s="913"/>
      <c r="M28" s="917"/>
      <c r="N28" s="916">
        <v>1</v>
      </c>
      <c r="O28" s="916">
        <v>1</v>
      </c>
      <c r="P28" s="917">
        <f t="shared" si="0"/>
        <v>2725</v>
      </c>
    </row>
    <row r="29" spans="1:16" x14ac:dyDescent="0.2">
      <c r="A29" s="912" t="s">
        <v>874</v>
      </c>
      <c r="B29" s="913" t="s">
        <v>935</v>
      </c>
      <c r="C29" s="914" t="s">
        <v>80</v>
      </c>
      <c r="D29" s="912" t="s">
        <v>958</v>
      </c>
      <c r="E29" s="915">
        <v>2616</v>
      </c>
      <c r="F29" s="914">
        <v>73684643</v>
      </c>
      <c r="G29" s="913" t="s">
        <v>959</v>
      </c>
      <c r="H29" s="913" t="s">
        <v>960</v>
      </c>
      <c r="I29" s="913" t="s">
        <v>940</v>
      </c>
      <c r="J29" s="913" t="s">
        <v>960</v>
      </c>
      <c r="K29" s="913"/>
      <c r="L29" s="913"/>
      <c r="M29" s="917"/>
      <c r="N29" s="916">
        <v>1</v>
      </c>
      <c r="O29" s="916">
        <v>1</v>
      </c>
      <c r="P29" s="917">
        <f t="shared" si="0"/>
        <v>2616</v>
      </c>
    </row>
    <row r="30" spans="1:16" x14ac:dyDescent="0.2">
      <c r="A30" s="912" t="s">
        <v>874</v>
      </c>
      <c r="B30" s="912" t="s">
        <v>935</v>
      </c>
      <c r="C30" s="914" t="s">
        <v>80</v>
      </c>
      <c r="D30" s="913" t="s">
        <v>958</v>
      </c>
      <c r="E30" s="921">
        <v>1635</v>
      </c>
      <c r="F30" s="916" t="s">
        <v>961</v>
      </c>
      <c r="G30" s="913" t="s">
        <v>962</v>
      </c>
      <c r="H30" s="912" t="s">
        <v>963</v>
      </c>
      <c r="I30" s="912" t="s">
        <v>940</v>
      </c>
      <c r="J30" s="912" t="s">
        <v>963</v>
      </c>
      <c r="K30" s="919">
        <v>1</v>
      </c>
      <c r="L30" s="919">
        <v>1</v>
      </c>
      <c r="M30" s="917">
        <f>L30*E30</f>
        <v>1635</v>
      </c>
      <c r="N30" s="920">
        <v>6</v>
      </c>
      <c r="O30" s="920">
        <v>6</v>
      </c>
      <c r="P30" s="917">
        <f t="shared" si="0"/>
        <v>9810</v>
      </c>
    </row>
    <row r="31" spans="1:16" x14ac:dyDescent="0.2">
      <c r="A31" s="912" t="s">
        <v>874</v>
      </c>
      <c r="B31" s="912" t="s">
        <v>935</v>
      </c>
      <c r="C31" s="914" t="s">
        <v>80</v>
      </c>
      <c r="D31" s="913" t="s">
        <v>964</v>
      </c>
      <c r="E31" s="921">
        <v>2725</v>
      </c>
      <c r="F31" s="916" t="s">
        <v>965</v>
      </c>
      <c r="G31" s="913" t="s">
        <v>966</v>
      </c>
      <c r="H31" s="912" t="s">
        <v>967</v>
      </c>
      <c r="I31" s="912" t="s">
        <v>940</v>
      </c>
      <c r="J31" s="912" t="s">
        <v>967</v>
      </c>
      <c r="K31" s="919">
        <v>5</v>
      </c>
      <c r="L31" s="919">
        <v>8</v>
      </c>
      <c r="M31" s="917">
        <f>L31*E31</f>
        <v>21800</v>
      </c>
      <c r="N31" s="920"/>
      <c r="O31" s="920"/>
      <c r="P31" s="917">
        <f t="shared" si="0"/>
        <v>0</v>
      </c>
    </row>
    <row r="32" spans="1:16" x14ac:dyDescent="0.2">
      <c r="A32" s="912" t="s">
        <v>874</v>
      </c>
      <c r="B32" s="912" t="s">
        <v>935</v>
      </c>
      <c r="C32" s="914" t="s">
        <v>80</v>
      </c>
      <c r="D32" s="913" t="s">
        <v>968</v>
      </c>
      <c r="E32" s="921">
        <v>3270</v>
      </c>
      <c r="F32" s="916" t="s">
        <v>969</v>
      </c>
      <c r="G32" s="913" t="s">
        <v>970</v>
      </c>
      <c r="H32" s="912" t="s">
        <v>956</v>
      </c>
      <c r="I32" s="912" t="s">
        <v>940</v>
      </c>
      <c r="J32" s="912" t="s">
        <v>956</v>
      </c>
      <c r="K32" s="919">
        <v>4</v>
      </c>
      <c r="L32" s="919">
        <v>6</v>
      </c>
      <c r="M32" s="917">
        <f>L32*E32</f>
        <v>19620</v>
      </c>
      <c r="N32" s="920"/>
      <c r="O32" s="920"/>
      <c r="P32" s="917">
        <f t="shared" si="0"/>
        <v>0</v>
      </c>
    </row>
    <row r="33" spans="1:16" x14ac:dyDescent="0.2">
      <c r="A33" s="912" t="s">
        <v>874</v>
      </c>
      <c r="B33" s="913" t="s">
        <v>935</v>
      </c>
      <c r="C33" s="914" t="s">
        <v>80</v>
      </c>
      <c r="D33" s="912" t="s">
        <v>971</v>
      </c>
      <c r="E33" s="915">
        <v>2398</v>
      </c>
      <c r="F33" s="914" t="s">
        <v>972</v>
      </c>
      <c r="G33" s="912" t="s">
        <v>973</v>
      </c>
      <c r="H33" s="913" t="s">
        <v>974</v>
      </c>
      <c r="I33" s="913" t="s">
        <v>940</v>
      </c>
      <c r="J33" s="913" t="s">
        <v>975</v>
      </c>
      <c r="K33" s="913"/>
      <c r="L33" s="913"/>
      <c r="M33" s="917"/>
      <c r="N33" s="916">
        <v>2</v>
      </c>
      <c r="O33" s="916">
        <v>2</v>
      </c>
      <c r="P33" s="917">
        <f t="shared" si="0"/>
        <v>4796</v>
      </c>
    </row>
    <row r="34" spans="1:16" x14ac:dyDescent="0.2">
      <c r="A34" s="912" t="s">
        <v>874</v>
      </c>
      <c r="B34" s="912" t="s">
        <v>935</v>
      </c>
      <c r="C34" s="914" t="s">
        <v>80</v>
      </c>
      <c r="D34" s="913" t="s">
        <v>976</v>
      </c>
      <c r="E34" s="921">
        <v>1144.5</v>
      </c>
      <c r="F34" s="916" t="s">
        <v>977</v>
      </c>
      <c r="G34" s="913" t="s">
        <v>978</v>
      </c>
      <c r="H34" s="912"/>
      <c r="I34" s="912"/>
      <c r="J34" s="912"/>
      <c r="K34" s="919">
        <v>3</v>
      </c>
      <c r="L34" s="919">
        <v>6</v>
      </c>
      <c r="M34" s="917">
        <f>L34*E34</f>
        <v>6867</v>
      </c>
      <c r="N34" s="920"/>
      <c r="O34" s="920"/>
      <c r="P34" s="917">
        <f t="shared" si="0"/>
        <v>0</v>
      </c>
    </row>
    <row r="35" spans="1:16" x14ac:dyDescent="0.2">
      <c r="A35" s="912" t="s">
        <v>874</v>
      </c>
      <c r="B35" s="913" t="s">
        <v>935</v>
      </c>
      <c r="C35" s="914" t="s">
        <v>80</v>
      </c>
      <c r="D35" s="912" t="s">
        <v>941</v>
      </c>
      <c r="E35" s="915">
        <v>2180</v>
      </c>
      <c r="F35" s="916">
        <v>29534222</v>
      </c>
      <c r="G35" s="912" t="s">
        <v>979</v>
      </c>
      <c r="H35" s="913" t="s">
        <v>980</v>
      </c>
      <c r="I35" s="913" t="s">
        <v>940</v>
      </c>
      <c r="J35" s="913" t="s">
        <v>981</v>
      </c>
      <c r="K35" s="913"/>
      <c r="L35" s="913"/>
      <c r="M35" s="917"/>
      <c r="N35" s="916">
        <v>2</v>
      </c>
      <c r="O35" s="916">
        <v>2</v>
      </c>
      <c r="P35" s="917">
        <f t="shared" si="0"/>
        <v>4360</v>
      </c>
    </row>
    <row r="36" spans="1:16" x14ac:dyDescent="0.2">
      <c r="A36" s="912" t="s">
        <v>874</v>
      </c>
      <c r="B36" s="913" t="s">
        <v>935</v>
      </c>
      <c r="C36" s="914" t="s">
        <v>80</v>
      </c>
      <c r="D36" s="913" t="s">
        <v>982</v>
      </c>
      <c r="E36" s="921">
        <v>2180</v>
      </c>
      <c r="F36" s="916" t="s">
        <v>983</v>
      </c>
      <c r="G36" s="913" t="s">
        <v>984</v>
      </c>
      <c r="H36" s="912" t="s">
        <v>985</v>
      </c>
      <c r="I36" s="912" t="s">
        <v>940</v>
      </c>
      <c r="J36" s="912" t="s">
        <v>986</v>
      </c>
      <c r="K36" s="919">
        <v>3</v>
      </c>
      <c r="L36" s="919">
        <v>6</v>
      </c>
      <c r="M36" s="917">
        <f>L36*E36</f>
        <v>13080</v>
      </c>
      <c r="N36" s="920">
        <v>3</v>
      </c>
      <c r="O36" s="920">
        <v>6</v>
      </c>
      <c r="P36" s="917">
        <f t="shared" si="0"/>
        <v>13080</v>
      </c>
    </row>
    <row r="37" spans="1:16" x14ac:dyDescent="0.2">
      <c r="A37" s="912" t="s">
        <v>874</v>
      </c>
      <c r="B37" s="913" t="s">
        <v>935</v>
      </c>
      <c r="C37" s="914" t="s">
        <v>80</v>
      </c>
      <c r="D37" s="912" t="s">
        <v>987</v>
      </c>
      <c r="E37" s="915">
        <v>1635</v>
      </c>
      <c r="F37" s="914" t="s">
        <v>988</v>
      </c>
      <c r="G37" s="913" t="s">
        <v>989</v>
      </c>
      <c r="H37" s="913" t="s">
        <v>987</v>
      </c>
      <c r="I37" s="913" t="s">
        <v>940</v>
      </c>
      <c r="J37" s="913" t="s">
        <v>990</v>
      </c>
      <c r="K37" s="913"/>
      <c r="L37" s="913"/>
      <c r="M37" s="917"/>
      <c r="N37" s="916">
        <v>2</v>
      </c>
      <c r="O37" s="916">
        <v>5</v>
      </c>
      <c r="P37" s="917">
        <f t="shared" si="0"/>
        <v>8175</v>
      </c>
    </row>
    <row r="38" spans="1:16" x14ac:dyDescent="0.2">
      <c r="A38" s="912" t="s">
        <v>874</v>
      </c>
      <c r="B38" s="913" t="s">
        <v>935</v>
      </c>
      <c r="C38" s="914" t="s">
        <v>80</v>
      </c>
      <c r="D38" s="913" t="s">
        <v>991</v>
      </c>
      <c r="E38" s="921">
        <v>2725</v>
      </c>
      <c r="F38" s="916" t="s">
        <v>992</v>
      </c>
      <c r="G38" s="913" t="s">
        <v>993</v>
      </c>
      <c r="H38" s="912" t="s">
        <v>994</v>
      </c>
      <c r="I38" s="912" t="s">
        <v>940</v>
      </c>
      <c r="J38" s="912" t="s">
        <v>994</v>
      </c>
      <c r="K38" s="919">
        <v>3</v>
      </c>
      <c r="L38" s="919">
        <v>6</v>
      </c>
      <c r="M38" s="917">
        <f t="shared" ref="M38:M50" si="1">L38*E38</f>
        <v>16350</v>
      </c>
      <c r="N38" s="920"/>
      <c r="O38" s="920"/>
      <c r="P38" s="917">
        <f t="shared" si="0"/>
        <v>0</v>
      </c>
    </row>
    <row r="39" spans="1:16" x14ac:dyDescent="0.2">
      <c r="A39" s="912" t="s">
        <v>874</v>
      </c>
      <c r="B39" s="922" t="s">
        <v>935</v>
      </c>
      <c r="C39" s="914" t="s">
        <v>80</v>
      </c>
      <c r="D39" s="913" t="s">
        <v>958</v>
      </c>
      <c r="E39" s="921">
        <v>1635</v>
      </c>
      <c r="F39" s="916" t="s">
        <v>995</v>
      </c>
      <c r="G39" s="913" t="s">
        <v>996</v>
      </c>
      <c r="H39" s="912" t="s">
        <v>997</v>
      </c>
      <c r="I39" s="912" t="s">
        <v>940</v>
      </c>
      <c r="J39" s="912" t="s">
        <v>997</v>
      </c>
      <c r="K39" s="919">
        <v>2</v>
      </c>
      <c r="L39" s="919">
        <v>4</v>
      </c>
      <c r="M39" s="917">
        <f t="shared" si="1"/>
        <v>6540</v>
      </c>
      <c r="N39" s="920">
        <v>6</v>
      </c>
      <c r="O39" s="920">
        <v>6</v>
      </c>
      <c r="P39" s="917">
        <f t="shared" si="0"/>
        <v>9810</v>
      </c>
    </row>
    <row r="40" spans="1:16" x14ac:dyDescent="0.2">
      <c r="A40" s="912" t="s">
        <v>874</v>
      </c>
      <c r="B40" s="922" t="s">
        <v>935</v>
      </c>
      <c r="C40" s="914" t="s">
        <v>80</v>
      </c>
      <c r="D40" s="923" t="s">
        <v>998</v>
      </c>
      <c r="E40" s="921">
        <v>3270</v>
      </c>
      <c r="F40" s="916" t="s">
        <v>999</v>
      </c>
      <c r="G40" s="913" t="s">
        <v>1000</v>
      </c>
      <c r="H40" s="912" t="s">
        <v>951</v>
      </c>
      <c r="I40" s="912" t="s">
        <v>940</v>
      </c>
      <c r="J40" s="912" t="s">
        <v>951</v>
      </c>
      <c r="K40" s="919">
        <v>6</v>
      </c>
      <c r="L40" s="919">
        <v>10</v>
      </c>
      <c r="M40" s="917">
        <f t="shared" si="1"/>
        <v>32700</v>
      </c>
      <c r="N40" s="920">
        <v>3</v>
      </c>
      <c r="O40" s="920">
        <v>6</v>
      </c>
      <c r="P40" s="917">
        <f t="shared" si="0"/>
        <v>19620</v>
      </c>
    </row>
    <row r="41" spans="1:16" x14ac:dyDescent="0.2">
      <c r="A41" s="912" t="s">
        <v>874</v>
      </c>
      <c r="B41" s="922" t="s">
        <v>935</v>
      </c>
      <c r="C41" s="914" t="s">
        <v>80</v>
      </c>
      <c r="D41" s="913" t="s">
        <v>952</v>
      </c>
      <c r="E41" s="921">
        <v>2180</v>
      </c>
      <c r="F41" s="916" t="s">
        <v>1001</v>
      </c>
      <c r="G41" s="913" t="s">
        <v>1002</v>
      </c>
      <c r="H41" s="912" t="s">
        <v>1003</v>
      </c>
      <c r="I41" s="912" t="s">
        <v>940</v>
      </c>
      <c r="J41" s="912" t="s">
        <v>1003</v>
      </c>
      <c r="K41" s="919"/>
      <c r="L41" s="919"/>
      <c r="M41" s="917">
        <f t="shared" si="1"/>
        <v>0</v>
      </c>
      <c r="N41" s="920"/>
      <c r="O41" s="920"/>
      <c r="P41" s="917">
        <f t="shared" si="0"/>
        <v>0</v>
      </c>
    </row>
    <row r="42" spans="1:16" x14ac:dyDescent="0.2">
      <c r="A42" s="912" t="s">
        <v>874</v>
      </c>
      <c r="B42" s="922" t="s">
        <v>935</v>
      </c>
      <c r="C42" s="914" t="s">
        <v>80</v>
      </c>
      <c r="D42" s="913" t="s">
        <v>958</v>
      </c>
      <c r="E42" s="921">
        <v>2180</v>
      </c>
      <c r="F42" s="916" t="s">
        <v>1004</v>
      </c>
      <c r="G42" s="913" t="s">
        <v>1005</v>
      </c>
      <c r="H42" s="912" t="s">
        <v>1006</v>
      </c>
      <c r="I42" s="912" t="s">
        <v>940</v>
      </c>
      <c r="J42" s="912" t="s">
        <v>1007</v>
      </c>
      <c r="K42" s="919">
        <v>3</v>
      </c>
      <c r="L42" s="919">
        <v>6</v>
      </c>
      <c r="M42" s="917">
        <f t="shared" si="1"/>
        <v>13080</v>
      </c>
      <c r="N42" s="920">
        <v>3</v>
      </c>
      <c r="O42" s="920">
        <v>6</v>
      </c>
      <c r="P42" s="917">
        <f t="shared" si="0"/>
        <v>13080</v>
      </c>
    </row>
    <row r="43" spans="1:16" x14ac:dyDescent="0.2">
      <c r="A43" s="912" t="s">
        <v>874</v>
      </c>
      <c r="B43" s="913" t="s">
        <v>935</v>
      </c>
      <c r="C43" s="914" t="s">
        <v>80</v>
      </c>
      <c r="D43" s="913" t="s">
        <v>1008</v>
      </c>
      <c r="E43" s="921">
        <v>3815</v>
      </c>
      <c r="F43" s="916" t="s">
        <v>1009</v>
      </c>
      <c r="G43" s="913" t="s">
        <v>1010</v>
      </c>
      <c r="H43" s="912" t="s">
        <v>1011</v>
      </c>
      <c r="I43" s="912" t="s">
        <v>940</v>
      </c>
      <c r="J43" s="912" t="s">
        <v>1011</v>
      </c>
      <c r="K43" s="919">
        <v>2</v>
      </c>
      <c r="L43" s="919">
        <v>6</v>
      </c>
      <c r="M43" s="917">
        <f t="shared" si="1"/>
        <v>22890</v>
      </c>
      <c r="N43" s="920">
        <v>2</v>
      </c>
      <c r="O43" s="920">
        <v>6</v>
      </c>
      <c r="P43" s="917">
        <f t="shared" si="0"/>
        <v>22890</v>
      </c>
    </row>
    <row r="44" spans="1:16" x14ac:dyDescent="0.2">
      <c r="A44" s="912" t="s">
        <v>874</v>
      </c>
      <c r="B44" s="922" t="s">
        <v>935</v>
      </c>
      <c r="C44" s="914" t="s">
        <v>80</v>
      </c>
      <c r="D44" s="913" t="s">
        <v>1012</v>
      </c>
      <c r="E44" s="921">
        <v>1962</v>
      </c>
      <c r="F44" s="916" t="s">
        <v>1013</v>
      </c>
      <c r="G44" s="913" t="s">
        <v>1014</v>
      </c>
      <c r="H44" s="912" t="s">
        <v>1015</v>
      </c>
      <c r="I44" s="912" t="s">
        <v>940</v>
      </c>
      <c r="J44" s="912" t="s">
        <v>1015</v>
      </c>
      <c r="K44" s="919">
        <v>1</v>
      </c>
      <c r="L44" s="919">
        <v>1</v>
      </c>
      <c r="M44" s="917">
        <f t="shared" si="1"/>
        <v>1962</v>
      </c>
      <c r="N44" s="920"/>
      <c r="O44" s="920"/>
      <c r="P44" s="917">
        <f t="shared" si="0"/>
        <v>0</v>
      </c>
    </row>
    <row r="45" spans="1:16" x14ac:dyDescent="0.2">
      <c r="A45" s="912" t="s">
        <v>874</v>
      </c>
      <c r="B45" s="913" t="s">
        <v>935</v>
      </c>
      <c r="C45" s="914" t="s">
        <v>80</v>
      </c>
      <c r="D45" s="913" t="s">
        <v>1016</v>
      </c>
      <c r="E45" s="921">
        <v>1417</v>
      </c>
      <c r="F45" s="916" t="s">
        <v>1017</v>
      </c>
      <c r="G45" s="913" t="s">
        <v>1018</v>
      </c>
      <c r="H45" s="912" t="s">
        <v>1019</v>
      </c>
      <c r="I45" s="912" t="s">
        <v>1020</v>
      </c>
      <c r="J45" s="912"/>
      <c r="K45" s="919">
        <v>4</v>
      </c>
      <c r="L45" s="919">
        <v>6</v>
      </c>
      <c r="M45" s="917">
        <f t="shared" si="1"/>
        <v>8502</v>
      </c>
      <c r="N45" s="920"/>
      <c r="O45" s="920"/>
      <c r="P45" s="917">
        <f t="shared" si="0"/>
        <v>0</v>
      </c>
    </row>
    <row r="46" spans="1:16" x14ac:dyDescent="0.2">
      <c r="A46" s="912" t="s">
        <v>874</v>
      </c>
      <c r="B46" s="913" t="s">
        <v>935</v>
      </c>
      <c r="C46" s="914" t="s">
        <v>80</v>
      </c>
      <c r="D46" s="923" t="s">
        <v>1021</v>
      </c>
      <c r="E46" s="921">
        <v>3270</v>
      </c>
      <c r="F46" s="916" t="s">
        <v>1022</v>
      </c>
      <c r="G46" s="913" t="s">
        <v>1023</v>
      </c>
      <c r="H46" s="912" t="s">
        <v>1024</v>
      </c>
      <c r="I46" s="912" t="s">
        <v>940</v>
      </c>
      <c r="J46" s="912" t="s">
        <v>1024</v>
      </c>
      <c r="K46" s="919">
        <v>6</v>
      </c>
      <c r="L46" s="919">
        <v>10</v>
      </c>
      <c r="M46" s="917">
        <f t="shared" si="1"/>
        <v>32700</v>
      </c>
      <c r="N46" s="920">
        <v>3</v>
      </c>
      <c r="O46" s="920">
        <v>6</v>
      </c>
      <c r="P46" s="917">
        <f t="shared" si="0"/>
        <v>19620</v>
      </c>
    </row>
    <row r="47" spans="1:16" x14ac:dyDescent="0.2">
      <c r="A47" s="912" t="s">
        <v>874</v>
      </c>
      <c r="B47" s="913" t="s">
        <v>935</v>
      </c>
      <c r="C47" s="914" t="s">
        <v>80</v>
      </c>
      <c r="D47" s="913" t="s">
        <v>1025</v>
      </c>
      <c r="E47" s="921">
        <v>1417</v>
      </c>
      <c r="F47" s="916" t="s">
        <v>1026</v>
      </c>
      <c r="G47" s="913" t="s">
        <v>1027</v>
      </c>
      <c r="H47" s="912" t="s">
        <v>980</v>
      </c>
      <c r="I47" s="912" t="s">
        <v>940</v>
      </c>
      <c r="J47" s="912" t="s">
        <v>1028</v>
      </c>
      <c r="K47" s="919">
        <v>3</v>
      </c>
      <c r="L47" s="919">
        <v>6</v>
      </c>
      <c r="M47" s="917">
        <f t="shared" si="1"/>
        <v>8502</v>
      </c>
      <c r="N47" s="920"/>
      <c r="O47" s="920"/>
      <c r="P47" s="917">
        <f t="shared" si="0"/>
        <v>0</v>
      </c>
    </row>
    <row r="48" spans="1:16" x14ac:dyDescent="0.2">
      <c r="A48" s="912" t="s">
        <v>874</v>
      </c>
      <c r="B48" s="922" t="s">
        <v>935</v>
      </c>
      <c r="C48" s="914" t="s">
        <v>80</v>
      </c>
      <c r="D48" s="913" t="s">
        <v>1029</v>
      </c>
      <c r="E48" s="921">
        <v>2180</v>
      </c>
      <c r="F48" s="916" t="s">
        <v>1030</v>
      </c>
      <c r="G48" s="913" t="s">
        <v>1031</v>
      </c>
      <c r="H48" s="912" t="s">
        <v>1032</v>
      </c>
      <c r="I48" s="912" t="s">
        <v>940</v>
      </c>
      <c r="J48" s="912" t="s">
        <v>1032</v>
      </c>
      <c r="K48" s="919">
        <v>5</v>
      </c>
      <c r="L48" s="919">
        <v>8</v>
      </c>
      <c r="M48" s="917">
        <f t="shared" si="1"/>
        <v>17440</v>
      </c>
      <c r="N48" s="920">
        <v>2</v>
      </c>
      <c r="O48" s="920">
        <v>2</v>
      </c>
      <c r="P48" s="917">
        <f t="shared" si="0"/>
        <v>4360</v>
      </c>
    </row>
    <row r="49" spans="1:16" x14ac:dyDescent="0.2">
      <c r="A49" s="912" t="s">
        <v>874</v>
      </c>
      <c r="B49" s="922" t="s">
        <v>935</v>
      </c>
      <c r="C49" s="914" t="s">
        <v>80</v>
      </c>
      <c r="D49" s="913" t="s">
        <v>1033</v>
      </c>
      <c r="E49" s="921">
        <v>2725</v>
      </c>
      <c r="F49" s="916" t="s">
        <v>1034</v>
      </c>
      <c r="G49" s="913" t="s">
        <v>1035</v>
      </c>
      <c r="H49" s="912" t="s">
        <v>951</v>
      </c>
      <c r="I49" s="912" t="s">
        <v>1036</v>
      </c>
      <c r="J49" s="912" t="s">
        <v>951</v>
      </c>
      <c r="K49" s="919">
        <v>2</v>
      </c>
      <c r="L49" s="919">
        <v>5</v>
      </c>
      <c r="M49" s="917">
        <f t="shared" si="1"/>
        <v>13625</v>
      </c>
      <c r="N49" s="920">
        <v>2</v>
      </c>
      <c r="O49" s="920">
        <v>3</v>
      </c>
      <c r="P49" s="917">
        <f t="shared" si="0"/>
        <v>8175</v>
      </c>
    </row>
    <row r="50" spans="1:16" x14ac:dyDescent="0.2">
      <c r="A50" s="912" t="s">
        <v>874</v>
      </c>
      <c r="B50" s="922" t="s">
        <v>935</v>
      </c>
      <c r="C50" s="914" t="s">
        <v>80</v>
      </c>
      <c r="D50" s="913" t="s">
        <v>1033</v>
      </c>
      <c r="E50" s="921">
        <v>2725</v>
      </c>
      <c r="F50" s="916" t="s">
        <v>1037</v>
      </c>
      <c r="G50" s="913" t="s">
        <v>1038</v>
      </c>
      <c r="H50" s="912" t="s">
        <v>956</v>
      </c>
      <c r="I50" s="912" t="s">
        <v>1036</v>
      </c>
      <c r="J50" s="912" t="s">
        <v>956</v>
      </c>
      <c r="K50" s="919">
        <v>2</v>
      </c>
      <c r="L50" s="919">
        <v>5</v>
      </c>
      <c r="M50" s="917">
        <f t="shared" si="1"/>
        <v>13625</v>
      </c>
      <c r="N50" s="920">
        <v>4</v>
      </c>
      <c r="O50" s="920">
        <v>4</v>
      </c>
      <c r="P50" s="917">
        <f t="shared" si="0"/>
        <v>10900</v>
      </c>
    </row>
    <row r="51" spans="1:16" x14ac:dyDescent="0.2">
      <c r="A51" s="912" t="s">
        <v>874</v>
      </c>
      <c r="B51" s="913" t="s">
        <v>935</v>
      </c>
      <c r="C51" s="914" t="s">
        <v>80</v>
      </c>
      <c r="D51" s="913" t="s">
        <v>952</v>
      </c>
      <c r="E51" s="915">
        <v>2180</v>
      </c>
      <c r="F51" s="916">
        <v>29624487</v>
      </c>
      <c r="G51" s="913" t="s">
        <v>1039</v>
      </c>
      <c r="H51" s="913" t="s">
        <v>955</v>
      </c>
      <c r="I51" s="913" t="s">
        <v>940</v>
      </c>
      <c r="J51" s="913" t="s">
        <v>955</v>
      </c>
      <c r="K51" s="913"/>
      <c r="L51" s="913"/>
      <c r="M51" s="917"/>
      <c r="N51" s="916">
        <v>2</v>
      </c>
      <c r="O51" s="916">
        <v>4</v>
      </c>
      <c r="P51" s="917">
        <f t="shared" si="0"/>
        <v>8720</v>
      </c>
    </row>
    <row r="52" spans="1:16" x14ac:dyDescent="0.2">
      <c r="A52" s="912" t="s">
        <v>874</v>
      </c>
      <c r="B52" s="922" t="s">
        <v>935</v>
      </c>
      <c r="C52" s="914" t="s">
        <v>80</v>
      </c>
      <c r="D52" s="913" t="s">
        <v>948</v>
      </c>
      <c r="E52" s="921">
        <v>2507</v>
      </c>
      <c r="F52" s="916" t="s">
        <v>1040</v>
      </c>
      <c r="G52" s="913" t="s">
        <v>1041</v>
      </c>
      <c r="H52" s="912" t="s">
        <v>1007</v>
      </c>
      <c r="I52" s="912" t="s">
        <v>940</v>
      </c>
      <c r="J52" s="912"/>
      <c r="K52" s="919">
        <v>6</v>
      </c>
      <c r="L52" s="919">
        <v>10</v>
      </c>
      <c r="M52" s="917">
        <f t="shared" ref="M52:M63" si="2">L52*E52</f>
        <v>25070</v>
      </c>
      <c r="N52" s="920">
        <v>6</v>
      </c>
      <c r="O52" s="920">
        <v>6</v>
      </c>
      <c r="P52" s="917">
        <f t="shared" si="0"/>
        <v>15042</v>
      </c>
    </row>
    <row r="53" spans="1:16" x14ac:dyDescent="0.2">
      <c r="A53" s="912" t="s">
        <v>874</v>
      </c>
      <c r="B53" s="922" t="s">
        <v>935</v>
      </c>
      <c r="C53" s="914" t="s">
        <v>80</v>
      </c>
      <c r="D53" s="913" t="s">
        <v>952</v>
      </c>
      <c r="E53" s="921">
        <v>2180</v>
      </c>
      <c r="F53" s="916" t="s">
        <v>1042</v>
      </c>
      <c r="G53" s="913" t="s">
        <v>1043</v>
      </c>
      <c r="H53" s="912" t="s">
        <v>1044</v>
      </c>
      <c r="I53" s="912" t="s">
        <v>940</v>
      </c>
      <c r="J53" s="912" t="s">
        <v>1044</v>
      </c>
      <c r="K53" s="919">
        <v>5</v>
      </c>
      <c r="L53" s="919">
        <v>7</v>
      </c>
      <c r="M53" s="917">
        <f t="shared" si="2"/>
        <v>15260</v>
      </c>
      <c r="N53" s="920">
        <v>5</v>
      </c>
      <c r="O53" s="920">
        <v>5</v>
      </c>
      <c r="P53" s="917">
        <f t="shared" si="0"/>
        <v>10900</v>
      </c>
    </row>
    <row r="54" spans="1:16" x14ac:dyDescent="0.2">
      <c r="A54" s="912" t="s">
        <v>874</v>
      </c>
      <c r="B54" s="922" t="s">
        <v>935</v>
      </c>
      <c r="C54" s="914" t="s">
        <v>80</v>
      </c>
      <c r="D54" s="913" t="s">
        <v>1045</v>
      </c>
      <c r="E54" s="921">
        <v>3052</v>
      </c>
      <c r="F54" s="916" t="s">
        <v>1046</v>
      </c>
      <c r="G54" s="913" t="s">
        <v>1047</v>
      </c>
      <c r="H54" s="912" t="s">
        <v>1048</v>
      </c>
      <c r="I54" s="912" t="s">
        <v>940</v>
      </c>
      <c r="J54" s="912" t="s">
        <v>1048</v>
      </c>
      <c r="K54" s="919">
        <v>5</v>
      </c>
      <c r="L54" s="919">
        <v>8</v>
      </c>
      <c r="M54" s="917">
        <f t="shared" si="2"/>
        <v>24416</v>
      </c>
      <c r="N54" s="920">
        <v>6</v>
      </c>
      <c r="O54" s="920">
        <v>6</v>
      </c>
      <c r="P54" s="917">
        <f t="shared" si="0"/>
        <v>18312</v>
      </c>
    </row>
    <row r="55" spans="1:16" x14ac:dyDescent="0.2">
      <c r="A55" s="912" t="s">
        <v>874</v>
      </c>
      <c r="B55" s="922" t="s">
        <v>935</v>
      </c>
      <c r="C55" s="914" t="s">
        <v>80</v>
      </c>
      <c r="D55" s="913" t="s">
        <v>1049</v>
      </c>
      <c r="E55" s="921">
        <v>4360</v>
      </c>
      <c r="F55" s="916" t="s">
        <v>1050</v>
      </c>
      <c r="G55" s="913" t="s">
        <v>1051</v>
      </c>
      <c r="H55" s="912" t="s">
        <v>986</v>
      </c>
      <c r="I55" s="912" t="s">
        <v>940</v>
      </c>
      <c r="J55" s="912" t="s">
        <v>985</v>
      </c>
      <c r="K55" s="919">
        <v>6</v>
      </c>
      <c r="L55" s="919">
        <v>9</v>
      </c>
      <c r="M55" s="917">
        <f t="shared" si="2"/>
        <v>39240</v>
      </c>
      <c r="N55" s="920">
        <v>3</v>
      </c>
      <c r="O55" s="920">
        <v>6</v>
      </c>
      <c r="P55" s="917">
        <f t="shared" si="0"/>
        <v>26160</v>
      </c>
    </row>
    <row r="56" spans="1:16" x14ac:dyDescent="0.2">
      <c r="A56" s="912" t="s">
        <v>874</v>
      </c>
      <c r="B56" s="913" t="s">
        <v>935</v>
      </c>
      <c r="C56" s="914" t="s">
        <v>80</v>
      </c>
      <c r="D56" s="913" t="s">
        <v>1052</v>
      </c>
      <c r="E56" s="921">
        <v>1013.7</v>
      </c>
      <c r="F56" s="916" t="s">
        <v>1053</v>
      </c>
      <c r="G56" s="913" t="s">
        <v>1054</v>
      </c>
      <c r="H56" s="912" t="s">
        <v>1019</v>
      </c>
      <c r="I56" s="912" t="s">
        <v>1020</v>
      </c>
      <c r="J56" s="912"/>
      <c r="K56" s="919">
        <v>7</v>
      </c>
      <c r="L56" s="919">
        <v>12</v>
      </c>
      <c r="M56" s="917">
        <f t="shared" si="2"/>
        <v>12164.400000000001</v>
      </c>
      <c r="N56" s="920">
        <v>2</v>
      </c>
      <c r="O56" s="920">
        <v>5</v>
      </c>
      <c r="P56" s="917">
        <f t="shared" si="0"/>
        <v>5068.5</v>
      </c>
    </row>
    <row r="57" spans="1:16" x14ac:dyDescent="0.2">
      <c r="A57" s="912" t="s">
        <v>874</v>
      </c>
      <c r="B57" s="922" t="s">
        <v>935</v>
      </c>
      <c r="C57" s="914" t="s">
        <v>80</v>
      </c>
      <c r="D57" s="913" t="s">
        <v>958</v>
      </c>
      <c r="E57" s="921">
        <v>1635</v>
      </c>
      <c r="F57" s="916" t="s">
        <v>1055</v>
      </c>
      <c r="G57" s="913" t="s">
        <v>1056</v>
      </c>
      <c r="H57" s="912" t="s">
        <v>1007</v>
      </c>
      <c r="I57" s="912" t="s">
        <v>940</v>
      </c>
      <c r="J57" s="912" t="s">
        <v>1007</v>
      </c>
      <c r="K57" s="919">
        <v>5</v>
      </c>
      <c r="L57" s="919">
        <v>7</v>
      </c>
      <c r="M57" s="917">
        <f t="shared" si="2"/>
        <v>11445</v>
      </c>
      <c r="N57" s="920"/>
      <c r="O57" s="920"/>
      <c r="P57" s="917">
        <f t="shared" si="0"/>
        <v>0</v>
      </c>
    </row>
    <row r="58" spans="1:16" x14ac:dyDescent="0.2">
      <c r="A58" s="912" t="s">
        <v>874</v>
      </c>
      <c r="B58" s="913" t="s">
        <v>935</v>
      </c>
      <c r="C58" s="914" t="s">
        <v>80</v>
      </c>
      <c r="D58" s="923" t="s">
        <v>1057</v>
      </c>
      <c r="E58" s="921">
        <v>1417</v>
      </c>
      <c r="F58" s="916" t="s">
        <v>1058</v>
      </c>
      <c r="G58" s="913" t="s">
        <v>1059</v>
      </c>
      <c r="H58" s="912"/>
      <c r="I58" s="912"/>
      <c r="J58" s="912"/>
      <c r="K58" s="919"/>
      <c r="L58" s="919">
        <v>12</v>
      </c>
      <c r="M58" s="917">
        <f t="shared" si="2"/>
        <v>17004</v>
      </c>
      <c r="N58" s="920"/>
      <c r="O58" s="920"/>
      <c r="P58" s="917">
        <f t="shared" si="0"/>
        <v>0</v>
      </c>
    </row>
    <row r="59" spans="1:16" x14ac:dyDescent="0.2">
      <c r="A59" s="912" t="s">
        <v>874</v>
      </c>
      <c r="B59" s="922" t="s">
        <v>935</v>
      </c>
      <c r="C59" s="914" t="s">
        <v>80</v>
      </c>
      <c r="D59" s="913" t="s">
        <v>958</v>
      </c>
      <c r="E59" s="921">
        <v>1635</v>
      </c>
      <c r="F59" s="916" t="s">
        <v>1060</v>
      </c>
      <c r="G59" s="913" t="s">
        <v>1061</v>
      </c>
      <c r="H59" s="912" t="s">
        <v>1062</v>
      </c>
      <c r="I59" s="912" t="s">
        <v>940</v>
      </c>
      <c r="J59" s="912" t="s">
        <v>1062</v>
      </c>
      <c r="K59" s="919">
        <v>5</v>
      </c>
      <c r="L59" s="919">
        <v>8</v>
      </c>
      <c r="M59" s="917">
        <f t="shared" si="2"/>
        <v>13080</v>
      </c>
      <c r="N59" s="920"/>
      <c r="O59" s="920"/>
      <c r="P59" s="917">
        <f t="shared" si="0"/>
        <v>0</v>
      </c>
    </row>
    <row r="60" spans="1:16" x14ac:dyDescent="0.2">
      <c r="A60" s="912" t="s">
        <v>874</v>
      </c>
      <c r="B60" s="922" t="s">
        <v>935</v>
      </c>
      <c r="C60" s="914" t="s">
        <v>80</v>
      </c>
      <c r="D60" s="913" t="s">
        <v>1063</v>
      </c>
      <c r="E60" s="921">
        <v>1635</v>
      </c>
      <c r="F60" s="916" t="s">
        <v>1064</v>
      </c>
      <c r="G60" s="913" t="s">
        <v>1065</v>
      </c>
      <c r="H60" s="912" t="s">
        <v>1066</v>
      </c>
      <c r="I60" s="912" t="s">
        <v>940</v>
      </c>
      <c r="J60" s="912" t="s">
        <v>1067</v>
      </c>
      <c r="K60" s="919">
        <v>1</v>
      </c>
      <c r="L60" s="919">
        <v>3</v>
      </c>
      <c r="M60" s="917">
        <f t="shared" si="2"/>
        <v>4905</v>
      </c>
      <c r="N60" s="920"/>
      <c r="O60" s="920"/>
      <c r="P60" s="917">
        <f t="shared" si="0"/>
        <v>0</v>
      </c>
    </row>
    <row r="61" spans="1:16" x14ac:dyDescent="0.2">
      <c r="A61" s="912" t="s">
        <v>874</v>
      </c>
      <c r="B61" s="922" t="s">
        <v>935</v>
      </c>
      <c r="C61" s="914" t="s">
        <v>80</v>
      </c>
      <c r="D61" s="913" t="s">
        <v>958</v>
      </c>
      <c r="E61" s="921">
        <v>1635</v>
      </c>
      <c r="F61" s="916" t="s">
        <v>1068</v>
      </c>
      <c r="G61" s="913" t="s">
        <v>1069</v>
      </c>
      <c r="H61" s="912"/>
      <c r="I61" s="912"/>
      <c r="J61" s="912"/>
      <c r="K61" s="919">
        <v>6</v>
      </c>
      <c r="L61" s="919">
        <v>9</v>
      </c>
      <c r="M61" s="917">
        <f t="shared" si="2"/>
        <v>14715</v>
      </c>
      <c r="N61" s="920">
        <v>6</v>
      </c>
      <c r="O61" s="920">
        <v>6</v>
      </c>
      <c r="P61" s="917">
        <f t="shared" si="0"/>
        <v>9810</v>
      </c>
    </row>
    <row r="62" spans="1:16" x14ac:dyDescent="0.2">
      <c r="A62" s="912" t="s">
        <v>874</v>
      </c>
      <c r="B62" s="922" t="s">
        <v>935</v>
      </c>
      <c r="C62" s="914" t="s">
        <v>80</v>
      </c>
      <c r="D62" s="913" t="s">
        <v>1070</v>
      </c>
      <c r="E62" s="921">
        <v>4905</v>
      </c>
      <c r="F62" s="916" t="s">
        <v>1071</v>
      </c>
      <c r="G62" s="913" t="s">
        <v>1072</v>
      </c>
      <c r="H62" s="912" t="s">
        <v>956</v>
      </c>
      <c r="I62" s="912" t="s">
        <v>1036</v>
      </c>
      <c r="J62" s="912" t="s">
        <v>956</v>
      </c>
      <c r="K62" s="919">
        <v>2</v>
      </c>
      <c r="L62" s="919">
        <v>4</v>
      </c>
      <c r="M62" s="917">
        <f t="shared" si="2"/>
        <v>19620</v>
      </c>
      <c r="N62" s="920">
        <v>3</v>
      </c>
      <c r="O62" s="920">
        <v>6</v>
      </c>
      <c r="P62" s="917">
        <f t="shared" si="0"/>
        <v>29430</v>
      </c>
    </row>
    <row r="63" spans="1:16" x14ac:dyDescent="0.2">
      <c r="A63" s="912" t="s">
        <v>874</v>
      </c>
      <c r="B63" s="922" t="s">
        <v>935</v>
      </c>
      <c r="C63" s="914" t="s">
        <v>80</v>
      </c>
      <c r="D63" s="913" t="s">
        <v>1073</v>
      </c>
      <c r="E63" s="921">
        <v>3270</v>
      </c>
      <c r="F63" s="916" t="s">
        <v>1074</v>
      </c>
      <c r="G63" s="913" t="s">
        <v>1075</v>
      </c>
      <c r="H63" s="912" t="s">
        <v>951</v>
      </c>
      <c r="I63" s="912" t="s">
        <v>940</v>
      </c>
      <c r="J63" s="912" t="s">
        <v>951</v>
      </c>
      <c r="K63" s="919">
        <v>6</v>
      </c>
      <c r="L63" s="919">
        <v>10</v>
      </c>
      <c r="M63" s="917">
        <f t="shared" si="2"/>
        <v>32700</v>
      </c>
      <c r="N63" s="920"/>
      <c r="O63" s="920"/>
      <c r="P63" s="917">
        <f t="shared" si="0"/>
        <v>0</v>
      </c>
    </row>
    <row r="64" spans="1:16" x14ac:dyDescent="0.2">
      <c r="A64" s="912" t="s">
        <v>874</v>
      </c>
      <c r="B64" s="913" t="s">
        <v>935</v>
      </c>
      <c r="C64" s="914" t="s">
        <v>80</v>
      </c>
      <c r="D64" s="912" t="s">
        <v>1076</v>
      </c>
      <c r="E64" s="915">
        <v>2725</v>
      </c>
      <c r="F64" s="914">
        <v>29732380</v>
      </c>
      <c r="G64" s="913" t="s">
        <v>1077</v>
      </c>
      <c r="H64" s="913" t="s">
        <v>1078</v>
      </c>
      <c r="I64" s="913" t="s">
        <v>940</v>
      </c>
      <c r="J64" s="913" t="s">
        <v>1078</v>
      </c>
      <c r="K64" s="913"/>
      <c r="L64" s="913"/>
      <c r="M64" s="917"/>
      <c r="N64" s="916">
        <v>2</v>
      </c>
      <c r="O64" s="916">
        <v>4</v>
      </c>
      <c r="P64" s="917">
        <f t="shared" si="0"/>
        <v>10900</v>
      </c>
    </row>
    <row r="65" spans="1:16" x14ac:dyDescent="0.2">
      <c r="A65" s="912" t="s">
        <v>874</v>
      </c>
      <c r="B65" s="922" t="s">
        <v>935</v>
      </c>
      <c r="C65" s="914" t="s">
        <v>80</v>
      </c>
      <c r="D65" s="913" t="s">
        <v>956</v>
      </c>
      <c r="E65" s="921">
        <v>1962</v>
      </c>
      <c r="F65" s="916" t="s">
        <v>1079</v>
      </c>
      <c r="G65" s="913" t="s">
        <v>1080</v>
      </c>
      <c r="H65" s="912" t="s">
        <v>951</v>
      </c>
      <c r="I65" s="912" t="s">
        <v>1036</v>
      </c>
      <c r="J65" s="912" t="s">
        <v>951</v>
      </c>
      <c r="K65" s="919">
        <v>6</v>
      </c>
      <c r="L65" s="919">
        <v>9</v>
      </c>
      <c r="M65" s="917">
        <f>L65*E65</f>
        <v>17658</v>
      </c>
      <c r="N65" s="920">
        <v>3</v>
      </c>
      <c r="O65" s="920">
        <v>6</v>
      </c>
      <c r="P65" s="917">
        <f t="shared" si="0"/>
        <v>11772</v>
      </c>
    </row>
    <row r="66" spans="1:16" x14ac:dyDescent="0.2">
      <c r="A66" s="912" t="s">
        <v>874</v>
      </c>
      <c r="B66" s="913" t="s">
        <v>935</v>
      </c>
      <c r="C66" s="914" t="s">
        <v>80</v>
      </c>
      <c r="D66" s="923" t="s">
        <v>1081</v>
      </c>
      <c r="E66" s="921">
        <v>3270</v>
      </c>
      <c r="F66" s="916" t="s">
        <v>1082</v>
      </c>
      <c r="G66" s="913" t="s">
        <v>1083</v>
      </c>
      <c r="H66" s="912" t="s">
        <v>956</v>
      </c>
      <c r="I66" s="912" t="s">
        <v>940</v>
      </c>
      <c r="J66" s="912" t="s">
        <v>956</v>
      </c>
      <c r="K66" s="919">
        <v>6</v>
      </c>
      <c r="L66" s="919">
        <v>10</v>
      </c>
      <c r="M66" s="917">
        <f>L66*E66</f>
        <v>32700</v>
      </c>
      <c r="N66" s="920">
        <v>3</v>
      </c>
      <c r="O66" s="920">
        <v>6</v>
      </c>
      <c r="P66" s="917">
        <f t="shared" si="0"/>
        <v>19620</v>
      </c>
    </row>
    <row r="67" spans="1:16" x14ac:dyDescent="0.2">
      <c r="A67" s="912" t="s">
        <v>874</v>
      </c>
      <c r="B67" s="922" t="s">
        <v>935</v>
      </c>
      <c r="C67" s="914" t="s">
        <v>80</v>
      </c>
      <c r="D67" s="913" t="s">
        <v>958</v>
      </c>
      <c r="E67" s="921">
        <v>1635</v>
      </c>
      <c r="F67" s="916" t="s">
        <v>1084</v>
      </c>
      <c r="G67" s="913" t="s">
        <v>1085</v>
      </c>
      <c r="H67" s="912" t="s">
        <v>1086</v>
      </c>
      <c r="I67" s="912" t="s">
        <v>940</v>
      </c>
      <c r="J67" s="912" t="s">
        <v>1086</v>
      </c>
      <c r="K67" s="919">
        <v>6</v>
      </c>
      <c r="L67" s="919">
        <v>9</v>
      </c>
      <c r="M67" s="917">
        <f>L67*E67</f>
        <v>14715</v>
      </c>
      <c r="N67" s="920">
        <v>6</v>
      </c>
      <c r="O67" s="920">
        <v>6</v>
      </c>
      <c r="P67" s="917">
        <f t="shared" si="0"/>
        <v>9810</v>
      </c>
    </row>
    <row r="68" spans="1:16" x14ac:dyDescent="0.2">
      <c r="A68" s="912" t="s">
        <v>874</v>
      </c>
      <c r="B68" s="913" t="s">
        <v>935</v>
      </c>
      <c r="C68" s="914" t="s">
        <v>80</v>
      </c>
      <c r="D68" s="923" t="s">
        <v>1057</v>
      </c>
      <c r="E68" s="921">
        <v>1417</v>
      </c>
      <c r="F68" s="916" t="s">
        <v>1087</v>
      </c>
      <c r="G68" s="913" t="s">
        <v>1088</v>
      </c>
      <c r="H68" s="912" t="s">
        <v>1019</v>
      </c>
      <c r="I68" s="912" t="s">
        <v>1020</v>
      </c>
      <c r="J68" s="912"/>
      <c r="K68" s="919">
        <v>8</v>
      </c>
      <c r="L68" s="919">
        <v>12</v>
      </c>
      <c r="M68" s="917">
        <f>L68*E68</f>
        <v>17004</v>
      </c>
      <c r="N68" s="920">
        <v>4</v>
      </c>
      <c r="O68" s="920">
        <v>6</v>
      </c>
      <c r="P68" s="917">
        <f t="shared" si="0"/>
        <v>8502</v>
      </c>
    </row>
    <row r="69" spans="1:16" x14ac:dyDescent="0.2">
      <c r="A69" s="912" t="s">
        <v>874</v>
      </c>
      <c r="B69" s="924" t="s">
        <v>1089</v>
      </c>
      <c r="C69" s="914" t="s">
        <v>80</v>
      </c>
      <c r="D69" s="913" t="s">
        <v>956</v>
      </c>
      <c r="E69" s="921">
        <v>2725</v>
      </c>
      <c r="F69" s="916" t="s">
        <v>1090</v>
      </c>
      <c r="G69" s="913" t="s">
        <v>1091</v>
      </c>
      <c r="H69" s="912" t="s">
        <v>951</v>
      </c>
      <c r="I69" s="912" t="s">
        <v>1036</v>
      </c>
      <c r="J69" s="912" t="s">
        <v>951</v>
      </c>
      <c r="K69" s="919">
        <v>1</v>
      </c>
      <c r="L69" s="919">
        <v>1</v>
      </c>
      <c r="M69" s="917">
        <f>L69*E69</f>
        <v>2725</v>
      </c>
      <c r="N69" s="920">
        <v>6</v>
      </c>
      <c r="O69" s="920">
        <v>6</v>
      </c>
      <c r="P69" s="917">
        <f t="shared" si="0"/>
        <v>16350</v>
      </c>
    </row>
    <row r="70" spans="1:16" x14ac:dyDescent="0.2">
      <c r="A70" s="912" t="s">
        <v>874</v>
      </c>
      <c r="B70" s="913" t="s">
        <v>935</v>
      </c>
      <c r="C70" s="914" t="s">
        <v>80</v>
      </c>
      <c r="D70" s="912" t="s">
        <v>1092</v>
      </c>
      <c r="E70" s="915">
        <v>2725</v>
      </c>
      <c r="F70" s="914" t="s">
        <v>1093</v>
      </c>
      <c r="G70" s="912" t="s">
        <v>1094</v>
      </c>
      <c r="H70" s="913" t="s">
        <v>951</v>
      </c>
      <c r="I70" s="913" t="s">
        <v>940</v>
      </c>
      <c r="J70" s="913" t="s">
        <v>951</v>
      </c>
      <c r="K70" s="913"/>
      <c r="L70" s="913"/>
      <c r="M70" s="917"/>
      <c r="N70" s="916">
        <v>1</v>
      </c>
      <c r="O70" s="916">
        <v>1</v>
      </c>
      <c r="P70" s="917">
        <f t="shared" si="0"/>
        <v>2725</v>
      </c>
    </row>
    <row r="71" spans="1:16" x14ac:dyDescent="0.2">
      <c r="A71" s="912" t="s">
        <v>874</v>
      </c>
      <c r="B71" s="922" t="s">
        <v>935</v>
      </c>
      <c r="C71" s="914" t="s">
        <v>80</v>
      </c>
      <c r="D71" s="913" t="s">
        <v>1095</v>
      </c>
      <c r="E71" s="921">
        <v>1635</v>
      </c>
      <c r="F71" s="916" t="s">
        <v>1096</v>
      </c>
      <c r="G71" s="913" t="s">
        <v>1097</v>
      </c>
      <c r="H71" s="912" t="s">
        <v>1098</v>
      </c>
      <c r="I71" s="912" t="s">
        <v>940</v>
      </c>
      <c r="J71" s="912" t="s">
        <v>1098</v>
      </c>
      <c r="K71" s="919">
        <v>3</v>
      </c>
      <c r="L71" s="919">
        <v>6</v>
      </c>
      <c r="M71" s="917">
        <f>L71*E71</f>
        <v>9810</v>
      </c>
      <c r="N71" s="920">
        <v>5</v>
      </c>
      <c r="O71" s="920">
        <v>5</v>
      </c>
      <c r="P71" s="917">
        <f t="shared" si="0"/>
        <v>8175</v>
      </c>
    </row>
    <row r="72" spans="1:16" x14ac:dyDescent="0.2">
      <c r="A72" s="912" t="s">
        <v>874</v>
      </c>
      <c r="B72" s="913" t="s">
        <v>935</v>
      </c>
      <c r="C72" s="914" t="s">
        <v>80</v>
      </c>
      <c r="D72" s="912" t="s">
        <v>956</v>
      </c>
      <c r="E72" s="915">
        <v>2180</v>
      </c>
      <c r="F72" s="916">
        <v>74303592</v>
      </c>
      <c r="G72" s="912" t="s">
        <v>1099</v>
      </c>
      <c r="H72" s="913" t="s">
        <v>951</v>
      </c>
      <c r="I72" s="913" t="s">
        <v>940</v>
      </c>
      <c r="J72" s="913" t="s">
        <v>951</v>
      </c>
      <c r="K72" s="913"/>
      <c r="L72" s="913"/>
      <c r="M72" s="917"/>
      <c r="N72" s="916">
        <v>1</v>
      </c>
      <c r="O72" s="916">
        <v>1</v>
      </c>
      <c r="P72" s="917">
        <f t="shared" si="0"/>
        <v>2180</v>
      </c>
    </row>
    <row r="73" spans="1:16" x14ac:dyDescent="0.2">
      <c r="A73" s="912" t="s">
        <v>874</v>
      </c>
      <c r="B73" s="913" t="s">
        <v>935</v>
      </c>
      <c r="C73" s="914" t="s">
        <v>80</v>
      </c>
      <c r="D73" s="913" t="s">
        <v>1100</v>
      </c>
      <c r="E73" s="921">
        <v>3270</v>
      </c>
      <c r="F73" s="916">
        <v>70320774</v>
      </c>
      <c r="G73" s="913" t="s">
        <v>1101</v>
      </c>
      <c r="H73" s="912" t="s">
        <v>956</v>
      </c>
      <c r="I73" s="912" t="s">
        <v>940</v>
      </c>
      <c r="J73" s="912" t="s">
        <v>956</v>
      </c>
      <c r="K73" s="919">
        <v>3</v>
      </c>
      <c r="L73" s="919">
        <v>6</v>
      </c>
      <c r="M73" s="917">
        <f>L73*E73</f>
        <v>19620</v>
      </c>
      <c r="N73" s="920"/>
      <c r="O73" s="920"/>
      <c r="P73" s="917">
        <f t="shared" si="0"/>
        <v>0</v>
      </c>
    </row>
    <row r="74" spans="1:16" x14ac:dyDescent="0.2">
      <c r="A74" s="912" t="s">
        <v>874</v>
      </c>
      <c r="B74" s="913" t="s">
        <v>935</v>
      </c>
      <c r="C74" s="914" t="s">
        <v>80</v>
      </c>
      <c r="D74" s="913" t="s">
        <v>987</v>
      </c>
      <c r="E74" s="921">
        <v>1635</v>
      </c>
      <c r="F74" s="916" t="s">
        <v>1102</v>
      </c>
      <c r="G74" s="913" t="s">
        <v>1103</v>
      </c>
      <c r="H74" s="912" t="s">
        <v>987</v>
      </c>
      <c r="I74" s="912" t="s">
        <v>940</v>
      </c>
      <c r="J74" s="912" t="s">
        <v>1104</v>
      </c>
      <c r="K74" s="919">
        <v>4</v>
      </c>
      <c r="L74" s="919">
        <v>6</v>
      </c>
      <c r="M74" s="917">
        <f>L74*E74</f>
        <v>9810</v>
      </c>
      <c r="N74" s="920"/>
      <c r="O74" s="920"/>
      <c r="P74" s="917">
        <f t="shared" si="0"/>
        <v>0</v>
      </c>
    </row>
    <row r="75" spans="1:16" x14ac:dyDescent="0.2">
      <c r="A75" s="912" t="s">
        <v>874</v>
      </c>
      <c r="B75" s="913" t="s">
        <v>935</v>
      </c>
      <c r="C75" s="914" t="s">
        <v>80</v>
      </c>
      <c r="D75" s="913" t="s">
        <v>1105</v>
      </c>
      <c r="E75" s="921">
        <v>1962</v>
      </c>
      <c r="F75" s="916" t="s">
        <v>1106</v>
      </c>
      <c r="G75" s="913" t="s">
        <v>1107</v>
      </c>
      <c r="H75" s="912"/>
      <c r="I75" s="912"/>
      <c r="J75" s="912"/>
      <c r="K75" s="919">
        <v>4</v>
      </c>
      <c r="L75" s="919">
        <v>8</v>
      </c>
      <c r="M75" s="917">
        <f>L75*E75</f>
        <v>15696</v>
      </c>
      <c r="N75" s="920"/>
      <c r="O75" s="920"/>
      <c r="P75" s="917">
        <f t="shared" si="0"/>
        <v>0</v>
      </c>
    </row>
    <row r="76" spans="1:16" x14ac:dyDescent="0.2">
      <c r="A76" s="912" t="s">
        <v>874</v>
      </c>
      <c r="B76" s="922" t="s">
        <v>935</v>
      </c>
      <c r="C76" s="914" t="s">
        <v>80</v>
      </c>
      <c r="D76" s="913" t="s">
        <v>1108</v>
      </c>
      <c r="E76" s="921">
        <v>3052</v>
      </c>
      <c r="F76" s="916" t="s">
        <v>1109</v>
      </c>
      <c r="G76" s="913" t="s">
        <v>1110</v>
      </c>
      <c r="H76" s="912" t="s">
        <v>1111</v>
      </c>
      <c r="I76" s="912" t="s">
        <v>940</v>
      </c>
      <c r="J76" s="912" t="s">
        <v>1111</v>
      </c>
      <c r="K76" s="919">
        <v>6</v>
      </c>
      <c r="L76" s="919">
        <v>8</v>
      </c>
      <c r="M76" s="917">
        <f>L76*E76</f>
        <v>24416</v>
      </c>
      <c r="N76" s="920"/>
      <c r="O76" s="920"/>
      <c r="P76" s="917">
        <f t="shared" si="0"/>
        <v>0</v>
      </c>
    </row>
    <row r="77" spans="1:16" x14ac:dyDescent="0.2">
      <c r="A77" s="912" t="s">
        <v>874</v>
      </c>
      <c r="B77" s="913" t="s">
        <v>935</v>
      </c>
      <c r="C77" s="914" t="s">
        <v>80</v>
      </c>
      <c r="D77" s="912" t="s">
        <v>1057</v>
      </c>
      <c r="E77" s="915">
        <v>1417</v>
      </c>
      <c r="F77" s="914">
        <v>30481285</v>
      </c>
      <c r="G77" s="913" t="s">
        <v>1112</v>
      </c>
      <c r="H77" s="913" t="s">
        <v>1113</v>
      </c>
      <c r="I77" s="913" t="s">
        <v>1020</v>
      </c>
      <c r="J77" s="913"/>
      <c r="K77" s="913"/>
      <c r="L77" s="913"/>
      <c r="M77" s="917"/>
      <c r="N77" s="916">
        <v>2</v>
      </c>
      <c r="O77" s="916">
        <v>5</v>
      </c>
      <c r="P77" s="917">
        <f t="shared" si="0"/>
        <v>7085</v>
      </c>
    </row>
    <row r="78" spans="1:16" x14ac:dyDescent="0.2">
      <c r="A78" s="912" t="s">
        <v>874</v>
      </c>
      <c r="B78" s="922" t="s">
        <v>935</v>
      </c>
      <c r="C78" s="914" t="s">
        <v>80</v>
      </c>
      <c r="D78" s="913" t="s">
        <v>1114</v>
      </c>
      <c r="E78" s="921">
        <v>1962</v>
      </c>
      <c r="F78" s="916" t="s">
        <v>1115</v>
      </c>
      <c r="G78" s="913" t="s">
        <v>1116</v>
      </c>
      <c r="H78" s="912" t="s">
        <v>1007</v>
      </c>
      <c r="I78" s="912" t="s">
        <v>940</v>
      </c>
      <c r="J78" s="912" t="s">
        <v>1007</v>
      </c>
      <c r="K78" s="919">
        <v>1</v>
      </c>
      <c r="L78" s="919">
        <v>4</v>
      </c>
      <c r="M78" s="917">
        <f t="shared" ref="M78:M83" si="3">L78*E78</f>
        <v>7848</v>
      </c>
      <c r="N78" s="920"/>
      <c r="O78" s="920"/>
      <c r="P78" s="917">
        <f t="shared" si="0"/>
        <v>0</v>
      </c>
    </row>
    <row r="79" spans="1:16" x14ac:dyDescent="0.2">
      <c r="A79" s="912" t="s">
        <v>874</v>
      </c>
      <c r="B79" s="922" t="s">
        <v>935</v>
      </c>
      <c r="C79" s="914" t="s">
        <v>80</v>
      </c>
      <c r="D79" s="913" t="s">
        <v>948</v>
      </c>
      <c r="E79" s="921">
        <v>2180</v>
      </c>
      <c r="F79" s="916" t="s">
        <v>1117</v>
      </c>
      <c r="G79" s="913" t="s">
        <v>1118</v>
      </c>
      <c r="H79" s="912" t="s">
        <v>1007</v>
      </c>
      <c r="I79" s="912" t="s">
        <v>940</v>
      </c>
      <c r="J79" s="912" t="s">
        <v>1007</v>
      </c>
      <c r="K79" s="919">
        <v>2</v>
      </c>
      <c r="L79" s="919">
        <v>5</v>
      </c>
      <c r="M79" s="917">
        <f t="shared" si="3"/>
        <v>10900</v>
      </c>
      <c r="N79" s="920">
        <v>6</v>
      </c>
      <c r="O79" s="920">
        <v>6</v>
      </c>
      <c r="P79" s="917">
        <f t="shared" si="0"/>
        <v>13080</v>
      </c>
    </row>
    <row r="80" spans="1:16" x14ac:dyDescent="0.2">
      <c r="A80" s="912" t="s">
        <v>874</v>
      </c>
      <c r="B80" s="922" t="s">
        <v>935</v>
      </c>
      <c r="C80" s="914" t="s">
        <v>80</v>
      </c>
      <c r="D80" s="913" t="s">
        <v>958</v>
      </c>
      <c r="E80" s="921">
        <v>1853</v>
      </c>
      <c r="F80" s="916" t="s">
        <v>1119</v>
      </c>
      <c r="G80" s="913" t="s">
        <v>1120</v>
      </c>
      <c r="H80" s="912" t="s">
        <v>1121</v>
      </c>
      <c r="I80" s="912" t="s">
        <v>940</v>
      </c>
      <c r="J80" s="912" t="s">
        <v>1121</v>
      </c>
      <c r="K80" s="919"/>
      <c r="L80" s="919"/>
      <c r="M80" s="917">
        <f t="shared" si="3"/>
        <v>0</v>
      </c>
      <c r="N80" s="920">
        <v>6</v>
      </c>
      <c r="O80" s="920">
        <v>6</v>
      </c>
      <c r="P80" s="917">
        <f t="shared" si="0"/>
        <v>11118</v>
      </c>
    </row>
    <row r="81" spans="1:16" x14ac:dyDescent="0.2">
      <c r="A81" s="912" t="s">
        <v>874</v>
      </c>
      <c r="B81" s="922" t="s">
        <v>935</v>
      </c>
      <c r="C81" s="914" t="s">
        <v>80</v>
      </c>
      <c r="D81" s="913" t="s">
        <v>1122</v>
      </c>
      <c r="E81" s="921">
        <v>3052</v>
      </c>
      <c r="F81" s="916" t="s">
        <v>1123</v>
      </c>
      <c r="G81" s="913" t="s">
        <v>1124</v>
      </c>
      <c r="H81" s="912" t="s">
        <v>1125</v>
      </c>
      <c r="I81" s="912" t="s">
        <v>940</v>
      </c>
      <c r="J81" s="912" t="s">
        <v>1125</v>
      </c>
      <c r="K81" s="919">
        <v>6</v>
      </c>
      <c r="L81" s="919">
        <v>9</v>
      </c>
      <c r="M81" s="917">
        <f t="shared" si="3"/>
        <v>27468</v>
      </c>
      <c r="N81" s="920">
        <v>6</v>
      </c>
      <c r="O81" s="920">
        <v>6</v>
      </c>
      <c r="P81" s="917">
        <f t="shared" si="0"/>
        <v>18312</v>
      </c>
    </row>
    <row r="82" spans="1:16" x14ac:dyDescent="0.2">
      <c r="A82" s="912" t="s">
        <v>874</v>
      </c>
      <c r="B82" s="922" t="s">
        <v>935</v>
      </c>
      <c r="C82" s="914" t="s">
        <v>80</v>
      </c>
      <c r="D82" s="913" t="s">
        <v>948</v>
      </c>
      <c r="E82" s="921">
        <v>2180</v>
      </c>
      <c r="F82" s="916" t="s">
        <v>1126</v>
      </c>
      <c r="G82" s="913" t="s">
        <v>1127</v>
      </c>
      <c r="H82" s="912" t="s">
        <v>1007</v>
      </c>
      <c r="I82" s="912" t="s">
        <v>940</v>
      </c>
      <c r="J82" s="912" t="s">
        <v>1128</v>
      </c>
      <c r="K82" s="919">
        <v>1</v>
      </c>
      <c r="L82" s="919">
        <v>1</v>
      </c>
      <c r="M82" s="917">
        <f t="shared" si="3"/>
        <v>2180</v>
      </c>
      <c r="N82" s="920"/>
      <c r="O82" s="920"/>
      <c r="P82" s="917">
        <f t="shared" si="0"/>
        <v>0</v>
      </c>
    </row>
    <row r="83" spans="1:16" x14ac:dyDescent="0.2">
      <c r="A83" s="912" t="s">
        <v>874</v>
      </c>
      <c r="B83" s="922" t="s">
        <v>935</v>
      </c>
      <c r="C83" s="914" t="s">
        <v>80</v>
      </c>
      <c r="D83" s="913" t="s">
        <v>968</v>
      </c>
      <c r="E83" s="921">
        <v>2725</v>
      </c>
      <c r="F83" s="916" t="s">
        <v>1129</v>
      </c>
      <c r="G83" s="913" t="s">
        <v>1130</v>
      </c>
      <c r="H83" s="912" t="s">
        <v>956</v>
      </c>
      <c r="I83" s="912" t="s">
        <v>940</v>
      </c>
      <c r="J83" s="912" t="s">
        <v>956</v>
      </c>
      <c r="K83" s="919">
        <v>3</v>
      </c>
      <c r="L83" s="919">
        <v>6</v>
      </c>
      <c r="M83" s="917">
        <f t="shared" si="3"/>
        <v>16350</v>
      </c>
      <c r="N83" s="920"/>
      <c r="O83" s="920"/>
      <c r="P83" s="917">
        <f t="shared" si="0"/>
        <v>0</v>
      </c>
    </row>
    <row r="84" spans="1:16" x14ac:dyDescent="0.2">
      <c r="A84" s="912" t="s">
        <v>874</v>
      </c>
      <c r="B84" s="913" t="s">
        <v>935</v>
      </c>
      <c r="C84" s="914" t="s">
        <v>80</v>
      </c>
      <c r="D84" s="912" t="s">
        <v>1131</v>
      </c>
      <c r="E84" s="915">
        <v>2180</v>
      </c>
      <c r="F84" s="914" t="s">
        <v>1132</v>
      </c>
      <c r="G84" s="912" t="s">
        <v>1133</v>
      </c>
      <c r="H84" s="913" t="s">
        <v>980</v>
      </c>
      <c r="I84" s="913" t="s">
        <v>940</v>
      </c>
      <c r="J84" s="913" t="s">
        <v>981</v>
      </c>
      <c r="K84" s="913"/>
      <c r="L84" s="913"/>
      <c r="M84" s="917"/>
      <c r="N84" s="916">
        <v>2</v>
      </c>
      <c r="O84" s="916">
        <v>2</v>
      </c>
      <c r="P84" s="917">
        <f t="shared" si="0"/>
        <v>4360</v>
      </c>
    </row>
    <row r="85" spans="1:16" x14ac:dyDescent="0.2">
      <c r="A85" s="912" t="s">
        <v>874</v>
      </c>
      <c r="B85" s="913" t="s">
        <v>935</v>
      </c>
      <c r="C85" s="914" t="s">
        <v>80</v>
      </c>
      <c r="D85" s="913" t="s">
        <v>1134</v>
      </c>
      <c r="E85" s="921">
        <v>1417</v>
      </c>
      <c r="F85" s="916" t="s">
        <v>1135</v>
      </c>
      <c r="G85" s="913" t="s">
        <v>1136</v>
      </c>
      <c r="H85" s="912" t="s">
        <v>1137</v>
      </c>
      <c r="I85" s="912" t="s">
        <v>940</v>
      </c>
      <c r="J85" s="912" t="s">
        <v>1137</v>
      </c>
      <c r="K85" s="919">
        <v>5</v>
      </c>
      <c r="L85" s="919">
        <v>8</v>
      </c>
      <c r="M85" s="917">
        <f>L85*E85</f>
        <v>11336</v>
      </c>
      <c r="N85" s="920"/>
      <c r="O85" s="920"/>
      <c r="P85" s="917">
        <f t="shared" si="0"/>
        <v>0</v>
      </c>
    </row>
    <row r="86" spans="1:16" x14ac:dyDescent="0.2">
      <c r="A86" s="912" t="s">
        <v>874</v>
      </c>
      <c r="B86" s="913" t="s">
        <v>935</v>
      </c>
      <c r="C86" s="914" t="s">
        <v>80</v>
      </c>
      <c r="D86" s="913" t="s">
        <v>1138</v>
      </c>
      <c r="E86" s="921">
        <v>3270</v>
      </c>
      <c r="F86" s="916" t="s">
        <v>1139</v>
      </c>
      <c r="G86" s="913" t="s">
        <v>1140</v>
      </c>
      <c r="H86" s="912" t="s">
        <v>994</v>
      </c>
      <c r="I86" s="912" t="s">
        <v>940</v>
      </c>
      <c r="J86" s="912" t="s">
        <v>994</v>
      </c>
      <c r="K86" s="919">
        <v>6</v>
      </c>
      <c r="L86" s="919">
        <v>10</v>
      </c>
      <c r="M86" s="917">
        <f>L86*E86</f>
        <v>32700</v>
      </c>
      <c r="N86" s="920">
        <v>3</v>
      </c>
      <c r="O86" s="920">
        <v>6</v>
      </c>
      <c r="P86" s="917">
        <f t="shared" si="0"/>
        <v>19620</v>
      </c>
    </row>
    <row r="87" spans="1:16" x14ac:dyDescent="0.2">
      <c r="A87" s="912" t="s">
        <v>874</v>
      </c>
      <c r="B87" s="913" t="s">
        <v>935</v>
      </c>
      <c r="C87" s="914" t="s">
        <v>80</v>
      </c>
      <c r="D87" s="923" t="s">
        <v>1057</v>
      </c>
      <c r="E87" s="921">
        <v>1417</v>
      </c>
      <c r="F87" s="916" t="s">
        <v>1141</v>
      </c>
      <c r="G87" s="913" t="s">
        <v>1142</v>
      </c>
      <c r="H87" s="912" t="s">
        <v>1143</v>
      </c>
      <c r="I87" s="912" t="s">
        <v>940</v>
      </c>
      <c r="J87" s="912" t="s">
        <v>1143</v>
      </c>
      <c r="K87" s="919">
        <v>9</v>
      </c>
      <c r="L87" s="919">
        <v>12</v>
      </c>
      <c r="M87" s="917">
        <f>L87*E87</f>
        <v>17004</v>
      </c>
      <c r="N87" s="920"/>
      <c r="O87" s="920"/>
      <c r="P87" s="917">
        <f t="shared" ref="P87:P150" si="4">E87*O87</f>
        <v>0</v>
      </c>
    </row>
    <row r="88" spans="1:16" x14ac:dyDescent="0.2">
      <c r="A88" s="912" t="s">
        <v>874</v>
      </c>
      <c r="B88" s="913" t="s">
        <v>935</v>
      </c>
      <c r="C88" s="914" t="s">
        <v>80</v>
      </c>
      <c r="D88" s="913" t="s">
        <v>1144</v>
      </c>
      <c r="E88" s="921">
        <v>1417</v>
      </c>
      <c r="F88" s="916" t="s">
        <v>1145</v>
      </c>
      <c r="G88" s="913" t="s">
        <v>1146</v>
      </c>
      <c r="H88" s="912" t="s">
        <v>1019</v>
      </c>
      <c r="I88" s="912" t="s">
        <v>1020</v>
      </c>
      <c r="J88" s="912"/>
      <c r="K88" s="919">
        <v>8</v>
      </c>
      <c r="L88" s="919">
        <v>12</v>
      </c>
      <c r="M88" s="917">
        <f>L88*E88</f>
        <v>17004</v>
      </c>
      <c r="N88" s="920">
        <v>2</v>
      </c>
      <c r="O88" s="920">
        <v>6</v>
      </c>
      <c r="P88" s="917">
        <f t="shared" si="4"/>
        <v>8502</v>
      </c>
    </row>
    <row r="89" spans="1:16" x14ac:dyDescent="0.2">
      <c r="A89" s="912" t="s">
        <v>874</v>
      </c>
      <c r="B89" s="913" t="s">
        <v>935</v>
      </c>
      <c r="C89" s="914" t="s">
        <v>80</v>
      </c>
      <c r="D89" s="912" t="s">
        <v>1147</v>
      </c>
      <c r="E89" s="915">
        <v>3270</v>
      </c>
      <c r="F89" s="914">
        <v>42775710</v>
      </c>
      <c r="G89" s="912" t="s">
        <v>1148</v>
      </c>
      <c r="H89" s="913" t="s">
        <v>1024</v>
      </c>
      <c r="I89" s="913" t="s">
        <v>940</v>
      </c>
      <c r="J89" s="913" t="s">
        <v>1024</v>
      </c>
      <c r="K89" s="913"/>
      <c r="L89" s="913"/>
      <c r="M89" s="917"/>
      <c r="N89" s="916">
        <v>1</v>
      </c>
      <c r="O89" s="916">
        <v>4</v>
      </c>
      <c r="P89" s="917">
        <f t="shared" si="4"/>
        <v>13080</v>
      </c>
    </row>
    <row r="90" spans="1:16" x14ac:dyDescent="0.2">
      <c r="A90" s="912" t="s">
        <v>874</v>
      </c>
      <c r="B90" s="913" t="s">
        <v>935</v>
      </c>
      <c r="C90" s="914" t="s">
        <v>80</v>
      </c>
      <c r="D90" s="913" t="s">
        <v>1149</v>
      </c>
      <c r="E90" s="921">
        <v>1635</v>
      </c>
      <c r="F90" s="916" t="s">
        <v>1150</v>
      </c>
      <c r="G90" s="913" t="s">
        <v>1151</v>
      </c>
      <c r="H90" s="912" t="s">
        <v>1152</v>
      </c>
      <c r="I90" s="912" t="s">
        <v>940</v>
      </c>
      <c r="J90" s="912" t="s">
        <v>1152</v>
      </c>
      <c r="K90" s="919">
        <v>4</v>
      </c>
      <c r="L90" s="919">
        <v>12</v>
      </c>
      <c r="M90" s="917">
        <f>L90*E90</f>
        <v>19620</v>
      </c>
      <c r="N90" s="920">
        <v>2</v>
      </c>
      <c r="O90" s="920">
        <v>6</v>
      </c>
      <c r="P90" s="917">
        <f t="shared" si="4"/>
        <v>9810</v>
      </c>
    </row>
    <row r="91" spans="1:16" x14ac:dyDescent="0.2">
      <c r="A91" s="912" t="s">
        <v>874</v>
      </c>
      <c r="B91" s="913" t="s">
        <v>935</v>
      </c>
      <c r="C91" s="914" t="s">
        <v>80</v>
      </c>
      <c r="D91" s="923" t="s">
        <v>1057</v>
      </c>
      <c r="E91" s="921">
        <v>1417</v>
      </c>
      <c r="F91" s="916" t="s">
        <v>1153</v>
      </c>
      <c r="G91" s="913" t="s">
        <v>1154</v>
      </c>
      <c r="H91" s="912" t="s">
        <v>1155</v>
      </c>
      <c r="I91" s="912" t="s">
        <v>1020</v>
      </c>
      <c r="J91" s="912"/>
      <c r="K91" s="919">
        <v>8</v>
      </c>
      <c r="L91" s="919">
        <v>12</v>
      </c>
      <c r="M91" s="917">
        <f>L91*E91</f>
        <v>17004</v>
      </c>
      <c r="N91" s="920">
        <v>4</v>
      </c>
      <c r="O91" s="920">
        <v>6</v>
      </c>
      <c r="P91" s="917">
        <f t="shared" si="4"/>
        <v>8502</v>
      </c>
    </row>
    <row r="92" spans="1:16" x14ac:dyDescent="0.2">
      <c r="A92" s="912" t="s">
        <v>874</v>
      </c>
      <c r="B92" s="913" t="s">
        <v>935</v>
      </c>
      <c r="C92" s="914" t="s">
        <v>80</v>
      </c>
      <c r="D92" s="912" t="s">
        <v>744</v>
      </c>
      <c r="E92" s="915">
        <v>3052</v>
      </c>
      <c r="F92" s="916">
        <v>44325917</v>
      </c>
      <c r="G92" s="912" t="s">
        <v>1156</v>
      </c>
      <c r="H92" s="913" t="s">
        <v>744</v>
      </c>
      <c r="I92" s="913" t="s">
        <v>940</v>
      </c>
      <c r="J92" s="913" t="s">
        <v>1157</v>
      </c>
      <c r="K92" s="913"/>
      <c r="L92" s="913"/>
      <c r="M92" s="917"/>
      <c r="N92" s="916">
        <v>3</v>
      </c>
      <c r="O92" s="916">
        <v>3</v>
      </c>
      <c r="P92" s="917">
        <f t="shared" si="4"/>
        <v>9156</v>
      </c>
    </row>
    <row r="93" spans="1:16" x14ac:dyDescent="0.2">
      <c r="A93" s="912" t="s">
        <v>874</v>
      </c>
      <c r="B93" s="922" t="s">
        <v>935</v>
      </c>
      <c r="C93" s="914" t="s">
        <v>80</v>
      </c>
      <c r="D93" s="913" t="s">
        <v>958</v>
      </c>
      <c r="E93" s="921">
        <v>1635</v>
      </c>
      <c r="F93" s="916" t="s">
        <v>1158</v>
      </c>
      <c r="G93" s="913" t="s">
        <v>1159</v>
      </c>
      <c r="H93" s="912" t="s">
        <v>1160</v>
      </c>
      <c r="I93" s="912" t="s">
        <v>940</v>
      </c>
      <c r="J93" s="912" t="s">
        <v>1160</v>
      </c>
      <c r="K93" s="919">
        <v>6</v>
      </c>
      <c r="L93" s="919">
        <v>9</v>
      </c>
      <c r="M93" s="917">
        <f>L93*E93</f>
        <v>14715</v>
      </c>
      <c r="N93" s="920">
        <v>6</v>
      </c>
      <c r="O93" s="920">
        <v>6</v>
      </c>
      <c r="P93" s="917">
        <f t="shared" si="4"/>
        <v>9810</v>
      </c>
    </row>
    <row r="94" spans="1:16" x14ac:dyDescent="0.2">
      <c r="A94" s="912" t="s">
        <v>874</v>
      </c>
      <c r="B94" s="913" t="s">
        <v>935</v>
      </c>
      <c r="C94" s="914" t="s">
        <v>80</v>
      </c>
      <c r="D94" s="913" t="s">
        <v>1161</v>
      </c>
      <c r="E94" s="921">
        <v>1013.7</v>
      </c>
      <c r="F94" s="916" t="s">
        <v>1162</v>
      </c>
      <c r="G94" s="913" t="s">
        <v>1163</v>
      </c>
      <c r="H94" s="912" t="s">
        <v>1155</v>
      </c>
      <c r="I94" s="912" t="s">
        <v>1020</v>
      </c>
      <c r="J94" s="912"/>
      <c r="K94" s="919">
        <v>3</v>
      </c>
      <c r="L94" s="919">
        <v>6</v>
      </c>
      <c r="M94" s="917">
        <f>L94*E94</f>
        <v>6082.2000000000007</v>
      </c>
      <c r="N94" s="920">
        <v>5</v>
      </c>
      <c r="O94" s="920">
        <v>6</v>
      </c>
      <c r="P94" s="917">
        <f t="shared" si="4"/>
        <v>6082.2000000000007</v>
      </c>
    </row>
    <row r="95" spans="1:16" x14ac:dyDescent="0.2">
      <c r="A95" s="912" t="s">
        <v>874</v>
      </c>
      <c r="B95" s="922" t="s">
        <v>935</v>
      </c>
      <c r="C95" s="914" t="s">
        <v>80</v>
      </c>
      <c r="D95" s="913" t="s">
        <v>958</v>
      </c>
      <c r="E95" s="921">
        <v>1635</v>
      </c>
      <c r="F95" s="916" t="s">
        <v>1164</v>
      </c>
      <c r="G95" s="913" t="s">
        <v>1165</v>
      </c>
      <c r="H95" s="912" t="s">
        <v>1166</v>
      </c>
      <c r="I95" s="912" t="s">
        <v>940</v>
      </c>
      <c r="J95" s="912" t="s">
        <v>1166</v>
      </c>
      <c r="K95" s="919">
        <v>1</v>
      </c>
      <c r="L95" s="919">
        <v>3</v>
      </c>
      <c r="M95" s="917">
        <f>L95*E95</f>
        <v>4905</v>
      </c>
      <c r="N95" s="920">
        <v>6</v>
      </c>
      <c r="O95" s="920">
        <v>6</v>
      </c>
      <c r="P95" s="917">
        <f t="shared" si="4"/>
        <v>9810</v>
      </c>
    </row>
    <row r="96" spans="1:16" x14ac:dyDescent="0.2">
      <c r="A96" s="912" t="s">
        <v>874</v>
      </c>
      <c r="B96" s="913" t="s">
        <v>935</v>
      </c>
      <c r="C96" s="914" t="s">
        <v>80</v>
      </c>
      <c r="D96" s="912" t="s">
        <v>1167</v>
      </c>
      <c r="E96" s="915">
        <v>3052</v>
      </c>
      <c r="F96" s="914" t="s">
        <v>1168</v>
      </c>
      <c r="G96" s="912" t="s">
        <v>1169</v>
      </c>
      <c r="H96" s="913" t="s">
        <v>974</v>
      </c>
      <c r="I96" s="913" t="s">
        <v>940</v>
      </c>
      <c r="J96" s="913" t="s">
        <v>975</v>
      </c>
      <c r="K96" s="913"/>
      <c r="L96" s="913"/>
      <c r="M96" s="917"/>
      <c r="N96" s="916">
        <v>3</v>
      </c>
      <c r="O96" s="916">
        <v>3</v>
      </c>
      <c r="P96" s="917">
        <f t="shared" si="4"/>
        <v>9156</v>
      </c>
    </row>
    <row r="97" spans="1:16" x14ac:dyDescent="0.2">
      <c r="A97" s="912" t="s">
        <v>874</v>
      </c>
      <c r="B97" s="913" t="s">
        <v>935</v>
      </c>
      <c r="C97" s="914" t="s">
        <v>80</v>
      </c>
      <c r="D97" s="923" t="s">
        <v>1057</v>
      </c>
      <c r="E97" s="921">
        <v>1417</v>
      </c>
      <c r="F97" s="916" t="s">
        <v>1170</v>
      </c>
      <c r="G97" s="913" t="s">
        <v>1171</v>
      </c>
      <c r="H97" s="912" t="s">
        <v>1019</v>
      </c>
      <c r="I97" s="912" t="s">
        <v>1020</v>
      </c>
      <c r="J97" s="912"/>
      <c r="K97" s="919">
        <v>4</v>
      </c>
      <c r="L97" s="919">
        <v>6</v>
      </c>
      <c r="M97" s="917">
        <f>L97*E97</f>
        <v>8502</v>
      </c>
      <c r="N97" s="920"/>
      <c r="O97" s="920"/>
      <c r="P97" s="917">
        <f t="shared" si="4"/>
        <v>0</v>
      </c>
    </row>
    <row r="98" spans="1:16" x14ac:dyDescent="0.2">
      <c r="A98" s="912" t="s">
        <v>874</v>
      </c>
      <c r="B98" s="924" t="s">
        <v>1089</v>
      </c>
      <c r="C98" s="914" t="s">
        <v>80</v>
      </c>
      <c r="D98" s="913" t="s">
        <v>968</v>
      </c>
      <c r="E98" s="921">
        <v>2725</v>
      </c>
      <c r="F98" s="916" t="s">
        <v>1172</v>
      </c>
      <c r="G98" s="913" t="s">
        <v>1173</v>
      </c>
      <c r="H98" s="912" t="s">
        <v>1174</v>
      </c>
      <c r="I98" s="912" t="s">
        <v>940</v>
      </c>
      <c r="J98" s="912" t="s">
        <v>1174</v>
      </c>
      <c r="K98" s="919">
        <v>6</v>
      </c>
      <c r="L98" s="919">
        <v>9</v>
      </c>
      <c r="M98" s="917">
        <f>L98*E98</f>
        <v>24525</v>
      </c>
      <c r="N98" s="920">
        <v>6</v>
      </c>
      <c r="O98" s="920">
        <v>6</v>
      </c>
      <c r="P98" s="917">
        <f t="shared" si="4"/>
        <v>16350</v>
      </c>
    </row>
    <row r="99" spans="1:16" x14ac:dyDescent="0.2">
      <c r="A99" s="912" t="s">
        <v>874</v>
      </c>
      <c r="B99" s="913" t="s">
        <v>935</v>
      </c>
      <c r="C99" s="914" t="s">
        <v>80</v>
      </c>
      <c r="D99" s="912" t="s">
        <v>1175</v>
      </c>
      <c r="E99" s="915">
        <v>6540</v>
      </c>
      <c r="F99" s="914">
        <v>43341762</v>
      </c>
      <c r="G99" s="912" t="s">
        <v>1176</v>
      </c>
      <c r="H99" s="913" t="s">
        <v>1175</v>
      </c>
      <c r="I99" s="913" t="s">
        <v>940</v>
      </c>
      <c r="J99" s="913" t="s">
        <v>1177</v>
      </c>
      <c r="K99" s="913"/>
      <c r="L99" s="913"/>
      <c r="M99" s="917"/>
      <c r="N99" s="916">
        <v>1</v>
      </c>
      <c r="O99" s="916">
        <v>1</v>
      </c>
      <c r="P99" s="917">
        <f t="shared" si="4"/>
        <v>6540</v>
      </c>
    </row>
    <row r="100" spans="1:16" x14ac:dyDescent="0.2">
      <c r="A100" s="912" t="s">
        <v>874</v>
      </c>
      <c r="B100" s="922" t="s">
        <v>935</v>
      </c>
      <c r="C100" s="914" t="s">
        <v>80</v>
      </c>
      <c r="D100" s="913" t="s">
        <v>1122</v>
      </c>
      <c r="E100" s="921">
        <v>3052</v>
      </c>
      <c r="F100" s="916" t="s">
        <v>1178</v>
      </c>
      <c r="G100" s="913" t="s">
        <v>1179</v>
      </c>
      <c r="H100" s="912" t="s">
        <v>1125</v>
      </c>
      <c r="I100" s="912" t="s">
        <v>940</v>
      </c>
      <c r="J100" s="912" t="s">
        <v>1125</v>
      </c>
      <c r="K100" s="919">
        <v>6</v>
      </c>
      <c r="L100" s="919">
        <v>9</v>
      </c>
      <c r="M100" s="917">
        <f>L100*E100</f>
        <v>27468</v>
      </c>
      <c r="N100" s="920">
        <v>6</v>
      </c>
      <c r="O100" s="920">
        <v>6</v>
      </c>
      <c r="P100" s="917">
        <f t="shared" si="4"/>
        <v>18312</v>
      </c>
    </row>
    <row r="101" spans="1:16" x14ac:dyDescent="0.2">
      <c r="A101" s="912" t="s">
        <v>874</v>
      </c>
      <c r="B101" s="913" t="s">
        <v>935</v>
      </c>
      <c r="C101" s="914" t="s">
        <v>80</v>
      </c>
      <c r="D101" s="913" t="s">
        <v>987</v>
      </c>
      <c r="E101" s="921">
        <v>1635</v>
      </c>
      <c r="F101" s="916" t="s">
        <v>1180</v>
      </c>
      <c r="G101" s="913" t="s">
        <v>1181</v>
      </c>
      <c r="H101" s="912" t="s">
        <v>987</v>
      </c>
      <c r="I101" s="912" t="s">
        <v>940</v>
      </c>
      <c r="J101" s="912" t="s">
        <v>1104</v>
      </c>
      <c r="K101" s="919">
        <v>3</v>
      </c>
      <c r="L101" s="919">
        <v>6</v>
      </c>
      <c r="M101" s="917">
        <f>L101*E101</f>
        <v>9810</v>
      </c>
      <c r="N101" s="920"/>
      <c r="O101" s="920"/>
      <c r="P101" s="917">
        <f t="shared" si="4"/>
        <v>0</v>
      </c>
    </row>
    <row r="102" spans="1:16" x14ac:dyDescent="0.2">
      <c r="A102" s="912" t="s">
        <v>874</v>
      </c>
      <c r="B102" s="913" t="s">
        <v>935</v>
      </c>
      <c r="C102" s="914" t="s">
        <v>80</v>
      </c>
      <c r="D102" s="912" t="s">
        <v>1057</v>
      </c>
      <c r="E102" s="915">
        <v>1417</v>
      </c>
      <c r="F102" s="914" t="s">
        <v>1182</v>
      </c>
      <c r="G102" s="913" t="s">
        <v>1183</v>
      </c>
      <c r="H102" s="913" t="s">
        <v>1113</v>
      </c>
      <c r="I102" s="913" t="s">
        <v>1020</v>
      </c>
      <c r="J102" s="913"/>
      <c r="K102" s="913"/>
      <c r="L102" s="913"/>
      <c r="M102" s="917"/>
      <c r="N102" s="916">
        <v>2</v>
      </c>
      <c r="O102" s="916">
        <v>5</v>
      </c>
      <c r="P102" s="917">
        <f t="shared" si="4"/>
        <v>7085</v>
      </c>
    </row>
    <row r="103" spans="1:16" x14ac:dyDescent="0.2">
      <c r="A103" s="912" t="s">
        <v>874</v>
      </c>
      <c r="B103" s="922" t="s">
        <v>935</v>
      </c>
      <c r="C103" s="914" t="s">
        <v>80</v>
      </c>
      <c r="D103" s="913" t="s">
        <v>958</v>
      </c>
      <c r="E103" s="921">
        <v>1635</v>
      </c>
      <c r="F103" s="916" t="s">
        <v>1184</v>
      </c>
      <c r="G103" s="913" t="s">
        <v>1185</v>
      </c>
      <c r="H103" s="912" t="s">
        <v>1186</v>
      </c>
      <c r="I103" s="912" t="s">
        <v>940</v>
      </c>
      <c r="J103" s="912" t="s">
        <v>1186</v>
      </c>
      <c r="K103" s="919">
        <v>6</v>
      </c>
      <c r="L103" s="919">
        <v>9</v>
      </c>
      <c r="M103" s="917">
        <f>L103*E103</f>
        <v>14715</v>
      </c>
      <c r="N103" s="920">
        <v>6</v>
      </c>
      <c r="O103" s="920">
        <v>6</v>
      </c>
      <c r="P103" s="917">
        <f t="shared" si="4"/>
        <v>9810</v>
      </c>
    </row>
    <row r="104" spans="1:16" x14ac:dyDescent="0.2">
      <c r="A104" s="912" t="s">
        <v>874</v>
      </c>
      <c r="B104" s="913" t="s">
        <v>935</v>
      </c>
      <c r="C104" s="914" t="s">
        <v>80</v>
      </c>
      <c r="D104" s="913" t="s">
        <v>1052</v>
      </c>
      <c r="E104" s="921">
        <v>1013.7</v>
      </c>
      <c r="F104" s="916" t="s">
        <v>1187</v>
      </c>
      <c r="G104" s="913" t="s">
        <v>1188</v>
      </c>
      <c r="H104" s="912" t="s">
        <v>1019</v>
      </c>
      <c r="I104" s="912" t="s">
        <v>1020</v>
      </c>
      <c r="J104" s="912"/>
      <c r="K104" s="919">
        <v>9</v>
      </c>
      <c r="L104" s="919">
        <v>12</v>
      </c>
      <c r="M104" s="917">
        <f>L104*E104</f>
        <v>12164.400000000001</v>
      </c>
      <c r="N104" s="920">
        <v>2</v>
      </c>
      <c r="O104" s="920">
        <v>5</v>
      </c>
      <c r="P104" s="917">
        <f t="shared" si="4"/>
        <v>5068.5</v>
      </c>
    </row>
    <row r="105" spans="1:16" x14ac:dyDescent="0.2">
      <c r="A105" s="912" t="s">
        <v>874</v>
      </c>
      <c r="B105" s="922" t="s">
        <v>935</v>
      </c>
      <c r="C105" s="914" t="s">
        <v>80</v>
      </c>
      <c r="D105" s="913" t="s">
        <v>1189</v>
      </c>
      <c r="E105" s="921">
        <v>2725</v>
      </c>
      <c r="F105" s="916" t="s">
        <v>1190</v>
      </c>
      <c r="G105" s="913" t="s">
        <v>1191</v>
      </c>
      <c r="H105" s="912"/>
      <c r="I105" s="912"/>
      <c r="J105" s="912"/>
      <c r="K105" s="919">
        <v>1</v>
      </c>
      <c r="L105" s="919">
        <v>3</v>
      </c>
      <c r="M105" s="917">
        <f>L105*E105</f>
        <v>8175</v>
      </c>
      <c r="N105" s="920"/>
      <c r="O105" s="920"/>
      <c r="P105" s="917">
        <f t="shared" si="4"/>
        <v>0</v>
      </c>
    </row>
    <row r="106" spans="1:16" x14ac:dyDescent="0.2">
      <c r="A106" s="912" t="s">
        <v>874</v>
      </c>
      <c r="B106" s="922" t="s">
        <v>935</v>
      </c>
      <c r="C106" s="914" t="s">
        <v>80</v>
      </c>
      <c r="D106" s="913" t="s">
        <v>1192</v>
      </c>
      <c r="E106" s="921">
        <v>2725</v>
      </c>
      <c r="F106" s="916" t="s">
        <v>1193</v>
      </c>
      <c r="G106" s="913" t="s">
        <v>1194</v>
      </c>
      <c r="H106" s="912" t="s">
        <v>956</v>
      </c>
      <c r="I106" s="912" t="s">
        <v>1036</v>
      </c>
      <c r="J106" s="912" t="s">
        <v>956</v>
      </c>
      <c r="K106" s="919">
        <v>2</v>
      </c>
      <c r="L106" s="919">
        <v>5</v>
      </c>
      <c r="M106" s="917">
        <f>L106*E106</f>
        <v>13625</v>
      </c>
      <c r="N106" s="920">
        <v>6</v>
      </c>
      <c r="O106" s="920">
        <v>6</v>
      </c>
      <c r="P106" s="917">
        <f t="shared" si="4"/>
        <v>16350</v>
      </c>
    </row>
    <row r="107" spans="1:16" x14ac:dyDescent="0.2">
      <c r="A107" s="912" t="s">
        <v>874</v>
      </c>
      <c r="B107" s="913" t="s">
        <v>935</v>
      </c>
      <c r="C107" s="914" t="s">
        <v>1195</v>
      </c>
      <c r="D107" s="912" t="s">
        <v>1196</v>
      </c>
      <c r="E107" s="915">
        <v>1417</v>
      </c>
      <c r="F107" s="914">
        <v>43188595</v>
      </c>
      <c r="G107" s="913" t="s">
        <v>1197</v>
      </c>
      <c r="H107" s="913" t="s">
        <v>1113</v>
      </c>
      <c r="I107" s="913" t="s">
        <v>1020</v>
      </c>
      <c r="J107" s="913"/>
      <c r="K107" s="913"/>
      <c r="L107" s="913"/>
      <c r="M107" s="917"/>
      <c r="N107" s="916">
        <v>2</v>
      </c>
      <c r="O107" s="916">
        <v>5</v>
      </c>
      <c r="P107" s="917">
        <f t="shared" si="4"/>
        <v>7085</v>
      </c>
    </row>
    <row r="108" spans="1:16" x14ac:dyDescent="0.2">
      <c r="A108" s="912" t="s">
        <v>874</v>
      </c>
      <c r="B108" s="922" t="s">
        <v>935</v>
      </c>
      <c r="C108" s="914" t="s">
        <v>80</v>
      </c>
      <c r="D108" s="913" t="s">
        <v>958</v>
      </c>
      <c r="E108" s="921">
        <v>1635</v>
      </c>
      <c r="F108" s="916" t="s">
        <v>1198</v>
      </c>
      <c r="G108" s="913" t="s">
        <v>1199</v>
      </c>
      <c r="H108" s="912" t="s">
        <v>1200</v>
      </c>
      <c r="I108" s="912"/>
      <c r="J108" s="912" t="s">
        <v>1200</v>
      </c>
      <c r="K108" s="919">
        <v>4</v>
      </c>
      <c r="L108" s="919">
        <v>6</v>
      </c>
      <c r="M108" s="917">
        <f>L108*E108</f>
        <v>9810</v>
      </c>
      <c r="N108" s="920"/>
      <c r="O108" s="920"/>
      <c r="P108" s="917">
        <f t="shared" si="4"/>
        <v>0</v>
      </c>
    </row>
    <row r="109" spans="1:16" x14ac:dyDescent="0.2">
      <c r="A109" s="912" t="s">
        <v>874</v>
      </c>
      <c r="B109" s="913" t="s">
        <v>935</v>
      </c>
      <c r="C109" s="914" t="s">
        <v>80</v>
      </c>
      <c r="D109" s="912" t="s">
        <v>1201</v>
      </c>
      <c r="E109" s="915">
        <v>3270</v>
      </c>
      <c r="F109" s="914" t="s">
        <v>1202</v>
      </c>
      <c r="G109" s="912" t="s">
        <v>1203</v>
      </c>
      <c r="H109" s="913" t="s">
        <v>956</v>
      </c>
      <c r="I109" s="913" t="s">
        <v>940</v>
      </c>
      <c r="J109" s="913" t="s">
        <v>956</v>
      </c>
      <c r="K109" s="913"/>
      <c r="L109" s="913"/>
      <c r="M109" s="917"/>
      <c r="N109" s="916">
        <v>1</v>
      </c>
      <c r="O109" s="916">
        <v>1</v>
      </c>
      <c r="P109" s="917">
        <f t="shared" si="4"/>
        <v>3270</v>
      </c>
    </row>
    <row r="110" spans="1:16" x14ac:dyDescent="0.2">
      <c r="A110" s="912" t="s">
        <v>874</v>
      </c>
      <c r="B110" s="922" t="s">
        <v>935</v>
      </c>
      <c r="C110" s="914" t="s">
        <v>80</v>
      </c>
      <c r="D110" s="913" t="s">
        <v>958</v>
      </c>
      <c r="E110" s="921">
        <v>1635</v>
      </c>
      <c r="F110" s="916" t="s">
        <v>1204</v>
      </c>
      <c r="G110" s="913" t="s">
        <v>1205</v>
      </c>
      <c r="H110" s="913" t="s">
        <v>1206</v>
      </c>
      <c r="I110" s="912" t="s">
        <v>940</v>
      </c>
      <c r="J110" s="913" t="s">
        <v>1206</v>
      </c>
      <c r="K110" s="919">
        <v>6</v>
      </c>
      <c r="L110" s="919">
        <v>9</v>
      </c>
      <c r="M110" s="917">
        <f>L110*E110</f>
        <v>14715</v>
      </c>
      <c r="N110" s="920">
        <v>6</v>
      </c>
      <c r="O110" s="920">
        <v>6</v>
      </c>
      <c r="P110" s="917">
        <f t="shared" si="4"/>
        <v>9810</v>
      </c>
    </row>
    <row r="111" spans="1:16" x14ac:dyDescent="0.2">
      <c r="A111" s="912" t="s">
        <v>874</v>
      </c>
      <c r="B111" s="913" t="s">
        <v>935</v>
      </c>
      <c r="C111" s="914" t="s">
        <v>80</v>
      </c>
      <c r="D111" s="912" t="s">
        <v>941</v>
      </c>
      <c r="E111" s="915">
        <v>2180</v>
      </c>
      <c r="F111" s="916">
        <v>29721245</v>
      </c>
      <c r="G111" s="912" t="s">
        <v>1207</v>
      </c>
      <c r="H111" s="913" t="s">
        <v>980</v>
      </c>
      <c r="I111" s="913" t="s">
        <v>940</v>
      </c>
      <c r="J111" s="913" t="s">
        <v>981</v>
      </c>
      <c r="K111" s="913"/>
      <c r="L111" s="913"/>
      <c r="M111" s="917"/>
      <c r="N111" s="916">
        <v>2</v>
      </c>
      <c r="O111" s="916">
        <v>2</v>
      </c>
      <c r="P111" s="917">
        <f t="shared" si="4"/>
        <v>4360</v>
      </c>
    </row>
    <row r="112" spans="1:16" x14ac:dyDescent="0.2">
      <c r="A112" s="912" t="s">
        <v>874</v>
      </c>
      <c r="B112" s="922" t="s">
        <v>935</v>
      </c>
      <c r="C112" s="914" t="s">
        <v>80</v>
      </c>
      <c r="D112" s="913" t="s">
        <v>1208</v>
      </c>
      <c r="E112" s="921">
        <v>1362.5</v>
      </c>
      <c r="F112" s="916" t="s">
        <v>1209</v>
      </c>
      <c r="G112" s="913" t="s">
        <v>1210</v>
      </c>
      <c r="H112" s="912" t="s">
        <v>1121</v>
      </c>
      <c r="I112" s="912" t="s">
        <v>940</v>
      </c>
      <c r="J112" s="912" t="s">
        <v>1121</v>
      </c>
      <c r="K112" s="919"/>
      <c r="L112" s="919"/>
      <c r="M112" s="917">
        <f>L112*E112</f>
        <v>0</v>
      </c>
      <c r="N112" s="920"/>
      <c r="O112" s="920"/>
      <c r="P112" s="917">
        <f t="shared" si="4"/>
        <v>0</v>
      </c>
    </row>
    <row r="113" spans="1:16" x14ac:dyDescent="0.2">
      <c r="A113" s="912" t="s">
        <v>874</v>
      </c>
      <c r="B113" s="922" t="s">
        <v>935</v>
      </c>
      <c r="C113" s="914" t="s">
        <v>80</v>
      </c>
      <c r="D113" s="913" t="s">
        <v>1189</v>
      </c>
      <c r="E113" s="921">
        <v>2725</v>
      </c>
      <c r="F113" s="916" t="s">
        <v>1211</v>
      </c>
      <c r="G113" s="913" t="s">
        <v>1212</v>
      </c>
      <c r="H113" s="912" t="s">
        <v>1213</v>
      </c>
      <c r="I113" s="912" t="s">
        <v>940</v>
      </c>
      <c r="J113" s="912" t="s">
        <v>1067</v>
      </c>
      <c r="K113" s="919">
        <v>1</v>
      </c>
      <c r="L113" s="919">
        <v>3</v>
      </c>
      <c r="M113" s="917">
        <f>L113*E113</f>
        <v>8175</v>
      </c>
      <c r="N113" s="920"/>
      <c r="O113" s="920"/>
      <c r="P113" s="917">
        <f t="shared" si="4"/>
        <v>0</v>
      </c>
    </row>
    <row r="114" spans="1:16" x14ac:dyDescent="0.2">
      <c r="A114" s="912" t="s">
        <v>874</v>
      </c>
      <c r="B114" s="922" t="s">
        <v>935</v>
      </c>
      <c r="C114" s="914" t="s">
        <v>80</v>
      </c>
      <c r="D114" s="913" t="s">
        <v>1012</v>
      </c>
      <c r="E114" s="921">
        <v>2180</v>
      </c>
      <c r="F114" s="916" t="s">
        <v>1214</v>
      </c>
      <c r="G114" s="913" t="s">
        <v>1215</v>
      </c>
      <c r="H114" s="912" t="s">
        <v>1216</v>
      </c>
      <c r="I114" s="912" t="s">
        <v>940</v>
      </c>
      <c r="J114" s="912" t="s">
        <v>1217</v>
      </c>
      <c r="K114" s="919">
        <v>1</v>
      </c>
      <c r="L114" s="919">
        <v>1</v>
      </c>
      <c r="M114" s="917">
        <f>L114*E114</f>
        <v>2180</v>
      </c>
      <c r="N114" s="920"/>
      <c r="O114" s="920"/>
      <c r="P114" s="917">
        <f t="shared" si="4"/>
        <v>0</v>
      </c>
    </row>
    <row r="115" spans="1:16" x14ac:dyDescent="0.2">
      <c r="A115" s="912" t="s">
        <v>874</v>
      </c>
      <c r="B115" s="913" t="s">
        <v>935</v>
      </c>
      <c r="C115" s="914" t="s">
        <v>80</v>
      </c>
      <c r="D115" s="923" t="s">
        <v>1218</v>
      </c>
      <c r="E115" s="921">
        <v>2725</v>
      </c>
      <c r="F115" s="916" t="s">
        <v>1219</v>
      </c>
      <c r="G115" s="913" t="s">
        <v>1220</v>
      </c>
      <c r="H115" s="912" t="s">
        <v>994</v>
      </c>
      <c r="I115" s="912" t="s">
        <v>940</v>
      </c>
      <c r="J115" s="912" t="s">
        <v>994</v>
      </c>
      <c r="K115" s="919">
        <v>6</v>
      </c>
      <c r="L115" s="919">
        <v>10</v>
      </c>
      <c r="M115" s="917">
        <f>L115*E115</f>
        <v>27250</v>
      </c>
      <c r="N115" s="920">
        <v>3</v>
      </c>
      <c r="O115" s="920">
        <v>6</v>
      </c>
      <c r="P115" s="917">
        <f t="shared" si="4"/>
        <v>16350</v>
      </c>
    </row>
    <row r="116" spans="1:16" x14ac:dyDescent="0.2">
      <c r="A116" s="912" t="s">
        <v>874</v>
      </c>
      <c r="B116" s="922" t="s">
        <v>935</v>
      </c>
      <c r="C116" s="914" t="s">
        <v>80</v>
      </c>
      <c r="D116" s="913" t="s">
        <v>958</v>
      </c>
      <c r="E116" s="921">
        <v>2289</v>
      </c>
      <c r="F116" s="916" t="s">
        <v>1221</v>
      </c>
      <c r="G116" s="913" t="s">
        <v>1222</v>
      </c>
      <c r="H116" s="912" t="s">
        <v>1223</v>
      </c>
      <c r="I116" s="912" t="s">
        <v>940</v>
      </c>
      <c r="J116" s="912" t="s">
        <v>1223</v>
      </c>
      <c r="K116" s="919">
        <v>1</v>
      </c>
      <c r="L116" s="919">
        <v>3</v>
      </c>
      <c r="M116" s="917">
        <f>L116*E116</f>
        <v>6867</v>
      </c>
      <c r="N116" s="920">
        <v>3</v>
      </c>
      <c r="O116" s="920">
        <v>6</v>
      </c>
      <c r="P116" s="917">
        <f t="shared" si="4"/>
        <v>13734</v>
      </c>
    </row>
    <row r="117" spans="1:16" x14ac:dyDescent="0.2">
      <c r="A117" s="912" t="s">
        <v>874</v>
      </c>
      <c r="B117" s="913" t="s">
        <v>935</v>
      </c>
      <c r="C117" s="914" t="s">
        <v>80</v>
      </c>
      <c r="D117" s="912" t="s">
        <v>941</v>
      </c>
      <c r="E117" s="915">
        <v>2180</v>
      </c>
      <c r="F117" s="916">
        <v>73375667</v>
      </c>
      <c r="G117" s="912" t="s">
        <v>1224</v>
      </c>
      <c r="H117" s="913" t="s">
        <v>943</v>
      </c>
      <c r="I117" s="913" t="s">
        <v>940</v>
      </c>
      <c r="J117" s="913" t="s">
        <v>943</v>
      </c>
      <c r="K117" s="913"/>
      <c r="L117" s="913"/>
      <c r="M117" s="917"/>
      <c r="N117" s="916">
        <v>2</v>
      </c>
      <c r="O117" s="916">
        <v>2</v>
      </c>
      <c r="P117" s="917">
        <f t="shared" si="4"/>
        <v>4360</v>
      </c>
    </row>
    <row r="118" spans="1:16" x14ac:dyDescent="0.2">
      <c r="A118" s="912" t="s">
        <v>874</v>
      </c>
      <c r="B118" s="913" t="s">
        <v>935</v>
      </c>
      <c r="C118" s="914" t="s">
        <v>1195</v>
      </c>
      <c r="D118" s="912" t="s">
        <v>1225</v>
      </c>
      <c r="E118" s="915">
        <v>3270</v>
      </c>
      <c r="F118" s="914" t="s">
        <v>1226</v>
      </c>
      <c r="G118" s="912" t="s">
        <v>1227</v>
      </c>
      <c r="H118" s="913" t="s">
        <v>951</v>
      </c>
      <c r="I118" s="913" t="s">
        <v>940</v>
      </c>
      <c r="J118" s="913" t="s">
        <v>951</v>
      </c>
      <c r="K118" s="913"/>
      <c r="L118" s="913"/>
      <c r="M118" s="917"/>
      <c r="N118" s="916">
        <v>1</v>
      </c>
      <c r="O118" s="916">
        <v>1</v>
      </c>
      <c r="P118" s="917">
        <f t="shared" si="4"/>
        <v>3270</v>
      </c>
    </row>
    <row r="119" spans="1:16" x14ac:dyDescent="0.2">
      <c r="A119" s="912" t="s">
        <v>874</v>
      </c>
      <c r="B119" s="913" t="s">
        <v>935</v>
      </c>
      <c r="C119" s="914" t="s">
        <v>80</v>
      </c>
      <c r="D119" s="925" t="s">
        <v>1228</v>
      </c>
      <c r="E119" s="921">
        <v>1013.7</v>
      </c>
      <c r="F119" s="916" t="s">
        <v>1229</v>
      </c>
      <c r="G119" s="913" t="s">
        <v>1230</v>
      </c>
      <c r="H119" s="912" t="s">
        <v>1019</v>
      </c>
      <c r="I119" s="912" t="s">
        <v>1020</v>
      </c>
      <c r="J119" s="912"/>
      <c r="K119" s="919">
        <v>9</v>
      </c>
      <c r="L119" s="919">
        <v>12</v>
      </c>
      <c r="M119" s="917">
        <f t="shared" ref="M119:M128" si="5">L119*E119</f>
        <v>12164.400000000001</v>
      </c>
      <c r="N119" s="920">
        <v>6</v>
      </c>
      <c r="O119" s="920">
        <v>6</v>
      </c>
      <c r="P119" s="917">
        <f t="shared" si="4"/>
        <v>6082.2000000000007</v>
      </c>
    </row>
    <row r="120" spans="1:16" x14ac:dyDescent="0.2">
      <c r="A120" s="912" t="s">
        <v>874</v>
      </c>
      <c r="B120" s="922" t="s">
        <v>935</v>
      </c>
      <c r="C120" s="914" t="s">
        <v>80</v>
      </c>
      <c r="D120" s="913" t="s">
        <v>1231</v>
      </c>
      <c r="E120" s="921">
        <v>2725</v>
      </c>
      <c r="F120" s="916" t="s">
        <v>1232</v>
      </c>
      <c r="G120" s="913" t="s">
        <v>1233</v>
      </c>
      <c r="H120" s="912" t="s">
        <v>1234</v>
      </c>
      <c r="I120" s="912" t="s">
        <v>940</v>
      </c>
      <c r="J120" s="912" t="s">
        <v>1234</v>
      </c>
      <c r="K120" s="919">
        <v>1</v>
      </c>
      <c r="L120" s="919">
        <v>3</v>
      </c>
      <c r="M120" s="917">
        <f t="shared" si="5"/>
        <v>8175</v>
      </c>
      <c r="N120" s="920"/>
      <c r="O120" s="920"/>
      <c r="P120" s="917">
        <f t="shared" si="4"/>
        <v>0</v>
      </c>
    </row>
    <row r="121" spans="1:16" x14ac:dyDescent="0.2">
      <c r="A121" s="912" t="s">
        <v>874</v>
      </c>
      <c r="B121" s="922" t="s">
        <v>935</v>
      </c>
      <c r="C121" s="914" t="s">
        <v>80</v>
      </c>
      <c r="D121" s="913" t="s">
        <v>958</v>
      </c>
      <c r="E121" s="921">
        <v>2725</v>
      </c>
      <c r="F121" s="916" t="s">
        <v>1235</v>
      </c>
      <c r="G121" s="913" t="s">
        <v>1236</v>
      </c>
      <c r="H121" s="912" t="s">
        <v>1237</v>
      </c>
      <c r="I121" s="912" t="s">
        <v>940</v>
      </c>
      <c r="J121" s="912" t="s">
        <v>1067</v>
      </c>
      <c r="K121" s="919">
        <v>3</v>
      </c>
      <c r="L121" s="919">
        <v>6</v>
      </c>
      <c r="M121" s="917">
        <f t="shared" si="5"/>
        <v>16350</v>
      </c>
      <c r="N121" s="920">
        <v>6</v>
      </c>
      <c r="O121" s="920">
        <v>6</v>
      </c>
      <c r="P121" s="917">
        <f t="shared" si="4"/>
        <v>16350</v>
      </c>
    </row>
    <row r="122" spans="1:16" x14ac:dyDescent="0.2">
      <c r="A122" s="912" t="s">
        <v>874</v>
      </c>
      <c r="B122" s="912" t="s">
        <v>935</v>
      </c>
      <c r="C122" s="914" t="s">
        <v>80</v>
      </c>
      <c r="D122" s="913" t="s">
        <v>958</v>
      </c>
      <c r="E122" s="921">
        <v>1635</v>
      </c>
      <c r="F122" s="916" t="s">
        <v>1238</v>
      </c>
      <c r="G122" s="913" t="s">
        <v>1239</v>
      </c>
      <c r="H122" s="912"/>
      <c r="I122" s="912"/>
      <c r="J122" s="912"/>
      <c r="K122" s="926">
        <v>6</v>
      </c>
      <c r="L122" s="919">
        <v>9</v>
      </c>
      <c r="M122" s="917">
        <f t="shared" si="5"/>
        <v>14715</v>
      </c>
      <c r="N122" s="914">
        <v>6</v>
      </c>
      <c r="O122" s="914">
        <v>6</v>
      </c>
      <c r="P122" s="917">
        <f t="shared" si="4"/>
        <v>9810</v>
      </c>
    </row>
    <row r="123" spans="1:16" x14ac:dyDescent="0.2">
      <c r="A123" s="912" t="s">
        <v>874</v>
      </c>
      <c r="B123" s="913" t="s">
        <v>935</v>
      </c>
      <c r="C123" s="914" t="s">
        <v>80</v>
      </c>
      <c r="D123" s="923" t="s">
        <v>1240</v>
      </c>
      <c r="E123" s="921">
        <v>3270</v>
      </c>
      <c r="F123" s="916" t="s">
        <v>1241</v>
      </c>
      <c r="G123" s="913" t="s">
        <v>1242</v>
      </c>
      <c r="H123" s="912" t="s">
        <v>994</v>
      </c>
      <c r="I123" s="912" t="s">
        <v>940</v>
      </c>
      <c r="J123" s="912" t="s">
        <v>994</v>
      </c>
      <c r="K123" s="926">
        <v>6</v>
      </c>
      <c r="L123" s="919">
        <v>10</v>
      </c>
      <c r="M123" s="917">
        <f t="shared" si="5"/>
        <v>32700</v>
      </c>
      <c r="N123" s="914">
        <v>3</v>
      </c>
      <c r="O123" s="914">
        <v>6</v>
      </c>
      <c r="P123" s="917">
        <f t="shared" si="4"/>
        <v>19620</v>
      </c>
    </row>
    <row r="124" spans="1:16" x14ac:dyDescent="0.2">
      <c r="A124" s="912" t="s">
        <v>874</v>
      </c>
      <c r="B124" s="912" t="s">
        <v>935</v>
      </c>
      <c r="C124" s="914" t="s">
        <v>80</v>
      </c>
      <c r="D124" s="913" t="s">
        <v>1122</v>
      </c>
      <c r="E124" s="921">
        <v>3270</v>
      </c>
      <c r="F124" s="916" t="s">
        <v>1243</v>
      </c>
      <c r="G124" s="913" t="s">
        <v>1244</v>
      </c>
      <c r="H124" s="912" t="s">
        <v>1245</v>
      </c>
      <c r="I124" s="912" t="s">
        <v>940</v>
      </c>
      <c r="J124" s="912" t="s">
        <v>1245</v>
      </c>
      <c r="K124" s="926">
        <v>5</v>
      </c>
      <c r="L124" s="919">
        <v>3</v>
      </c>
      <c r="M124" s="917">
        <f t="shared" si="5"/>
        <v>9810</v>
      </c>
      <c r="N124" s="914"/>
      <c r="O124" s="914"/>
      <c r="P124" s="917">
        <f t="shared" si="4"/>
        <v>0</v>
      </c>
    </row>
    <row r="125" spans="1:16" x14ac:dyDescent="0.2">
      <c r="A125" s="912" t="s">
        <v>874</v>
      </c>
      <c r="B125" s="912" t="s">
        <v>935</v>
      </c>
      <c r="C125" s="914" t="s">
        <v>80</v>
      </c>
      <c r="D125" s="913" t="s">
        <v>1246</v>
      </c>
      <c r="E125" s="921">
        <v>1013.7</v>
      </c>
      <c r="F125" s="916" t="s">
        <v>1247</v>
      </c>
      <c r="G125" s="913" t="s">
        <v>1248</v>
      </c>
      <c r="H125" s="912" t="s">
        <v>1019</v>
      </c>
      <c r="I125" s="912" t="s">
        <v>1020</v>
      </c>
      <c r="J125" s="912"/>
      <c r="K125" s="926">
        <v>8</v>
      </c>
      <c r="L125" s="919">
        <v>12</v>
      </c>
      <c r="M125" s="917">
        <f t="shared" si="5"/>
        <v>12164.400000000001</v>
      </c>
      <c r="N125" s="914">
        <v>6</v>
      </c>
      <c r="O125" s="914">
        <v>6</v>
      </c>
      <c r="P125" s="917">
        <f t="shared" si="4"/>
        <v>6082.2000000000007</v>
      </c>
    </row>
    <row r="126" spans="1:16" x14ac:dyDescent="0.2">
      <c r="A126" s="912" t="s">
        <v>874</v>
      </c>
      <c r="B126" s="912" t="s">
        <v>935</v>
      </c>
      <c r="C126" s="914" t="s">
        <v>80</v>
      </c>
      <c r="D126" s="913" t="s">
        <v>968</v>
      </c>
      <c r="E126" s="921">
        <v>3270</v>
      </c>
      <c r="F126" s="916" t="s">
        <v>1249</v>
      </c>
      <c r="G126" s="913" t="s">
        <v>1250</v>
      </c>
      <c r="H126" s="912" t="s">
        <v>1251</v>
      </c>
      <c r="I126" s="912" t="s">
        <v>940</v>
      </c>
      <c r="J126" s="912" t="s">
        <v>1251</v>
      </c>
      <c r="K126" s="926">
        <v>4</v>
      </c>
      <c r="L126" s="919">
        <v>6</v>
      </c>
      <c r="M126" s="917">
        <f t="shared" si="5"/>
        <v>19620</v>
      </c>
      <c r="N126" s="914"/>
      <c r="O126" s="914"/>
      <c r="P126" s="917">
        <f t="shared" si="4"/>
        <v>0</v>
      </c>
    </row>
    <row r="127" spans="1:16" x14ac:dyDescent="0.2">
      <c r="A127" s="912" t="s">
        <v>874</v>
      </c>
      <c r="B127" s="912" t="s">
        <v>935</v>
      </c>
      <c r="C127" s="914" t="s">
        <v>80</v>
      </c>
      <c r="D127" s="913" t="s">
        <v>958</v>
      </c>
      <c r="E127" s="921">
        <v>1635</v>
      </c>
      <c r="F127" s="916" t="s">
        <v>1252</v>
      </c>
      <c r="G127" s="913" t="s">
        <v>1253</v>
      </c>
      <c r="H127" s="912" t="s">
        <v>1254</v>
      </c>
      <c r="I127" s="912" t="s">
        <v>940</v>
      </c>
      <c r="J127" s="912" t="s">
        <v>1254</v>
      </c>
      <c r="K127" s="926">
        <v>1</v>
      </c>
      <c r="L127" s="919">
        <v>3</v>
      </c>
      <c r="M127" s="917">
        <f t="shared" si="5"/>
        <v>4905</v>
      </c>
      <c r="N127" s="914">
        <v>1</v>
      </c>
      <c r="O127" s="914">
        <v>1</v>
      </c>
      <c r="P127" s="917">
        <f t="shared" si="4"/>
        <v>1635</v>
      </c>
    </row>
    <row r="128" spans="1:16" x14ac:dyDescent="0.2">
      <c r="A128" s="912" t="s">
        <v>874</v>
      </c>
      <c r="B128" s="913" t="s">
        <v>935</v>
      </c>
      <c r="C128" s="914" t="s">
        <v>80</v>
      </c>
      <c r="D128" s="927" t="s">
        <v>1255</v>
      </c>
      <c r="E128" s="915">
        <v>1090</v>
      </c>
      <c r="F128" s="916" t="s">
        <v>1256</v>
      </c>
      <c r="G128" s="913" t="s">
        <v>1257</v>
      </c>
      <c r="H128" s="913" t="s">
        <v>1258</v>
      </c>
      <c r="I128" s="913" t="s">
        <v>940</v>
      </c>
      <c r="J128" s="913" t="s">
        <v>1258</v>
      </c>
      <c r="K128" s="928">
        <v>6</v>
      </c>
      <c r="L128" s="919">
        <v>10</v>
      </c>
      <c r="M128" s="917">
        <f t="shared" si="5"/>
        <v>10900</v>
      </c>
      <c r="N128" s="916"/>
      <c r="O128" s="916"/>
      <c r="P128" s="917">
        <f t="shared" si="4"/>
        <v>0</v>
      </c>
    </row>
    <row r="129" spans="1:16" x14ac:dyDescent="0.2">
      <c r="A129" s="912" t="s">
        <v>874</v>
      </c>
      <c r="B129" s="913" t="s">
        <v>935</v>
      </c>
      <c r="C129" s="914" t="s">
        <v>80</v>
      </c>
      <c r="D129" s="927" t="s">
        <v>1255</v>
      </c>
      <c r="E129" s="915">
        <v>1962</v>
      </c>
      <c r="F129" s="916" t="s">
        <v>1256</v>
      </c>
      <c r="G129" s="913" t="s">
        <v>1257</v>
      </c>
      <c r="H129" s="913" t="s">
        <v>1258</v>
      </c>
      <c r="I129" s="913" t="s">
        <v>940</v>
      </c>
      <c r="J129" s="913" t="s">
        <v>1258</v>
      </c>
      <c r="K129" s="913"/>
      <c r="L129" s="913"/>
      <c r="M129" s="917"/>
      <c r="N129" s="916">
        <v>1</v>
      </c>
      <c r="O129" s="916">
        <v>4</v>
      </c>
      <c r="P129" s="917">
        <f t="shared" si="4"/>
        <v>7848</v>
      </c>
    </row>
    <row r="130" spans="1:16" x14ac:dyDescent="0.2">
      <c r="A130" s="912" t="s">
        <v>874</v>
      </c>
      <c r="B130" s="913" t="s">
        <v>935</v>
      </c>
      <c r="C130" s="914" t="s">
        <v>80</v>
      </c>
      <c r="D130" s="913" t="s">
        <v>958</v>
      </c>
      <c r="E130" s="915">
        <v>1635</v>
      </c>
      <c r="F130" s="916" t="s">
        <v>1259</v>
      </c>
      <c r="G130" s="913" t="s">
        <v>1260</v>
      </c>
      <c r="H130" s="913" t="s">
        <v>956</v>
      </c>
      <c r="I130" s="913" t="s">
        <v>940</v>
      </c>
      <c r="J130" s="913" t="s">
        <v>956</v>
      </c>
      <c r="K130" s="928">
        <v>6</v>
      </c>
      <c r="L130" s="919">
        <v>9</v>
      </c>
      <c r="M130" s="917">
        <f t="shared" ref="M130:M154" si="6">L130*E130</f>
        <v>14715</v>
      </c>
      <c r="N130" s="916">
        <v>6</v>
      </c>
      <c r="O130" s="916">
        <v>6</v>
      </c>
      <c r="P130" s="917">
        <f t="shared" si="4"/>
        <v>9810</v>
      </c>
    </row>
    <row r="131" spans="1:16" x14ac:dyDescent="0.2">
      <c r="A131" s="912" t="s">
        <v>874</v>
      </c>
      <c r="B131" s="913" t="s">
        <v>935</v>
      </c>
      <c r="C131" s="914" t="s">
        <v>80</v>
      </c>
      <c r="D131" s="925" t="s">
        <v>1261</v>
      </c>
      <c r="E131" s="915">
        <v>1417</v>
      </c>
      <c r="F131" s="916" t="s">
        <v>1262</v>
      </c>
      <c r="G131" s="913" t="s">
        <v>1263</v>
      </c>
      <c r="H131" s="912" t="s">
        <v>1019</v>
      </c>
      <c r="I131" s="912" t="s">
        <v>1020</v>
      </c>
      <c r="J131" s="913"/>
      <c r="K131" s="928">
        <v>8</v>
      </c>
      <c r="L131" s="919">
        <v>12</v>
      </c>
      <c r="M131" s="917">
        <f t="shared" si="6"/>
        <v>17004</v>
      </c>
      <c r="N131" s="916">
        <v>2</v>
      </c>
      <c r="O131" s="916">
        <v>6</v>
      </c>
      <c r="P131" s="917">
        <f t="shared" si="4"/>
        <v>8502</v>
      </c>
    </row>
    <row r="132" spans="1:16" x14ac:dyDescent="0.2">
      <c r="A132" s="912" t="s">
        <v>874</v>
      </c>
      <c r="B132" s="924" t="s">
        <v>1089</v>
      </c>
      <c r="C132" s="914" t="s">
        <v>80</v>
      </c>
      <c r="D132" s="913" t="s">
        <v>968</v>
      </c>
      <c r="E132" s="915">
        <v>2725</v>
      </c>
      <c r="F132" s="916" t="s">
        <v>1264</v>
      </c>
      <c r="G132" s="913" t="s">
        <v>1265</v>
      </c>
      <c r="H132" s="912" t="s">
        <v>1266</v>
      </c>
      <c r="I132" s="912" t="s">
        <v>940</v>
      </c>
      <c r="J132" s="913" t="s">
        <v>1266</v>
      </c>
      <c r="K132" s="928">
        <v>4</v>
      </c>
      <c r="L132" s="919">
        <v>8</v>
      </c>
      <c r="M132" s="917">
        <f t="shared" si="6"/>
        <v>21800</v>
      </c>
      <c r="N132" s="916">
        <v>6</v>
      </c>
      <c r="O132" s="916">
        <v>6</v>
      </c>
      <c r="P132" s="917">
        <f t="shared" si="4"/>
        <v>16350</v>
      </c>
    </row>
    <row r="133" spans="1:16" x14ac:dyDescent="0.2">
      <c r="A133" s="912" t="s">
        <v>874</v>
      </c>
      <c r="B133" s="913" t="s">
        <v>935</v>
      </c>
      <c r="C133" s="914" t="s">
        <v>80</v>
      </c>
      <c r="D133" s="913" t="s">
        <v>952</v>
      </c>
      <c r="E133" s="915">
        <v>2180</v>
      </c>
      <c r="F133" s="916" t="s">
        <v>1267</v>
      </c>
      <c r="G133" s="913" t="s">
        <v>1268</v>
      </c>
      <c r="H133" s="913" t="s">
        <v>1269</v>
      </c>
      <c r="I133" s="913" t="s">
        <v>940</v>
      </c>
      <c r="J133" s="913" t="s">
        <v>1269</v>
      </c>
      <c r="K133" s="928">
        <v>5</v>
      </c>
      <c r="L133" s="919">
        <v>7</v>
      </c>
      <c r="M133" s="917">
        <f t="shared" si="6"/>
        <v>15260</v>
      </c>
      <c r="N133" s="916"/>
      <c r="O133" s="916"/>
      <c r="P133" s="917">
        <f t="shared" si="4"/>
        <v>0</v>
      </c>
    </row>
    <row r="134" spans="1:16" x14ac:dyDescent="0.2">
      <c r="A134" s="912" t="s">
        <v>874</v>
      </c>
      <c r="B134" s="913" t="s">
        <v>935</v>
      </c>
      <c r="C134" s="914" t="s">
        <v>80</v>
      </c>
      <c r="D134" s="913" t="s">
        <v>1270</v>
      </c>
      <c r="E134" s="915">
        <v>3052</v>
      </c>
      <c r="F134" s="916" t="s">
        <v>1271</v>
      </c>
      <c r="G134" s="913" t="s">
        <v>1272</v>
      </c>
      <c r="H134" s="913" t="s">
        <v>1273</v>
      </c>
      <c r="I134" s="913" t="s">
        <v>940</v>
      </c>
      <c r="J134" s="913" t="s">
        <v>1273</v>
      </c>
      <c r="K134" s="928">
        <v>5</v>
      </c>
      <c r="L134" s="919">
        <v>8</v>
      </c>
      <c r="M134" s="917">
        <f t="shared" si="6"/>
        <v>24416</v>
      </c>
      <c r="N134" s="916">
        <v>6</v>
      </c>
      <c r="O134" s="916">
        <v>6</v>
      </c>
      <c r="P134" s="917">
        <f t="shared" si="4"/>
        <v>18312</v>
      </c>
    </row>
    <row r="135" spans="1:16" x14ac:dyDescent="0.2">
      <c r="A135" s="912" t="s">
        <v>874</v>
      </c>
      <c r="B135" s="913" t="s">
        <v>935</v>
      </c>
      <c r="C135" s="914" t="s">
        <v>80</v>
      </c>
      <c r="D135" s="913" t="s">
        <v>1274</v>
      </c>
      <c r="E135" s="915">
        <v>3270</v>
      </c>
      <c r="F135" s="916" t="s">
        <v>1275</v>
      </c>
      <c r="G135" s="913" t="s">
        <v>1276</v>
      </c>
      <c r="H135" s="913" t="s">
        <v>1277</v>
      </c>
      <c r="I135" s="913" t="s">
        <v>940</v>
      </c>
      <c r="J135" s="913" t="s">
        <v>1277</v>
      </c>
      <c r="K135" s="928">
        <v>6</v>
      </c>
      <c r="L135" s="919">
        <v>9</v>
      </c>
      <c r="M135" s="917">
        <f t="shared" si="6"/>
        <v>29430</v>
      </c>
      <c r="N135" s="916">
        <v>6</v>
      </c>
      <c r="O135" s="916">
        <v>6</v>
      </c>
      <c r="P135" s="917">
        <f t="shared" si="4"/>
        <v>19620</v>
      </c>
    </row>
    <row r="136" spans="1:16" x14ac:dyDescent="0.2">
      <c r="A136" s="912" t="s">
        <v>874</v>
      </c>
      <c r="B136" s="913" t="s">
        <v>935</v>
      </c>
      <c r="C136" s="914" t="s">
        <v>80</v>
      </c>
      <c r="D136" s="913" t="s">
        <v>976</v>
      </c>
      <c r="E136" s="915">
        <v>1635</v>
      </c>
      <c r="F136" s="916" t="s">
        <v>1278</v>
      </c>
      <c r="G136" s="913" t="s">
        <v>1279</v>
      </c>
      <c r="H136" s="913" t="s">
        <v>976</v>
      </c>
      <c r="I136" s="913" t="s">
        <v>940</v>
      </c>
      <c r="J136" s="913" t="s">
        <v>1280</v>
      </c>
      <c r="K136" s="928">
        <v>1</v>
      </c>
      <c r="L136" s="919">
        <v>2</v>
      </c>
      <c r="M136" s="917">
        <f t="shared" si="6"/>
        <v>3270</v>
      </c>
      <c r="N136" s="916"/>
      <c r="O136" s="916"/>
      <c r="P136" s="917">
        <f t="shared" si="4"/>
        <v>0</v>
      </c>
    </row>
    <row r="137" spans="1:16" x14ac:dyDescent="0.2">
      <c r="A137" s="912" t="s">
        <v>874</v>
      </c>
      <c r="B137" s="913" t="s">
        <v>935</v>
      </c>
      <c r="C137" s="914" t="s">
        <v>80</v>
      </c>
      <c r="D137" s="925" t="s">
        <v>1144</v>
      </c>
      <c r="E137" s="915">
        <v>1417</v>
      </c>
      <c r="F137" s="916" t="s">
        <v>1281</v>
      </c>
      <c r="G137" s="913" t="s">
        <v>1282</v>
      </c>
      <c r="H137" s="913" t="s">
        <v>1019</v>
      </c>
      <c r="I137" s="913" t="s">
        <v>1020</v>
      </c>
      <c r="J137" s="913"/>
      <c r="K137" s="928">
        <v>6</v>
      </c>
      <c r="L137" s="919">
        <v>12</v>
      </c>
      <c r="M137" s="917">
        <f t="shared" si="6"/>
        <v>17004</v>
      </c>
      <c r="N137" s="916">
        <v>2</v>
      </c>
      <c r="O137" s="916">
        <v>6</v>
      </c>
      <c r="P137" s="917">
        <f t="shared" si="4"/>
        <v>8502</v>
      </c>
    </row>
    <row r="138" spans="1:16" x14ac:dyDescent="0.2">
      <c r="A138" s="912" t="s">
        <v>874</v>
      </c>
      <c r="B138" s="913" t="s">
        <v>935</v>
      </c>
      <c r="C138" s="914" t="s">
        <v>80</v>
      </c>
      <c r="D138" s="913" t="s">
        <v>1283</v>
      </c>
      <c r="E138" s="915">
        <v>4905</v>
      </c>
      <c r="F138" s="916" t="s">
        <v>1284</v>
      </c>
      <c r="G138" s="913" t="s">
        <v>1285</v>
      </c>
      <c r="H138" s="913" t="s">
        <v>1286</v>
      </c>
      <c r="I138" s="913" t="s">
        <v>940</v>
      </c>
      <c r="J138" s="913" t="s">
        <v>1286</v>
      </c>
      <c r="K138" s="928">
        <v>1</v>
      </c>
      <c r="L138" s="919">
        <v>3</v>
      </c>
      <c r="M138" s="917">
        <f t="shared" si="6"/>
        <v>14715</v>
      </c>
      <c r="N138" s="916"/>
      <c r="O138" s="916"/>
      <c r="P138" s="917">
        <f t="shared" si="4"/>
        <v>0</v>
      </c>
    </row>
    <row r="139" spans="1:16" x14ac:dyDescent="0.2">
      <c r="A139" s="912" t="s">
        <v>874</v>
      </c>
      <c r="B139" s="913" t="s">
        <v>935</v>
      </c>
      <c r="C139" s="914" t="s">
        <v>80</v>
      </c>
      <c r="D139" s="929" t="s">
        <v>1246</v>
      </c>
      <c r="E139" s="915">
        <v>1962</v>
      </c>
      <c r="F139" s="916" t="s">
        <v>1287</v>
      </c>
      <c r="G139" s="913" t="s">
        <v>1288</v>
      </c>
      <c r="H139" s="913" t="s">
        <v>1019</v>
      </c>
      <c r="I139" s="913" t="s">
        <v>1020</v>
      </c>
      <c r="J139" s="913"/>
      <c r="K139" s="928">
        <v>6</v>
      </c>
      <c r="L139" s="919">
        <v>10</v>
      </c>
      <c r="M139" s="917">
        <f t="shared" si="6"/>
        <v>19620</v>
      </c>
      <c r="N139" s="916">
        <v>3</v>
      </c>
      <c r="O139" s="916">
        <v>6</v>
      </c>
      <c r="P139" s="917">
        <f t="shared" si="4"/>
        <v>11772</v>
      </c>
    </row>
    <row r="140" spans="1:16" x14ac:dyDescent="0.2">
      <c r="A140" s="912" t="s">
        <v>874</v>
      </c>
      <c r="B140" s="913" t="s">
        <v>935</v>
      </c>
      <c r="C140" s="914" t="s">
        <v>80</v>
      </c>
      <c r="D140" s="913" t="s">
        <v>958</v>
      </c>
      <c r="E140" s="915">
        <v>1635</v>
      </c>
      <c r="F140" s="916" t="s">
        <v>1289</v>
      </c>
      <c r="G140" s="913" t="s">
        <v>1290</v>
      </c>
      <c r="H140" s="913" t="s">
        <v>1291</v>
      </c>
      <c r="I140" s="913" t="s">
        <v>940</v>
      </c>
      <c r="J140" s="913" t="s">
        <v>1291</v>
      </c>
      <c r="K140" s="928">
        <v>4</v>
      </c>
      <c r="L140" s="919">
        <v>6</v>
      </c>
      <c r="M140" s="917">
        <f t="shared" si="6"/>
        <v>9810</v>
      </c>
      <c r="N140" s="916"/>
      <c r="O140" s="916"/>
      <c r="P140" s="917">
        <f t="shared" si="4"/>
        <v>0</v>
      </c>
    </row>
    <row r="141" spans="1:16" x14ac:dyDescent="0.2">
      <c r="A141" s="912" t="s">
        <v>874</v>
      </c>
      <c r="B141" s="913" t="s">
        <v>935</v>
      </c>
      <c r="C141" s="914" t="s">
        <v>80</v>
      </c>
      <c r="D141" s="913" t="s">
        <v>968</v>
      </c>
      <c r="E141" s="915">
        <v>3270</v>
      </c>
      <c r="F141" s="916" t="s">
        <v>1292</v>
      </c>
      <c r="G141" s="913" t="s">
        <v>1293</v>
      </c>
      <c r="H141" s="913" t="s">
        <v>1251</v>
      </c>
      <c r="I141" s="913" t="s">
        <v>940</v>
      </c>
      <c r="J141" s="913" t="s">
        <v>1251</v>
      </c>
      <c r="K141" s="928">
        <v>4</v>
      </c>
      <c r="L141" s="919">
        <v>6</v>
      </c>
      <c r="M141" s="917">
        <f t="shared" si="6"/>
        <v>19620</v>
      </c>
      <c r="N141" s="916"/>
      <c r="O141" s="916"/>
      <c r="P141" s="917">
        <f t="shared" si="4"/>
        <v>0</v>
      </c>
    </row>
    <row r="142" spans="1:16" x14ac:dyDescent="0.2">
      <c r="A142" s="912" t="s">
        <v>874</v>
      </c>
      <c r="B142" s="913" t="s">
        <v>935</v>
      </c>
      <c r="C142" s="914" t="s">
        <v>80</v>
      </c>
      <c r="D142" s="913" t="s">
        <v>1294</v>
      </c>
      <c r="E142" s="915">
        <v>1417</v>
      </c>
      <c r="F142" s="916" t="s">
        <v>1295</v>
      </c>
      <c r="G142" s="913" t="s">
        <v>1296</v>
      </c>
      <c r="H142" s="913" t="s">
        <v>1155</v>
      </c>
      <c r="I142" s="913" t="s">
        <v>1020</v>
      </c>
      <c r="J142" s="913"/>
      <c r="K142" s="928">
        <v>8</v>
      </c>
      <c r="L142" s="919">
        <v>12</v>
      </c>
      <c r="M142" s="917">
        <f t="shared" si="6"/>
        <v>17004</v>
      </c>
      <c r="N142" s="916">
        <v>4</v>
      </c>
      <c r="O142" s="916">
        <v>6</v>
      </c>
      <c r="P142" s="917">
        <f t="shared" si="4"/>
        <v>8502</v>
      </c>
    </row>
    <row r="143" spans="1:16" x14ac:dyDescent="0.2">
      <c r="A143" s="912" t="s">
        <v>874</v>
      </c>
      <c r="B143" s="913" t="s">
        <v>935</v>
      </c>
      <c r="C143" s="914" t="s">
        <v>80</v>
      </c>
      <c r="D143" s="913" t="s">
        <v>1122</v>
      </c>
      <c r="E143" s="915">
        <v>3052</v>
      </c>
      <c r="F143" s="916" t="s">
        <v>1297</v>
      </c>
      <c r="G143" s="913" t="s">
        <v>1298</v>
      </c>
      <c r="H143" s="913" t="s">
        <v>1251</v>
      </c>
      <c r="I143" s="913" t="s">
        <v>940</v>
      </c>
      <c r="J143" s="913" t="s">
        <v>1251</v>
      </c>
      <c r="K143" s="928">
        <v>6</v>
      </c>
      <c r="L143" s="919">
        <v>9</v>
      </c>
      <c r="M143" s="917">
        <f t="shared" si="6"/>
        <v>27468</v>
      </c>
      <c r="N143" s="916"/>
      <c r="O143" s="916"/>
      <c r="P143" s="917">
        <f t="shared" si="4"/>
        <v>0</v>
      </c>
    </row>
    <row r="144" spans="1:16" x14ac:dyDescent="0.2">
      <c r="A144" s="912" t="s">
        <v>874</v>
      </c>
      <c r="B144" s="913" t="s">
        <v>935</v>
      </c>
      <c r="C144" s="914" t="s">
        <v>80</v>
      </c>
      <c r="D144" s="913" t="s">
        <v>1246</v>
      </c>
      <c r="E144" s="915">
        <v>2180</v>
      </c>
      <c r="F144" s="916" t="s">
        <v>1299</v>
      </c>
      <c r="G144" s="913" t="s">
        <v>1300</v>
      </c>
      <c r="H144" s="913" t="s">
        <v>1019</v>
      </c>
      <c r="I144" s="913" t="s">
        <v>1020</v>
      </c>
      <c r="J144" s="913"/>
      <c r="K144" s="928">
        <v>1</v>
      </c>
      <c r="L144" s="919">
        <v>2</v>
      </c>
      <c r="M144" s="917">
        <f t="shared" si="6"/>
        <v>4360</v>
      </c>
      <c r="N144" s="916"/>
      <c r="O144" s="916"/>
      <c r="P144" s="917">
        <f t="shared" si="4"/>
        <v>0</v>
      </c>
    </row>
    <row r="145" spans="1:16" x14ac:dyDescent="0.2">
      <c r="A145" s="912" t="s">
        <v>874</v>
      </c>
      <c r="B145" s="913" t="s">
        <v>935</v>
      </c>
      <c r="C145" s="914" t="s">
        <v>80</v>
      </c>
      <c r="D145" s="913" t="s">
        <v>1108</v>
      </c>
      <c r="E145" s="915">
        <v>2725</v>
      </c>
      <c r="F145" s="916" t="s">
        <v>1301</v>
      </c>
      <c r="G145" s="913" t="s">
        <v>1302</v>
      </c>
      <c r="H145" s="913" t="s">
        <v>1258</v>
      </c>
      <c r="I145" s="913" t="s">
        <v>940</v>
      </c>
      <c r="J145" s="913" t="s">
        <v>1258</v>
      </c>
      <c r="K145" s="928">
        <v>5</v>
      </c>
      <c r="L145" s="919">
        <v>8</v>
      </c>
      <c r="M145" s="917">
        <f t="shared" si="6"/>
        <v>21800</v>
      </c>
      <c r="N145" s="916">
        <v>6</v>
      </c>
      <c r="O145" s="916">
        <v>6</v>
      </c>
      <c r="P145" s="917">
        <f t="shared" si="4"/>
        <v>16350</v>
      </c>
    </row>
    <row r="146" spans="1:16" x14ac:dyDescent="0.2">
      <c r="A146" s="912" t="s">
        <v>874</v>
      </c>
      <c r="B146" s="913" t="s">
        <v>935</v>
      </c>
      <c r="C146" s="914" t="s">
        <v>80</v>
      </c>
      <c r="D146" s="913" t="s">
        <v>1246</v>
      </c>
      <c r="E146" s="915">
        <v>1744</v>
      </c>
      <c r="F146" s="916" t="s">
        <v>1303</v>
      </c>
      <c r="G146" s="913" t="s">
        <v>1304</v>
      </c>
      <c r="H146" s="913" t="s">
        <v>1019</v>
      </c>
      <c r="I146" s="913" t="s">
        <v>1020</v>
      </c>
      <c r="J146" s="913" t="s">
        <v>1155</v>
      </c>
      <c r="K146" s="928">
        <v>9</v>
      </c>
      <c r="L146" s="919">
        <v>12</v>
      </c>
      <c r="M146" s="917">
        <f t="shared" si="6"/>
        <v>20928</v>
      </c>
      <c r="N146" s="916">
        <v>6</v>
      </c>
      <c r="O146" s="916">
        <v>6</v>
      </c>
      <c r="P146" s="917">
        <f t="shared" si="4"/>
        <v>10464</v>
      </c>
    </row>
    <row r="147" spans="1:16" x14ac:dyDescent="0.2">
      <c r="A147" s="912" t="s">
        <v>874</v>
      </c>
      <c r="B147" s="913" t="s">
        <v>935</v>
      </c>
      <c r="C147" s="914" t="s">
        <v>80</v>
      </c>
      <c r="D147" s="913" t="s">
        <v>1122</v>
      </c>
      <c r="E147" s="915">
        <v>3052</v>
      </c>
      <c r="F147" s="916" t="s">
        <v>1305</v>
      </c>
      <c r="G147" s="913" t="s">
        <v>1306</v>
      </c>
      <c r="H147" s="913" t="s">
        <v>1111</v>
      </c>
      <c r="I147" s="913" t="s">
        <v>940</v>
      </c>
      <c r="J147" s="913" t="s">
        <v>1111</v>
      </c>
      <c r="K147" s="928">
        <v>6</v>
      </c>
      <c r="L147" s="919">
        <v>9</v>
      </c>
      <c r="M147" s="917">
        <f t="shared" si="6"/>
        <v>27468</v>
      </c>
      <c r="N147" s="916">
        <v>6</v>
      </c>
      <c r="O147" s="916">
        <v>6</v>
      </c>
      <c r="P147" s="917">
        <f t="shared" si="4"/>
        <v>18312</v>
      </c>
    </row>
    <row r="148" spans="1:16" x14ac:dyDescent="0.2">
      <c r="A148" s="912" t="s">
        <v>874</v>
      </c>
      <c r="B148" s="924" t="s">
        <v>1089</v>
      </c>
      <c r="C148" s="914" t="s">
        <v>80</v>
      </c>
      <c r="D148" s="913" t="s">
        <v>968</v>
      </c>
      <c r="E148" s="915">
        <v>2725</v>
      </c>
      <c r="F148" s="916" t="s">
        <v>1307</v>
      </c>
      <c r="G148" s="913" t="s">
        <v>1308</v>
      </c>
      <c r="H148" s="913" t="s">
        <v>1309</v>
      </c>
      <c r="I148" s="913" t="s">
        <v>940</v>
      </c>
      <c r="J148" s="913" t="s">
        <v>1309</v>
      </c>
      <c r="K148" s="928">
        <v>5</v>
      </c>
      <c r="L148" s="919">
        <v>8</v>
      </c>
      <c r="M148" s="917">
        <f t="shared" si="6"/>
        <v>21800</v>
      </c>
      <c r="N148" s="916">
        <v>6</v>
      </c>
      <c r="O148" s="916">
        <v>6</v>
      </c>
      <c r="P148" s="917">
        <f t="shared" si="4"/>
        <v>16350</v>
      </c>
    </row>
    <row r="149" spans="1:16" x14ac:dyDescent="0.2">
      <c r="A149" s="912" t="s">
        <v>874</v>
      </c>
      <c r="B149" s="913" t="s">
        <v>935</v>
      </c>
      <c r="C149" s="914" t="s">
        <v>80</v>
      </c>
      <c r="D149" s="913" t="s">
        <v>1310</v>
      </c>
      <c r="E149" s="915">
        <v>4905</v>
      </c>
      <c r="F149" s="916" t="s">
        <v>1311</v>
      </c>
      <c r="G149" s="913" t="s">
        <v>1312</v>
      </c>
      <c r="H149" s="913" t="s">
        <v>956</v>
      </c>
      <c r="I149" s="912" t="s">
        <v>1036</v>
      </c>
      <c r="J149" s="913" t="s">
        <v>956</v>
      </c>
      <c r="K149" s="928">
        <v>2</v>
      </c>
      <c r="L149" s="919">
        <v>4</v>
      </c>
      <c r="M149" s="917">
        <f t="shared" si="6"/>
        <v>19620</v>
      </c>
      <c r="N149" s="916">
        <v>3</v>
      </c>
      <c r="O149" s="916">
        <v>6</v>
      </c>
      <c r="P149" s="917">
        <f t="shared" si="4"/>
        <v>29430</v>
      </c>
    </row>
    <row r="150" spans="1:16" x14ac:dyDescent="0.2">
      <c r="A150" s="912" t="s">
        <v>874</v>
      </c>
      <c r="B150" s="913" t="s">
        <v>935</v>
      </c>
      <c r="C150" s="914" t="s">
        <v>80</v>
      </c>
      <c r="D150" s="913" t="s">
        <v>1313</v>
      </c>
      <c r="E150" s="915">
        <v>4360</v>
      </c>
      <c r="F150" s="916" t="s">
        <v>1314</v>
      </c>
      <c r="G150" s="913" t="s">
        <v>1315</v>
      </c>
      <c r="H150" s="913" t="s">
        <v>1067</v>
      </c>
      <c r="I150" s="913" t="s">
        <v>940</v>
      </c>
      <c r="J150" s="913" t="s">
        <v>1067</v>
      </c>
      <c r="K150" s="928">
        <v>6</v>
      </c>
      <c r="L150" s="919">
        <v>12</v>
      </c>
      <c r="M150" s="917">
        <f t="shared" si="6"/>
        <v>52320</v>
      </c>
      <c r="N150" s="916">
        <v>4</v>
      </c>
      <c r="O150" s="916">
        <v>6</v>
      </c>
      <c r="P150" s="917">
        <f t="shared" si="4"/>
        <v>26160</v>
      </c>
    </row>
    <row r="151" spans="1:16" x14ac:dyDescent="0.2">
      <c r="A151" s="912" t="s">
        <v>874</v>
      </c>
      <c r="B151" s="913" t="s">
        <v>935</v>
      </c>
      <c r="C151" s="914" t="s">
        <v>80</v>
      </c>
      <c r="D151" s="913" t="s">
        <v>1316</v>
      </c>
      <c r="E151" s="915">
        <v>2180</v>
      </c>
      <c r="F151" s="916" t="s">
        <v>1317</v>
      </c>
      <c r="G151" s="913" t="s">
        <v>1318</v>
      </c>
      <c r="H151" s="913"/>
      <c r="I151" s="913" t="s">
        <v>940</v>
      </c>
      <c r="J151" s="913"/>
      <c r="K151" s="928">
        <v>1</v>
      </c>
      <c r="L151" s="919">
        <v>3</v>
      </c>
      <c r="M151" s="917">
        <f t="shared" si="6"/>
        <v>6540</v>
      </c>
      <c r="N151" s="916"/>
      <c r="O151" s="916"/>
      <c r="P151" s="917">
        <f t="shared" ref="P151:P214" si="7">E151*O151</f>
        <v>0</v>
      </c>
    </row>
    <row r="152" spans="1:16" x14ac:dyDescent="0.2">
      <c r="A152" s="912" t="s">
        <v>874</v>
      </c>
      <c r="B152" s="913" t="s">
        <v>935</v>
      </c>
      <c r="C152" s="914" t="s">
        <v>80</v>
      </c>
      <c r="D152" s="913" t="s">
        <v>1319</v>
      </c>
      <c r="E152" s="915">
        <v>1635</v>
      </c>
      <c r="F152" s="916" t="s">
        <v>1320</v>
      </c>
      <c r="G152" s="913" t="s">
        <v>1321</v>
      </c>
      <c r="H152" s="913" t="s">
        <v>1019</v>
      </c>
      <c r="I152" s="913" t="s">
        <v>1020</v>
      </c>
      <c r="J152" s="913"/>
      <c r="K152" s="928">
        <v>8</v>
      </c>
      <c r="L152" s="919">
        <v>12</v>
      </c>
      <c r="M152" s="917">
        <f t="shared" si="6"/>
        <v>19620</v>
      </c>
      <c r="N152" s="916">
        <v>2</v>
      </c>
      <c r="O152" s="916">
        <v>6</v>
      </c>
      <c r="P152" s="917">
        <f t="shared" si="7"/>
        <v>9810</v>
      </c>
    </row>
    <row r="153" spans="1:16" x14ac:dyDescent="0.2">
      <c r="A153" s="912" t="s">
        <v>874</v>
      </c>
      <c r="B153" s="913" t="s">
        <v>935</v>
      </c>
      <c r="C153" s="914" t="s">
        <v>80</v>
      </c>
      <c r="D153" s="913" t="s">
        <v>1322</v>
      </c>
      <c r="E153" s="915">
        <v>2725</v>
      </c>
      <c r="F153" s="916" t="s">
        <v>1323</v>
      </c>
      <c r="G153" s="913" t="s">
        <v>1324</v>
      </c>
      <c r="H153" s="913" t="s">
        <v>1325</v>
      </c>
      <c r="I153" s="913" t="s">
        <v>940</v>
      </c>
      <c r="J153" s="913" t="s">
        <v>1067</v>
      </c>
      <c r="K153" s="928">
        <v>1</v>
      </c>
      <c r="L153" s="919">
        <v>3</v>
      </c>
      <c r="M153" s="917">
        <f t="shared" si="6"/>
        <v>8175</v>
      </c>
      <c r="N153" s="916"/>
      <c r="O153" s="916"/>
      <c r="P153" s="917">
        <f t="shared" si="7"/>
        <v>0</v>
      </c>
    </row>
    <row r="154" spans="1:16" x14ac:dyDescent="0.2">
      <c r="A154" s="912" t="s">
        <v>874</v>
      </c>
      <c r="B154" s="913" t="s">
        <v>935</v>
      </c>
      <c r="C154" s="914" t="s">
        <v>80</v>
      </c>
      <c r="D154" s="913" t="s">
        <v>958</v>
      </c>
      <c r="E154" s="915">
        <v>1635</v>
      </c>
      <c r="F154" s="916" t="s">
        <v>1326</v>
      </c>
      <c r="G154" s="913" t="s">
        <v>1327</v>
      </c>
      <c r="H154" s="913"/>
      <c r="I154" s="913"/>
      <c r="J154" s="913"/>
      <c r="K154" s="928">
        <v>6</v>
      </c>
      <c r="L154" s="919">
        <v>9</v>
      </c>
      <c r="M154" s="917">
        <f t="shared" si="6"/>
        <v>14715</v>
      </c>
      <c r="N154" s="916">
        <v>6</v>
      </c>
      <c r="O154" s="916">
        <v>6</v>
      </c>
      <c r="P154" s="917">
        <f t="shared" si="7"/>
        <v>9810</v>
      </c>
    </row>
    <row r="155" spans="1:16" x14ac:dyDescent="0.2">
      <c r="A155" s="912" t="s">
        <v>874</v>
      </c>
      <c r="B155" s="913" t="s">
        <v>935</v>
      </c>
      <c r="C155" s="914" t="s">
        <v>80</v>
      </c>
      <c r="D155" s="912" t="s">
        <v>1328</v>
      </c>
      <c r="E155" s="915">
        <v>3052</v>
      </c>
      <c r="F155" s="914" t="s">
        <v>1329</v>
      </c>
      <c r="G155" s="913" t="s">
        <v>1330</v>
      </c>
      <c r="H155" s="913" t="s">
        <v>1266</v>
      </c>
      <c r="I155" s="913" t="s">
        <v>940</v>
      </c>
      <c r="J155" s="913" t="s">
        <v>1266</v>
      </c>
      <c r="K155" s="913"/>
      <c r="L155" s="913"/>
      <c r="M155" s="917"/>
      <c r="N155" s="916">
        <v>2</v>
      </c>
      <c r="O155" s="916">
        <v>5</v>
      </c>
      <c r="P155" s="917">
        <f t="shared" si="7"/>
        <v>15260</v>
      </c>
    </row>
    <row r="156" spans="1:16" x14ac:dyDescent="0.2">
      <c r="A156" s="912" t="s">
        <v>874</v>
      </c>
      <c r="B156" s="913" t="s">
        <v>935</v>
      </c>
      <c r="C156" s="914" t="s">
        <v>80</v>
      </c>
      <c r="D156" s="913" t="s">
        <v>968</v>
      </c>
      <c r="E156" s="915">
        <v>2725</v>
      </c>
      <c r="F156" s="916" t="s">
        <v>1331</v>
      </c>
      <c r="G156" s="913" t="s">
        <v>1332</v>
      </c>
      <c r="H156" s="913" t="s">
        <v>956</v>
      </c>
      <c r="I156" s="913" t="s">
        <v>940</v>
      </c>
      <c r="J156" s="913" t="s">
        <v>956</v>
      </c>
      <c r="K156" s="928">
        <v>5</v>
      </c>
      <c r="L156" s="919">
        <v>7</v>
      </c>
      <c r="M156" s="917">
        <f>L156*E156</f>
        <v>19075</v>
      </c>
      <c r="N156" s="916"/>
      <c r="O156" s="916"/>
      <c r="P156" s="917">
        <f t="shared" si="7"/>
        <v>0</v>
      </c>
    </row>
    <row r="157" spans="1:16" x14ac:dyDescent="0.2">
      <c r="A157" s="912" t="s">
        <v>874</v>
      </c>
      <c r="B157" s="923" t="s">
        <v>1333</v>
      </c>
      <c r="C157" s="914" t="s">
        <v>80</v>
      </c>
      <c r="D157" s="913" t="s">
        <v>1246</v>
      </c>
      <c r="E157" s="915">
        <v>2180</v>
      </c>
      <c r="F157" s="916" t="s">
        <v>1334</v>
      </c>
      <c r="G157" s="913" t="s">
        <v>1335</v>
      </c>
      <c r="H157" s="913" t="s">
        <v>1019</v>
      </c>
      <c r="I157" s="913" t="s">
        <v>1020</v>
      </c>
      <c r="J157" s="913"/>
      <c r="K157" s="928">
        <v>5</v>
      </c>
      <c r="L157" s="919">
        <v>8</v>
      </c>
      <c r="M157" s="917">
        <f>L157*E157</f>
        <v>17440</v>
      </c>
      <c r="N157" s="916"/>
      <c r="O157" s="916"/>
      <c r="P157" s="917">
        <f t="shared" si="7"/>
        <v>0</v>
      </c>
    </row>
    <row r="158" spans="1:16" x14ac:dyDescent="0.2">
      <c r="A158" s="912" t="s">
        <v>874</v>
      </c>
      <c r="B158" s="913" t="s">
        <v>935</v>
      </c>
      <c r="C158" s="914" t="s">
        <v>80</v>
      </c>
      <c r="D158" s="913" t="s">
        <v>1316</v>
      </c>
      <c r="E158" s="915">
        <v>2180</v>
      </c>
      <c r="F158" s="916" t="s">
        <v>1336</v>
      </c>
      <c r="G158" s="913" t="s">
        <v>1337</v>
      </c>
      <c r="H158" s="913"/>
      <c r="I158" s="913"/>
      <c r="J158" s="913"/>
      <c r="K158" s="928">
        <v>1</v>
      </c>
      <c r="L158" s="919">
        <v>3</v>
      </c>
      <c r="M158" s="917">
        <f>L158*E158</f>
        <v>6540</v>
      </c>
      <c r="N158" s="916"/>
      <c r="O158" s="916"/>
      <c r="P158" s="917">
        <f t="shared" si="7"/>
        <v>0</v>
      </c>
    </row>
    <row r="159" spans="1:16" x14ac:dyDescent="0.2">
      <c r="A159" s="912" t="s">
        <v>874</v>
      </c>
      <c r="B159" s="913" t="s">
        <v>935</v>
      </c>
      <c r="C159" s="914" t="s">
        <v>80</v>
      </c>
      <c r="D159" s="912" t="s">
        <v>1338</v>
      </c>
      <c r="E159" s="915">
        <v>2725</v>
      </c>
      <c r="F159" s="914">
        <v>44145141</v>
      </c>
      <c r="G159" s="913" t="s">
        <v>1339</v>
      </c>
      <c r="H159" s="913" t="s">
        <v>1340</v>
      </c>
      <c r="I159" s="913" t="s">
        <v>940</v>
      </c>
      <c r="J159" s="913" t="s">
        <v>1234</v>
      </c>
      <c r="K159" s="913"/>
      <c r="L159" s="913"/>
      <c r="M159" s="917"/>
      <c r="N159" s="916">
        <v>2</v>
      </c>
      <c r="O159" s="916">
        <v>4</v>
      </c>
      <c r="P159" s="917">
        <f t="shared" si="7"/>
        <v>10900</v>
      </c>
    </row>
    <row r="160" spans="1:16" x14ac:dyDescent="0.2">
      <c r="A160" s="912" t="s">
        <v>874</v>
      </c>
      <c r="B160" s="913" t="s">
        <v>935</v>
      </c>
      <c r="C160" s="914" t="s">
        <v>80</v>
      </c>
      <c r="D160" s="913" t="s">
        <v>968</v>
      </c>
      <c r="E160" s="915">
        <v>2725</v>
      </c>
      <c r="F160" s="916" t="s">
        <v>1341</v>
      </c>
      <c r="G160" s="913" t="s">
        <v>1342</v>
      </c>
      <c r="H160" s="913" t="s">
        <v>956</v>
      </c>
      <c r="I160" s="913" t="s">
        <v>940</v>
      </c>
      <c r="J160" s="913" t="s">
        <v>956</v>
      </c>
      <c r="K160" s="928">
        <v>6</v>
      </c>
      <c r="L160" s="919">
        <v>9</v>
      </c>
      <c r="M160" s="917">
        <f t="shared" ref="M160:M167" si="8">L160*E160</f>
        <v>24525</v>
      </c>
      <c r="N160" s="916"/>
      <c r="O160" s="916"/>
      <c r="P160" s="917">
        <f t="shared" si="7"/>
        <v>0</v>
      </c>
    </row>
    <row r="161" spans="1:16" x14ac:dyDescent="0.2">
      <c r="A161" s="912" t="s">
        <v>874</v>
      </c>
      <c r="B161" s="913" t="s">
        <v>935</v>
      </c>
      <c r="C161" s="914" t="s">
        <v>80</v>
      </c>
      <c r="D161" s="913" t="s">
        <v>1343</v>
      </c>
      <c r="E161" s="915">
        <v>1635</v>
      </c>
      <c r="F161" s="916" t="s">
        <v>1344</v>
      </c>
      <c r="G161" s="913" t="s">
        <v>1345</v>
      </c>
      <c r="H161" s="913" t="s">
        <v>1346</v>
      </c>
      <c r="I161" s="913" t="s">
        <v>940</v>
      </c>
      <c r="J161" s="913" t="s">
        <v>1346</v>
      </c>
      <c r="K161" s="928">
        <v>1</v>
      </c>
      <c r="L161" s="919">
        <v>3</v>
      </c>
      <c r="M161" s="917">
        <f t="shared" si="8"/>
        <v>4905</v>
      </c>
      <c r="N161" s="916"/>
      <c r="O161" s="916"/>
      <c r="P161" s="917">
        <f t="shared" si="7"/>
        <v>0</v>
      </c>
    </row>
    <row r="162" spans="1:16" x14ac:dyDescent="0.2">
      <c r="A162" s="912" t="s">
        <v>874</v>
      </c>
      <c r="B162" s="913" t="s">
        <v>935</v>
      </c>
      <c r="C162" s="914" t="s">
        <v>80</v>
      </c>
      <c r="D162" s="913" t="s">
        <v>956</v>
      </c>
      <c r="E162" s="915">
        <v>3270</v>
      </c>
      <c r="F162" s="916" t="s">
        <v>1347</v>
      </c>
      <c r="G162" s="913" t="s">
        <v>1348</v>
      </c>
      <c r="H162" s="913" t="s">
        <v>956</v>
      </c>
      <c r="I162" s="912" t="s">
        <v>1036</v>
      </c>
      <c r="J162" s="913" t="s">
        <v>956</v>
      </c>
      <c r="K162" s="928">
        <v>6</v>
      </c>
      <c r="L162" s="919">
        <v>9</v>
      </c>
      <c r="M162" s="917">
        <f t="shared" si="8"/>
        <v>29430</v>
      </c>
      <c r="N162" s="916">
        <v>3</v>
      </c>
      <c r="O162" s="916">
        <v>6</v>
      </c>
      <c r="P162" s="917">
        <f t="shared" si="7"/>
        <v>19620</v>
      </c>
    </row>
    <row r="163" spans="1:16" x14ac:dyDescent="0.2">
      <c r="A163" s="912" t="s">
        <v>874</v>
      </c>
      <c r="B163" s="913" t="s">
        <v>935</v>
      </c>
      <c r="C163" s="914" t="s">
        <v>80</v>
      </c>
      <c r="D163" s="913" t="s">
        <v>958</v>
      </c>
      <c r="E163" s="915">
        <v>2289</v>
      </c>
      <c r="F163" s="916" t="s">
        <v>1349</v>
      </c>
      <c r="G163" s="913" t="s">
        <v>1350</v>
      </c>
      <c r="H163" s="913" t="s">
        <v>1007</v>
      </c>
      <c r="I163" s="913" t="s">
        <v>940</v>
      </c>
      <c r="J163" s="913" t="s">
        <v>1007</v>
      </c>
      <c r="K163" s="928">
        <v>3</v>
      </c>
      <c r="L163" s="919">
        <v>6</v>
      </c>
      <c r="M163" s="917">
        <f t="shared" si="8"/>
        <v>13734</v>
      </c>
      <c r="N163" s="916"/>
      <c r="O163" s="916"/>
      <c r="P163" s="917">
        <f t="shared" si="7"/>
        <v>0</v>
      </c>
    </row>
    <row r="164" spans="1:16" x14ac:dyDescent="0.2">
      <c r="A164" s="912" t="s">
        <v>874</v>
      </c>
      <c r="B164" s="913" t="s">
        <v>935</v>
      </c>
      <c r="C164" s="914" t="s">
        <v>80</v>
      </c>
      <c r="D164" s="913" t="s">
        <v>1351</v>
      </c>
      <c r="E164" s="915">
        <v>3270</v>
      </c>
      <c r="F164" s="916" t="s">
        <v>1352</v>
      </c>
      <c r="G164" s="913" t="s">
        <v>1353</v>
      </c>
      <c r="H164" s="913" t="s">
        <v>1354</v>
      </c>
      <c r="I164" s="913" t="s">
        <v>940</v>
      </c>
      <c r="J164" s="913" t="s">
        <v>1354</v>
      </c>
      <c r="K164" s="928">
        <v>7</v>
      </c>
      <c r="L164" s="919">
        <v>10</v>
      </c>
      <c r="M164" s="917">
        <f t="shared" si="8"/>
        <v>32700</v>
      </c>
      <c r="N164" s="916">
        <v>2</v>
      </c>
      <c r="O164" s="916">
        <v>2</v>
      </c>
      <c r="P164" s="917">
        <f t="shared" si="7"/>
        <v>6540</v>
      </c>
    </row>
    <row r="165" spans="1:16" x14ac:dyDescent="0.2">
      <c r="A165" s="912" t="s">
        <v>874</v>
      </c>
      <c r="B165" s="913" t="s">
        <v>935</v>
      </c>
      <c r="C165" s="914" t="s">
        <v>80</v>
      </c>
      <c r="D165" s="913" t="s">
        <v>958</v>
      </c>
      <c r="E165" s="915">
        <v>1635</v>
      </c>
      <c r="F165" s="916" t="s">
        <v>1355</v>
      </c>
      <c r="G165" s="913" t="s">
        <v>1356</v>
      </c>
      <c r="H165" s="913" t="s">
        <v>1357</v>
      </c>
      <c r="I165" s="913" t="s">
        <v>940</v>
      </c>
      <c r="J165" s="913" t="s">
        <v>1357</v>
      </c>
      <c r="K165" s="928">
        <v>6</v>
      </c>
      <c r="L165" s="919">
        <v>9</v>
      </c>
      <c r="M165" s="917">
        <f t="shared" si="8"/>
        <v>14715</v>
      </c>
      <c r="N165" s="916">
        <v>6</v>
      </c>
      <c r="O165" s="916">
        <v>6</v>
      </c>
      <c r="P165" s="917">
        <f t="shared" si="7"/>
        <v>9810</v>
      </c>
    </row>
    <row r="166" spans="1:16" x14ac:dyDescent="0.2">
      <c r="A166" s="912" t="s">
        <v>874</v>
      </c>
      <c r="B166" s="913" t="s">
        <v>935</v>
      </c>
      <c r="C166" s="914" t="s">
        <v>80</v>
      </c>
      <c r="D166" s="913" t="s">
        <v>1358</v>
      </c>
      <c r="E166" s="915">
        <v>1635</v>
      </c>
      <c r="F166" s="916" t="s">
        <v>1359</v>
      </c>
      <c r="G166" s="913" t="s">
        <v>1360</v>
      </c>
      <c r="H166" s="913"/>
      <c r="I166" s="913"/>
      <c r="J166" s="913"/>
      <c r="K166" s="928">
        <v>6</v>
      </c>
      <c r="L166" s="919">
        <v>10</v>
      </c>
      <c r="M166" s="917">
        <f t="shared" si="8"/>
        <v>16350</v>
      </c>
      <c r="N166" s="916">
        <v>6</v>
      </c>
      <c r="O166" s="916">
        <v>6</v>
      </c>
      <c r="P166" s="917">
        <f t="shared" si="7"/>
        <v>9810</v>
      </c>
    </row>
    <row r="167" spans="1:16" x14ac:dyDescent="0.2">
      <c r="A167" s="912" t="s">
        <v>874</v>
      </c>
      <c r="B167" s="913" t="s">
        <v>935</v>
      </c>
      <c r="C167" s="914" t="s">
        <v>80</v>
      </c>
      <c r="D167" s="923" t="s">
        <v>1361</v>
      </c>
      <c r="E167" s="915">
        <v>1417</v>
      </c>
      <c r="F167" s="916" t="s">
        <v>1362</v>
      </c>
      <c r="G167" s="913" t="s">
        <v>1363</v>
      </c>
      <c r="H167" s="913" t="s">
        <v>1019</v>
      </c>
      <c r="I167" s="913" t="s">
        <v>1020</v>
      </c>
      <c r="J167" s="913"/>
      <c r="K167" s="928">
        <v>3</v>
      </c>
      <c r="L167" s="919">
        <v>6</v>
      </c>
      <c r="M167" s="917">
        <f t="shared" si="8"/>
        <v>8502</v>
      </c>
      <c r="N167" s="916"/>
      <c r="O167" s="916"/>
      <c r="P167" s="917">
        <f t="shared" si="7"/>
        <v>0</v>
      </c>
    </row>
    <row r="168" spans="1:16" x14ac:dyDescent="0.2">
      <c r="A168" s="912" t="s">
        <v>874</v>
      </c>
      <c r="B168" s="913" t="s">
        <v>935</v>
      </c>
      <c r="C168" s="914" t="s">
        <v>80</v>
      </c>
      <c r="D168" s="912" t="s">
        <v>1361</v>
      </c>
      <c r="E168" s="930">
        <v>1417</v>
      </c>
      <c r="F168" s="914" t="s">
        <v>1362</v>
      </c>
      <c r="G168" s="912" t="s">
        <v>1363</v>
      </c>
      <c r="H168" s="912" t="s">
        <v>1155</v>
      </c>
      <c r="I168" s="912" t="s">
        <v>1020</v>
      </c>
      <c r="J168" s="912"/>
      <c r="K168" s="912"/>
      <c r="L168" s="913"/>
      <c r="M168" s="917"/>
      <c r="N168" s="916">
        <v>2</v>
      </c>
      <c r="O168" s="916">
        <v>5</v>
      </c>
      <c r="P168" s="917">
        <f t="shared" si="7"/>
        <v>7085</v>
      </c>
    </row>
    <row r="169" spans="1:16" x14ac:dyDescent="0.2">
      <c r="A169" s="912" t="s">
        <v>874</v>
      </c>
      <c r="B169" s="913" t="s">
        <v>935</v>
      </c>
      <c r="C169" s="914" t="s">
        <v>80</v>
      </c>
      <c r="D169" s="913" t="s">
        <v>1025</v>
      </c>
      <c r="E169" s="915">
        <v>1417</v>
      </c>
      <c r="F169" s="916" t="s">
        <v>1364</v>
      </c>
      <c r="G169" s="913" t="s">
        <v>1365</v>
      </c>
      <c r="H169" s="913" t="s">
        <v>980</v>
      </c>
      <c r="I169" s="913" t="s">
        <v>940</v>
      </c>
      <c r="J169" s="913" t="s">
        <v>981</v>
      </c>
      <c r="K169" s="928">
        <v>3</v>
      </c>
      <c r="L169" s="919">
        <v>6</v>
      </c>
      <c r="M169" s="917">
        <f>L169*E169</f>
        <v>8502</v>
      </c>
      <c r="N169" s="916"/>
      <c r="O169" s="916"/>
      <c r="P169" s="917">
        <f t="shared" si="7"/>
        <v>0</v>
      </c>
    </row>
    <row r="170" spans="1:16" x14ac:dyDescent="0.2">
      <c r="A170" s="912" t="s">
        <v>874</v>
      </c>
      <c r="B170" s="913" t="s">
        <v>935</v>
      </c>
      <c r="C170" s="914" t="s">
        <v>80</v>
      </c>
      <c r="D170" s="913" t="s">
        <v>1016</v>
      </c>
      <c r="E170" s="915">
        <v>1417</v>
      </c>
      <c r="F170" s="916" t="s">
        <v>1366</v>
      </c>
      <c r="G170" s="913" t="s">
        <v>1367</v>
      </c>
      <c r="H170" s="913" t="s">
        <v>1155</v>
      </c>
      <c r="I170" s="913" t="s">
        <v>1020</v>
      </c>
      <c r="J170" s="913"/>
      <c r="K170" s="928">
        <v>8</v>
      </c>
      <c r="L170" s="919">
        <v>12</v>
      </c>
      <c r="M170" s="917">
        <f>L170*E170</f>
        <v>17004</v>
      </c>
      <c r="N170" s="916">
        <v>5</v>
      </c>
      <c r="O170" s="916">
        <v>6</v>
      </c>
      <c r="P170" s="917">
        <f t="shared" si="7"/>
        <v>8502</v>
      </c>
    </row>
    <row r="171" spans="1:16" x14ac:dyDescent="0.2">
      <c r="A171" s="912" t="s">
        <v>874</v>
      </c>
      <c r="B171" s="913" t="s">
        <v>935</v>
      </c>
      <c r="C171" s="914" t="s">
        <v>80</v>
      </c>
      <c r="D171" s="913" t="s">
        <v>968</v>
      </c>
      <c r="E171" s="915">
        <v>3270</v>
      </c>
      <c r="F171" s="916" t="s">
        <v>1368</v>
      </c>
      <c r="G171" s="913" t="s">
        <v>1369</v>
      </c>
      <c r="H171" s="913" t="s">
        <v>1370</v>
      </c>
      <c r="I171" s="913" t="s">
        <v>940</v>
      </c>
      <c r="J171" s="913" t="s">
        <v>1370</v>
      </c>
      <c r="K171" s="928">
        <v>4</v>
      </c>
      <c r="L171" s="919">
        <v>6</v>
      </c>
      <c r="M171" s="917">
        <f>L171*E171</f>
        <v>19620</v>
      </c>
      <c r="N171" s="916"/>
      <c r="O171" s="916"/>
      <c r="P171" s="917">
        <f t="shared" si="7"/>
        <v>0</v>
      </c>
    </row>
    <row r="172" spans="1:16" x14ac:dyDescent="0.2">
      <c r="A172" s="912" t="s">
        <v>874</v>
      </c>
      <c r="B172" s="931" t="s">
        <v>1333</v>
      </c>
      <c r="C172" s="914" t="s">
        <v>80</v>
      </c>
      <c r="D172" s="923" t="s">
        <v>1371</v>
      </c>
      <c r="E172" s="915">
        <v>2725</v>
      </c>
      <c r="F172" s="916" t="s">
        <v>1372</v>
      </c>
      <c r="G172" s="913" t="s">
        <v>1373</v>
      </c>
      <c r="H172" s="913" t="s">
        <v>1374</v>
      </c>
      <c r="I172" s="913" t="s">
        <v>940</v>
      </c>
      <c r="J172" s="913" t="s">
        <v>1374</v>
      </c>
      <c r="K172" s="928">
        <v>6</v>
      </c>
      <c r="L172" s="919">
        <v>10</v>
      </c>
      <c r="M172" s="917">
        <f>L172*E172</f>
        <v>27250</v>
      </c>
      <c r="N172" s="916">
        <v>6</v>
      </c>
      <c r="O172" s="916">
        <v>6</v>
      </c>
      <c r="P172" s="917">
        <f t="shared" si="7"/>
        <v>16350</v>
      </c>
    </row>
    <row r="173" spans="1:16" x14ac:dyDescent="0.2">
      <c r="A173" s="912" t="s">
        <v>874</v>
      </c>
      <c r="B173" s="913" t="s">
        <v>935</v>
      </c>
      <c r="C173" s="914" t="s">
        <v>80</v>
      </c>
      <c r="D173" s="912" t="s">
        <v>1375</v>
      </c>
      <c r="E173" s="915">
        <v>2725</v>
      </c>
      <c r="F173" s="914">
        <v>41263317</v>
      </c>
      <c r="G173" s="913" t="s">
        <v>1376</v>
      </c>
      <c r="H173" s="913" t="s">
        <v>1377</v>
      </c>
      <c r="I173" s="913" t="s">
        <v>940</v>
      </c>
      <c r="J173" s="913" t="s">
        <v>1377</v>
      </c>
      <c r="K173" s="913"/>
      <c r="L173" s="913"/>
      <c r="M173" s="917"/>
      <c r="N173" s="916">
        <v>1</v>
      </c>
      <c r="O173" s="916">
        <v>4</v>
      </c>
      <c r="P173" s="917">
        <f t="shared" si="7"/>
        <v>10900</v>
      </c>
    </row>
    <row r="174" spans="1:16" x14ac:dyDescent="0.2">
      <c r="A174" s="912" t="s">
        <v>874</v>
      </c>
      <c r="B174" s="913" t="s">
        <v>935</v>
      </c>
      <c r="C174" s="914" t="s">
        <v>80</v>
      </c>
      <c r="D174" s="913" t="s">
        <v>1378</v>
      </c>
      <c r="E174" s="915">
        <v>2725</v>
      </c>
      <c r="F174" s="916" t="s">
        <v>1379</v>
      </c>
      <c r="G174" s="913" t="s">
        <v>1380</v>
      </c>
      <c r="H174" s="913" t="s">
        <v>1374</v>
      </c>
      <c r="I174" s="913" t="s">
        <v>940</v>
      </c>
      <c r="J174" s="913" t="s">
        <v>1374</v>
      </c>
      <c r="K174" s="928">
        <v>6</v>
      </c>
      <c r="L174" s="919">
        <v>10</v>
      </c>
      <c r="M174" s="917">
        <f>L174*E174</f>
        <v>27250</v>
      </c>
      <c r="N174" s="916"/>
      <c r="O174" s="916"/>
      <c r="P174" s="917">
        <f t="shared" si="7"/>
        <v>0</v>
      </c>
    </row>
    <row r="175" spans="1:16" x14ac:dyDescent="0.2">
      <c r="A175" s="912" t="s">
        <v>874</v>
      </c>
      <c r="B175" s="913" t="s">
        <v>935</v>
      </c>
      <c r="C175" s="914" t="s">
        <v>80</v>
      </c>
      <c r="D175" s="912" t="s">
        <v>948</v>
      </c>
      <c r="E175" s="915">
        <v>2670.5</v>
      </c>
      <c r="F175" s="914">
        <v>47198613</v>
      </c>
      <c r="G175" s="913" t="s">
        <v>1381</v>
      </c>
      <c r="H175" s="913" t="s">
        <v>951</v>
      </c>
      <c r="I175" s="913" t="s">
        <v>940</v>
      </c>
      <c r="J175" s="913" t="s">
        <v>951</v>
      </c>
      <c r="K175" s="913"/>
      <c r="L175" s="913"/>
      <c r="M175" s="917"/>
      <c r="N175" s="916">
        <v>1</v>
      </c>
      <c r="O175" s="916">
        <v>1</v>
      </c>
      <c r="P175" s="917">
        <f t="shared" si="7"/>
        <v>2670.5</v>
      </c>
    </row>
    <row r="176" spans="1:16" x14ac:dyDescent="0.2">
      <c r="A176" s="912" t="s">
        <v>874</v>
      </c>
      <c r="B176" s="913" t="s">
        <v>935</v>
      </c>
      <c r="C176" s="914" t="s">
        <v>80</v>
      </c>
      <c r="D176" s="913" t="s">
        <v>1382</v>
      </c>
      <c r="E176" s="915">
        <v>3052</v>
      </c>
      <c r="F176" s="916" t="s">
        <v>1383</v>
      </c>
      <c r="G176" s="913" t="s">
        <v>1384</v>
      </c>
      <c r="H176" s="913" t="s">
        <v>951</v>
      </c>
      <c r="I176" s="913" t="s">
        <v>940</v>
      </c>
      <c r="J176" s="913" t="s">
        <v>951</v>
      </c>
      <c r="K176" s="928">
        <v>6</v>
      </c>
      <c r="L176" s="919">
        <v>9</v>
      </c>
      <c r="M176" s="917">
        <f t="shared" ref="M176:M190" si="9">L176*E176</f>
        <v>27468</v>
      </c>
      <c r="N176" s="916">
        <v>6</v>
      </c>
      <c r="O176" s="916">
        <v>6</v>
      </c>
      <c r="P176" s="917">
        <f t="shared" si="7"/>
        <v>18312</v>
      </c>
    </row>
    <row r="177" spans="1:16" x14ac:dyDescent="0.2">
      <c r="A177" s="912" t="s">
        <v>874</v>
      </c>
      <c r="B177" s="913" t="s">
        <v>935</v>
      </c>
      <c r="C177" s="914" t="s">
        <v>80</v>
      </c>
      <c r="D177" s="923" t="s">
        <v>1196</v>
      </c>
      <c r="E177" s="915">
        <v>1417</v>
      </c>
      <c r="F177" s="916" t="s">
        <v>1385</v>
      </c>
      <c r="G177" s="913" t="s">
        <v>1386</v>
      </c>
      <c r="H177" s="913" t="s">
        <v>1019</v>
      </c>
      <c r="I177" s="913" t="s">
        <v>940</v>
      </c>
      <c r="J177" s="913"/>
      <c r="K177" s="928">
        <v>3</v>
      </c>
      <c r="L177" s="919">
        <v>5</v>
      </c>
      <c r="M177" s="917">
        <f t="shared" si="9"/>
        <v>7085</v>
      </c>
      <c r="N177" s="916">
        <v>2</v>
      </c>
      <c r="O177" s="916">
        <v>5</v>
      </c>
      <c r="P177" s="917">
        <f t="shared" si="7"/>
        <v>7085</v>
      </c>
    </row>
    <row r="178" spans="1:16" x14ac:dyDescent="0.2">
      <c r="A178" s="912" t="s">
        <v>874</v>
      </c>
      <c r="B178" s="913" t="s">
        <v>935</v>
      </c>
      <c r="C178" s="914" t="s">
        <v>80</v>
      </c>
      <c r="D178" s="913" t="s">
        <v>1052</v>
      </c>
      <c r="E178" s="915">
        <v>1013.7</v>
      </c>
      <c r="F178" s="916" t="s">
        <v>1387</v>
      </c>
      <c r="G178" s="913" t="s">
        <v>1388</v>
      </c>
      <c r="H178" s="913"/>
      <c r="I178" s="913"/>
      <c r="J178" s="913"/>
      <c r="K178" s="928"/>
      <c r="L178" s="919"/>
      <c r="M178" s="917">
        <f t="shared" si="9"/>
        <v>0</v>
      </c>
      <c r="N178" s="916"/>
      <c r="O178" s="916"/>
      <c r="P178" s="917">
        <f t="shared" si="7"/>
        <v>0</v>
      </c>
    </row>
    <row r="179" spans="1:16" x14ac:dyDescent="0.2">
      <c r="A179" s="912" t="s">
        <v>874</v>
      </c>
      <c r="B179" s="913" t="s">
        <v>935</v>
      </c>
      <c r="C179" s="914" t="s">
        <v>80</v>
      </c>
      <c r="D179" s="913" t="s">
        <v>1382</v>
      </c>
      <c r="E179" s="915">
        <v>3052</v>
      </c>
      <c r="F179" s="916" t="s">
        <v>1389</v>
      </c>
      <c r="G179" s="913" t="s">
        <v>1390</v>
      </c>
      <c r="H179" s="913" t="s">
        <v>956</v>
      </c>
      <c r="I179" s="913" t="s">
        <v>940</v>
      </c>
      <c r="J179" s="913" t="s">
        <v>956</v>
      </c>
      <c r="K179" s="928">
        <v>6</v>
      </c>
      <c r="L179" s="919">
        <v>9</v>
      </c>
      <c r="M179" s="917">
        <f t="shared" si="9"/>
        <v>27468</v>
      </c>
      <c r="N179" s="916"/>
      <c r="O179" s="916"/>
      <c r="P179" s="917">
        <f t="shared" si="7"/>
        <v>0</v>
      </c>
    </row>
    <row r="180" spans="1:16" x14ac:dyDescent="0.2">
      <c r="A180" s="912" t="s">
        <v>874</v>
      </c>
      <c r="B180" s="913" t="s">
        <v>935</v>
      </c>
      <c r="C180" s="914" t="s">
        <v>80</v>
      </c>
      <c r="D180" s="913" t="s">
        <v>1391</v>
      </c>
      <c r="E180" s="915">
        <v>2725</v>
      </c>
      <c r="F180" s="916" t="s">
        <v>1392</v>
      </c>
      <c r="G180" s="913" t="s">
        <v>1393</v>
      </c>
      <c r="H180" s="913" t="s">
        <v>1309</v>
      </c>
      <c r="I180" s="913" t="s">
        <v>940</v>
      </c>
      <c r="J180" s="913" t="s">
        <v>1309</v>
      </c>
      <c r="K180" s="928">
        <v>1</v>
      </c>
      <c r="L180" s="919">
        <v>1</v>
      </c>
      <c r="M180" s="917">
        <f t="shared" si="9"/>
        <v>2725</v>
      </c>
      <c r="N180" s="916"/>
      <c r="O180" s="916"/>
      <c r="P180" s="917">
        <f t="shared" si="7"/>
        <v>0</v>
      </c>
    </row>
    <row r="181" spans="1:16" x14ac:dyDescent="0.2">
      <c r="A181" s="912" t="s">
        <v>874</v>
      </c>
      <c r="B181" s="913" t="s">
        <v>935</v>
      </c>
      <c r="C181" s="914" t="s">
        <v>80</v>
      </c>
      <c r="D181" s="913" t="s">
        <v>1394</v>
      </c>
      <c r="E181" s="915">
        <v>3270</v>
      </c>
      <c r="F181" s="916" t="s">
        <v>1395</v>
      </c>
      <c r="G181" s="913" t="s">
        <v>1396</v>
      </c>
      <c r="H181" s="913" t="s">
        <v>1024</v>
      </c>
      <c r="I181" s="913" t="s">
        <v>940</v>
      </c>
      <c r="J181" s="913" t="s">
        <v>1024</v>
      </c>
      <c r="K181" s="928">
        <v>1</v>
      </c>
      <c r="L181" s="919">
        <v>3</v>
      </c>
      <c r="M181" s="917">
        <f t="shared" si="9"/>
        <v>9810</v>
      </c>
      <c r="N181" s="916"/>
      <c r="O181" s="916"/>
      <c r="P181" s="917">
        <f t="shared" si="7"/>
        <v>0</v>
      </c>
    </row>
    <row r="182" spans="1:16" x14ac:dyDescent="0.2">
      <c r="A182" s="912" t="s">
        <v>874</v>
      </c>
      <c r="B182" s="913" t="s">
        <v>935</v>
      </c>
      <c r="C182" s="914" t="s">
        <v>80</v>
      </c>
      <c r="D182" s="913" t="s">
        <v>1122</v>
      </c>
      <c r="E182" s="915">
        <v>3052</v>
      </c>
      <c r="F182" s="916" t="s">
        <v>1397</v>
      </c>
      <c r="G182" s="913" t="s">
        <v>1398</v>
      </c>
      <c r="H182" s="913" t="s">
        <v>1399</v>
      </c>
      <c r="I182" s="913" t="s">
        <v>940</v>
      </c>
      <c r="J182" s="913" t="s">
        <v>1399</v>
      </c>
      <c r="K182" s="928">
        <v>6</v>
      </c>
      <c r="L182" s="919">
        <v>9</v>
      </c>
      <c r="M182" s="917">
        <f t="shared" si="9"/>
        <v>27468</v>
      </c>
      <c r="N182" s="916">
        <v>6</v>
      </c>
      <c r="O182" s="916">
        <v>6</v>
      </c>
      <c r="P182" s="917">
        <f t="shared" si="7"/>
        <v>18312</v>
      </c>
    </row>
    <row r="183" spans="1:16" x14ac:dyDescent="0.2">
      <c r="A183" s="912" t="s">
        <v>874</v>
      </c>
      <c r="B183" s="913" t="s">
        <v>935</v>
      </c>
      <c r="C183" s="914" t="s">
        <v>80</v>
      </c>
      <c r="D183" s="913" t="s">
        <v>958</v>
      </c>
      <c r="E183" s="915">
        <v>2180</v>
      </c>
      <c r="F183" s="916" t="s">
        <v>1400</v>
      </c>
      <c r="G183" s="913" t="s">
        <v>1401</v>
      </c>
      <c r="H183" s="913" t="s">
        <v>1098</v>
      </c>
      <c r="I183" s="913" t="s">
        <v>940</v>
      </c>
      <c r="J183" s="913" t="s">
        <v>1098</v>
      </c>
      <c r="K183" s="928">
        <v>3</v>
      </c>
      <c r="L183" s="919">
        <v>6</v>
      </c>
      <c r="M183" s="917">
        <f t="shared" si="9"/>
        <v>13080</v>
      </c>
      <c r="N183" s="916">
        <v>3</v>
      </c>
      <c r="O183" s="916">
        <v>6</v>
      </c>
      <c r="P183" s="917">
        <f t="shared" si="7"/>
        <v>13080</v>
      </c>
    </row>
    <row r="184" spans="1:16" x14ac:dyDescent="0.2">
      <c r="A184" s="912" t="s">
        <v>874</v>
      </c>
      <c r="B184" s="913" t="s">
        <v>935</v>
      </c>
      <c r="C184" s="914" t="s">
        <v>80</v>
      </c>
      <c r="D184" s="913" t="s">
        <v>1025</v>
      </c>
      <c r="E184" s="915">
        <v>1417</v>
      </c>
      <c r="F184" s="916" t="s">
        <v>1402</v>
      </c>
      <c r="G184" s="913" t="s">
        <v>1403</v>
      </c>
      <c r="H184" s="913" t="s">
        <v>1404</v>
      </c>
      <c r="I184" s="913" t="s">
        <v>940</v>
      </c>
      <c r="J184" s="913" t="s">
        <v>1405</v>
      </c>
      <c r="K184" s="928">
        <v>1</v>
      </c>
      <c r="L184" s="919">
        <v>2</v>
      </c>
      <c r="M184" s="917">
        <f t="shared" si="9"/>
        <v>2834</v>
      </c>
      <c r="N184" s="916"/>
      <c r="O184" s="916"/>
      <c r="P184" s="917">
        <f t="shared" si="7"/>
        <v>0</v>
      </c>
    </row>
    <row r="185" spans="1:16" x14ac:dyDescent="0.2">
      <c r="A185" s="912" t="s">
        <v>874</v>
      </c>
      <c r="B185" s="913" t="s">
        <v>935</v>
      </c>
      <c r="C185" s="914" t="s">
        <v>80</v>
      </c>
      <c r="D185" s="913" t="s">
        <v>1406</v>
      </c>
      <c r="E185" s="915">
        <v>2725</v>
      </c>
      <c r="F185" s="916" t="s">
        <v>1407</v>
      </c>
      <c r="G185" s="913" t="s">
        <v>1408</v>
      </c>
      <c r="H185" s="913" t="s">
        <v>1024</v>
      </c>
      <c r="I185" s="913" t="s">
        <v>940</v>
      </c>
      <c r="J185" s="913" t="s">
        <v>994</v>
      </c>
      <c r="K185" s="928">
        <v>1</v>
      </c>
      <c r="L185" s="919">
        <v>3</v>
      </c>
      <c r="M185" s="917">
        <f t="shared" si="9"/>
        <v>8175</v>
      </c>
      <c r="N185" s="916">
        <v>3</v>
      </c>
      <c r="O185" s="916">
        <v>6</v>
      </c>
      <c r="P185" s="917">
        <f t="shared" si="7"/>
        <v>16350</v>
      </c>
    </row>
    <row r="186" spans="1:16" x14ac:dyDescent="0.2">
      <c r="A186" s="912" t="s">
        <v>874</v>
      </c>
      <c r="B186" s="924" t="s">
        <v>1089</v>
      </c>
      <c r="C186" s="914" t="s">
        <v>80</v>
      </c>
      <c r="D186" s="913" t="s">
        <v>1409</v>
      </c>
      <c r="E186" s="915">
        <v>2180</v>
      </c>
      <c r="F186" s="916" t="s">
        <v>1410</v>
      </c>
      <c r="G186" s="913" t="s">
        <v>1411</v>
      </c>
      <c r="H186" s="913" t="s">
        <v>1412</v>
      </c>
      <c r="I186" s="913" t="s">
        <v>940</v>
      </c>
      <c r="J186" s="913" t="s">
        <v>1412</v>
      </c>
      <c r="K186" s="928">
        <v>6</v>
      </c>
      <c r="L186" s="919">
        <v>9</v>
      </c>
      <c r="M186" s="917">
        <f t="shared" si="9"/>
        <v>19620</v>
      </c>
      <c r="N186" s="916">
        <v>6</v>
      </c>
      <c r="O186" s="916">
        <v>6</v>
      </c>
      <c r="P186" s="917">
        <f t="shared" si="7"/>
        <v>13080</v>
      </c>
    </row>
    <row r="187" spans="1:16" x14ac:dyDescent="0.2">
      <c r="A187" s="912" t="s">
        <v>874</v>
      </c>
      <c r="B187" s="913" t="s">
        <v>935</v>
      </c>
      <c r="C187" s="914" t="s">
        <v>80</v>
      </c>
      <c r="D187" s="913" t="s">
        <v>1413</v>
      </c>
      <c r="E187" s="915">
        <v>1013.7</v>
      </c>
      <c r="F187" s="916" t="s">
        <v>1414</v>
      </c>
      <c r="G187" s="913" t="s">
        <v>1415</v>
      </c>
      <c r="H187" s="913" t="s">
        <v>1416</v>
      </c>
      <c r="I187" s="913" t="s">
        <v>940</v>
      </c>
      <c r="J187" s="913" t="s">
        <v>1416</v>
      </c>
      <c r="K187" s="928">
        <v>8</v>
      </c>
      <c r="L187" s="919">
        <v>12</v>
      </c>
      <c r="M187" s="917">
        <f t="shared" si="9"/>
        <v>12164.400000000001</v>
      </c>
      <c r="N187" s="916">
        <v>6</v>
      </c>
      <c r="O187" s="916">
        <v>6</v>
      </c>
      <c r="P187" s="917">
        <f t="shared" si="7"/>
        <v>6082.2000000000007</v>
      </c>
    </row>
    <row r="188" spans="1:16" x14ac:dyDescent="0.2">
      <c r="A188" s="912" t="s">
        <v>874</v>
      </c>
      <c r="B188" s="913" t="s">
        <v>935</v>
      </c>
      <c r="C188" s="914" t="s">
        <v>80</v>
      </c>
      <c r="D188" s="923" t="s">
        <v>1016</v>
      </c>
      <c r="E188" s="915">
        <v>1417</v>
      </c>
      <c r="F188" s="916" t="s">
        <v>1417</v>
      </c>
      <c r="G188" s="913" t="s">
        <v>1418</v>
      </c>
      <c r="H188" s="913" t="s">
        <v>1019</v>
      </c>
      <c r="I188" s="913" t="s">
        <v>1020</v>
      </c>
      <c r="J188" s="913"/>
      <c r="K188" s="928">
        <v>10</v>
      </c>
      <c r="L188" s="919">
        <v>12</v>
      </c>
      <c r="M188" s="917">
        <f t="shared" si="9"/>
        <v>17004</v>
      </c>
      <c r="N188" s="916">
        <v>2</v>
      </c>
      <c r="O188" s="916">
        <v>6</v>
      </c>
      <c r="P188" s="917">
        <f t="shared" si="7"/>
        <v>8502</v>
      </c>
    </row>
    <row r="189" spans="1:16" x14ac:dyDescent="0.2">
      <c r="A189" s="912" t="s">
        <v>874</v>
      </c>
      <c r="B189" s="913" t="s">
        <v>935</v>
      </c>
      <c r="C189" s="914" t="s">
        <v>80</v>
      </c>
      <c r="D189" s="913" t="s">
        <v>1419</v>
      </c>
      <c r="E189" s="915">
        <v>1744</v>
      </c>
      <c r="F189" s="916" t="s">
        <v>1420</v>
      </c>
      <c r="G189" s="913" t="s">
        <v>1421</v>
      </c>
      <c r="H189" s="913" t="s">
        <v>1422</v>
      </c>
      <c r="I189" s="913" t="s">
        <v>940</v>
      </c>
      <c r="J189" s="913" t="s">
        <v>1422</v>
      </c>
      <c r="K189" s="928">
        <v>2</v>
      </c>
      <c r="L189" s="919">
        <v>4</v>
      </c>
      <c r="M189" s="917">
        <f t="shared" si="9"/>
        <v>6976</v>
      </c>
      <c r="N189" s="916"/>
      <c r="O189" s="916"/>
      <c r="P189" s="917">
        <f t="shared" si="7"/>
        <v>0</v>
      </c>
    </row>
    <row r="190" spans="1:16" x14ac:dyDescent="0.2">
      <c r="A190" s="912" t="s">
        <v>874</v>
      </c>
      <c r="B190" s="913" t="s">
        <v>935</v>
      </c>
      <c r="C190" s="914" t="s">
        <v>80</v>
      </c>
      <c r="D190" s="913" t="s">
        <v>1423</v>
      </c>
      <c r="E190" s="915">
        <v>1362.5</v>
      </c>
      <c r="F190" s="916" t="s">
        <v>1424</v>
      </c>
      <c r="G190" s="913" t="s">
        <v>1425</v>
      </c>
      <c r="H190" s="913"/>
      <c r="I190" s="913"/>
      <c r="J190" s="913"/>
      <c r="K190" s="928">
        <v>1</v>
      </c>
      <c r="L190" s="919">
        <v>3</v>
      </c>
      <c r="M190" s="917">
        <f t="shared" si="9"/>
        <v>4087.5</v>
      </c>
      <c r="N190" s="916"/>
      <c r="O190" s="916"/>
      <c r="P190" s="917">
        <f t="shared" si="7"/>
        <v>0</v>
      </c>
    </row>
    <row r="191" spans="1:16" x14ac:dyDescent="0.2">
      <c r="A191" s="912" t="s">
        <v>874</v>
      </c>
      <c r="B191" s="913" t="s">
        <v>935</v>
      </c>
      <c r="C191" s="914" t="s">
        <v>80</v>
      </c>
      <c r="D191" s="912" t="s">
        <v>1426</v>
      </c>
      <c r="E191" s="915">
        <v>1635</v>
      </c>
      <c r="F191" s="914" t="s">
        <v>1427</v>
      </c>
      <c r="G191" s="913" t="s">
        <v>1428</v>
      </c>
      <c r="H191" s="913" t="s">
        <v>1429</v>
      </c>
      <c r="I191" s="913" t="s">
        <v>940</v>
      </c>
      <c r="J191" s="913"/>
      <c r="K191" s="913"/>
      <c r="L191" s="913"/>
      <c r="M191" s="917"/>
      <c r="N191" s="916">
        <v>2</v>
      </c>
      <c r="O191" s="916">
        <v>4</v>
      </c>
      <c r="P191" s="917">
        <f t="shared" si="7"/>
        <v>6540</v>
      </c>
    </row>
    <row r="192" spans="1:16" x14ac:dyDescent="0.2">
      <c r="A192" s="912" t="s">
        <v>874</v>
      </c>
      <c r="B192" s="913" t="s">
        <v>935</v>
      </c>
      <c r="C192" s="914" t="s">
        <v>80</v>
      </c>
      <c r="D192" s="913" t="s">
        <v>1430</v>
      </c>
      <c r="E192" s="915">
        <v>1962</v>
      </c>
      <c r="F192" s="916" t="s">
        <v>1431</v>
      </c>
      <c r="G192" s="913" t="s">
        <v>1432</v>
      </c>
      <c r="H192" s="913" t="s">
        <v>951</v>
      </c>
      <c r="I192" s="913" t="s">
        <v>940</v>
      </c>
      <c r="J192" s="913" t="s">
        <v>951</v>
      </c>
      <c r="K192" s="928">
        <v>2</v>
      </c>
      <c r="L192" s="919">
        <v>5</v>
      </c>
      <c r="M192" s="917">
        <f>L192*E192</f>
        <v>9810</v>
      </c>
      <c r="N192" s="916"/>
      <c r="O192" s="916"/>
      <c r="P192" s="917">
        <f t="shared" si="7"/>
        <v>0</v>
      </c>
    </row>
    <row r="193" spans="1:16" x14ac:dyDescent="0.2">
      <c r="A193" s="912" t="s">
        <v>874</v>
      </c>
      <c r="B193" s="913" t="s">
        <v>935</v>
      </c>
      <c r="C193" s="914" t="s">
        <v>80</v>
      </c>
      <c r="D193" s="912" t="s">
        <v>1433</v>
      </c>
      <c r="E193" s="915">
        <v>1090</v>
      </c>
      <c r="F193" s="914">
        <v>29628030</v>
      </c>
      <c r="G193" s="913" t="s">
        <v>1434</v>
      </c>
      <c r="H193" s="913" t="s">
        <v>1435</v>
      </c>
      <c r="I193" s="913" t="s">
        <v>940</v>
      </c>
      <c r="J193" s="913" t="s">
        <v>1435</v>
      </c>
      <c r="K193" s="913"/>
      <c r="L193" s="913"/>
      <c r="M193" s="917"/>
      <c r="N193" s="916">
        <v>1</v>
      </c>
      <c r="O193" s="916">
        <v>4</v>
      </c>
      <c r="P193" s="917">
        <f t="shared" si="7"/>
        <v>4360</v>
      </c>
    </row>
    <row r="194" spans="1:16" x14ac:dyDescent="0.2">
      <c r="A194" s="912" t="s">
        <v>874</v>
      </c>
      <c r="B194" s="913" t="s">
        <v>935</v>
      </c>
      <c r="C194" s="914" t="s">
        <v>80</v>
      </c>
      <c r="D194" s="913" t="s">
        <v>1025</v>
      </c>
      <c r="E194" s="915">
        <v>1417</v>
      </c>
      <c r="F194" s="916" t="s">
        <v>1436</v>
      </c>
      <c r="G194" s="913" t="s">
        <v>1437</v>
      </c>
      <c r="H194" s="913" t="s">
        <v>1438</v>
      </c>
      <c r="I194" s="913" t="s">
        <v>940</v>
      </c>
      <c r="J194" s="913" t="s">
        <v>1438</v>
      </c>
      <c r="K194" s="928">
        <v>3</v>
      </c>
      <c r="L194" s="919">
        <v>6</v>
      </c>
      <c r="M194" s="917">
        <f t="shared" ref="M194:M199" si="10">L194*E194</f>
        <v>8502</v>
      </c>
      <c r="N194" s="916"/>
      <c r="O194" s="916"/>
      <c r="P194" s="917">
        <f t="shared" si="7"/>
        <v>0</v>
      </c>
    </row>
    <row r="195" spans="1:16" x14ac:dyDescent="0.2">
      <c r="A195" s="912" t="s">
        <v>874</v>
      </c>
      <c r="B195" s="913" t="s">
        <v>935</v>
      </c>
      <c r="C195" s="914" t="s">
        <v>80</v>
      </c>
      <c r="D195" s="913" t="s">
        <v>1114</v>
      </c>
      <c r="E195" s="915">
        <v>1962</v>
      </c>
      <c r="F195" s="916" t="s">
        <v>1439</v>
      </c>
      <c r="G195" s="913" t="s">
        <v>1440</v>
      </c>
      <c r="H195" s="913" t="s">
        <v>1254</v>
      </c>
      <c r="I195" s="913" t="s">
        <v>940</v>
      </c>
      <c r="J195" s="913" t="s">
        <v>1254</v>
      </c>
      <c r="K195" s="928">
        <v>1</v>
      </c>
      <c r="L195" s="919">
        <v>3</v>
      </c>
      <c r="M195" s="917">
        <f t="shared" si="10"/>
        <v>5886</v>
      </c>
      <c r="N195" s="916"/>
      <c r="O195" s="916"/>
      <c r="P195" s="917">
        <f t="shared" si="7"/>
        <v>0</v>
      </c>
    </row>
    <row r="196" spans="1:16" x14ac:dyDescent="0.2">
      <c r="A196" s="912" t="s">
        <v>874</v>
      </c>
      <c r="B196" s="913" t="s">
        <v>935</v>
      </c>
      <c r="C196" s="914" t="s">
        <v>80</v>
      </c>
      <c r="D196" s="925" t="s">
        <v>944</v>
      </c>
      <c r="E196" s="915">
        <v>1962</v>
      </c>
      <c r="F196" s="916" t="s">
        <v>1441</v>
      </c>
      <c r="G196" s="913" t="s">
        <v>1442</v>
      </c>
      <c r="H196" s="913" t="s">
        <v>944</v>
      </c>
      <c r="I196" s="913" t="s">
        <v>940</v>
      </c>
      <c r="J196" s="913" t="s">
        <v>947</v>
      </c>
      <c r="K196" s="928">
        <v>6</v>
      </c>
      <c r="L196" s="919">
        <v>10</v>
      </c>
      <c r="M196" s="917">
        <f t="shared" si="10"/>
        <v>19620</v>
      </c>
      <c r="N196" s="916">
        <v>3</v>
      </c>
      <c r="O196" s="916">
        <v>6</v>
      </c>
      <c r="P196" s="917">
        <f t="shared" si="7"/>
        <v>11772</v>
      </c>
    </row>
    <row r="197" spans="1:16" x14ac:dyDescent="0.2">
      <c r="A197" s="912" t="s">
        <v>874</v>
      </c>
      <c r="B197" s="913" t="s">
        <v>935</v>
      </c>
      <c r="C197" s="914" t="s">
        <v>80</v>
      </c>
      <c r="D197" s="913" t="s">
        <v>976</v>
      </c>
      <c r="E197" s="915">
        <v>1635</v>
      </c>
      <c r="F197" s="916" t="s">
        <v>1443</v>
      </c>
      <c r="G197" s="913" t="s">
        <v>1444</v>
      </c>
      <c r="H197" s="913" t="s">
        <v>1445</v>
      </c>
      <c r="I197" s="913" t="s">
        <v>940</v>
      </c>
      <c r="J197" s="913" t="s">
        <v>1446</v>
      </c>
      <c r="K197" s="928">
        <v>2</v>
      </c>
      <c r="L197" s="919">
        <v>6</v>
      </c>
      <c r="M197" s="917">
        <f t="shared" si="10"/>
        <v>9810</v>
      </c>
      <c r="N197" s="916">
        <v>2</v>
      </c>
      <c r="O197" s="916">
        <v>6</v>
      </c>
      <c r="P197" s="917">
        <f t="shared" si="7"/>
        <v>9810</v>
      </c>
    </row>
    <row r="198" spans="1:16" x14ac:dyDescent="0.2">
      <c r="A198" s="912" t="s">
        <v>874</v>
      </c>
      <c r="B198" s="913" t="s">
        <v>935</v>
      </c>
      <c r="C198" s="914" t="s">
        <v>80</v>
      </c>
      <c r="D198" s="913" t="s">
        <v>958</v>
      </c>
      <c r="E198" s="915">
        <v>1635</v>
      </c>
      <c r="F198" s="916" t="s">
        <v>1447</v>
      </c>
      <c r="G198" s="913" t="s">
        <v>1448</v>
      </c>
      <c r="H198" s="913" t="s">
        <v>1449</v>
      </c>
      <c r="I198" s="913"/>
      <c r="J198" s="913"/>
      <c r="K198" s="928">
        <v>6</v>
      </c>
      <c r="L198" s="919">
        <v>9</v>
      </c>
      <c r="M198" s="917">
        <f t="shared" si="10"/>
        <v>14715</v>
      </c>
      <c r="N198" s="916">
        <v>6</v>
      </c>
      <c r="O198" s="916">
        <v>6</v>
      </c>
      <c r="P198" s="917">
        <f t="shared" si="7"/>
        <v>9810</v>
      </c>
    </row>
    <row r="199" spans="1:16" x14ac:dyDescent="0.2">
      <c r="A199" s="912" t="s">
        <v>874</v>
      </c>
      <c r="B199" s="913" t="s">
        <v>935</v>
      </c>
      <c r="C199" s="914" t="s">
        <v>80</v>
      </c>
      <c r="D199" s="913" t="s">
        <v>1450</v>
      </c>
      <c r="E199" s="915">
        <v>2180</v>
      </c>
      <c r="F199" s="916" t="s">
        <v>1451</v>
      </c>
      <c r="G199" s="913" t="s">
        <v>1452</v>
      </c>
      <c r="H199" s="913"/>
      <c r="I199" s="913" t="s">
        <v>940</v>
      </c>
      <c r="J199" s="913"/>
      <c r="K199" s="928">
        <v>1</v>
      </c>
      <c r="L199" s="919">
        <v>3</v>
      </c>
      <c r="M199" s="917">
        <f t="shared" si="10"/>
        <v>6540</v>
      </c>
      <c r="N199" s="916"/>
      <c r="O199" s="916"/>
      <c r="P199" s="917">
        <f t="shared" si="7"/>
        <v>0</v>
      </c>
    </row>
    <row r="200" spans="1:16" x14ac:dyDescent="0.2">
      <c r="A200" s="912" t="s">
        <v>874</v>
      </c>
      <c r="B200" s="913" t="s">
        <v>935</v>
      </c>
      <c r="C200" s="914" t="s">
        <v>80</v>
      </c>
      <c r="D200" s="912" t="s">
        <v>958</v>
      </c>
      <c r="E200" s="915">
        <v>2180</v>
      </c>
      <c r="F200" s="914">
        <v>29657206</v>
      </c>
      <c r="G200" s="913" t="s">
        <v>1453</v>
      </c>
      <c r="H200" s="913" t="s">
        <v>1454</v>
      </c>
      <c r="I200" s="913" t="s">
        <v>940</v>
      </c>
      <c r="J200" s="913" t="s">
        <v>1454</v>
      </c>
      <c r="K200" s="913"/>
      <c r="L200" s="913"/>
      <c r="M200" s="917"/>
      <c r="N200" s="916">
        <v>1</v>
      </c>
      <c r="O200" s="916">
        <v>4</v>
      </c>
      <c r="P200" s="917">
        <f t="shared" si="7"/>
        <v>8720</v>
      </c>
    </row>
    <row r="201" spans="1:16" x14ac:dyDescent="0.2">
      <c r="A201" s="912" t="s">
        <v>874</v>
      </c>
      <c r="B201" s="913" t="s">
        <v>935</v>
      </c>
      <c r="C201" s="914" t="s">
        <v>80</v>
      </c>
      <c r="D201" s="913" t="s">
        <v>976</v>
      </c>
      <c r="E201" s="915">
        <v>1635</v>
      </c>
      <c r="F201" s="916" t="s">
        <v>1455</v>
      </c>
      <c r="G201" s="913" t="s">
        <v>1456</v>
      </c>
      <c r="H201" s="913" t="s">
        <v>1280</v>
      </c>
      <c r="I201" s="913" t="s">
        <v>940</v>
      </c>
      <c r="J201" s="913" t="s">
        <v>1280</v>
      </c>
      <c r="K201" s="928">
        <v>1</v>
      </c>
      <c r="L201" s="919">
        <v>3</v>
      </c>
      <c r="M201" s="917">
        <f>L201*E201</f>
        <v>4905</v>
      </c>
      <c r="N201" s="916"/>
      <c r="O201" s="916"/>
      <c r="P201" s="917">
        <f t="shared" si="7"/>
        <v>0</v>
      </c>
    </row>
    <row r="202" spans="1:16" x14ac:dyDescent="0.2">
      <c r="A202" s="912" t="s">
        <v>874</v>
      </c>
      <c r="B202" s="913" t="s">
        <v>935</v>
      </c>
      <c r="C202" s="914" t="s">
        <v>80</v>
      </c>
      <c r="D202" s="913" t="s">
        <v>976</v>
      </c>
      <c r="E202" s="915">
        <v>1144.5</v>
      </c>
      <c r="F202" s="916" t="s">
        <v>1455</v>
      </c>
      <c r="G202" s="913" t="s">
        <v>1456</v>
      </c>
      <c r="H202" s="913" t="s">
        <v>1280</v>
      </c>
      <c r="I202" s="913" t="s">
        <v>940</v>
      </c>
      <c r="J202" s="913" t="s">
        <v>1280</v>
      </c>
      <c r="K202" s="928">
        <v>1</v>
      </c>
      <c r="L202" s="919">
        <v>3</v>
      </c>
      <c r="M202" s="917">
        <f>L202*E202</f>
        <v>3433.5</v>
      </c>
      <c r="N202" s="916"/>
      <c r="O202" s="916"/>
      <c r="P202" s="917">
        <f t="shared" si="7"/>
        <v>0</v>
      </c>
    </row>
    <row r="203" spans="1:16" x14ac:dyDescent="0.2">
      <c r="A203" s="912" t="s">
        <v>874</v>
      </c>
      <c r="B203" s="913" t="s">
        <v>935</v>
      </c>
      <c r="C203" s="914" t="s">
        <v>80</v>
      </c>
      <c r="D203" s="913" t="s">
        <v>1457</v>
      </c>
      <c r="E203" s="915">
        <v>2398</v>
      </c>
      <c r="F203" s="916" t="s">
        <v>1458</v>
      </c>
      <c r="G203" s="913" t="s">
        <v>1459</v>
      </c>
      <c r="H203" s="913" t="s">
        <v>1003</v>
      </c>
      <c r="I203" s="913" t="s">
        <v>940</v>
      </c>
      <c r="J203" s="913" t="s">
        <v>1003</v>
      </c>
      <c r="K203" s="928">
        <v>6</v>
      </c>
      <c r="L203" s="919">
        <v>10</v>
      </c>
      <c r="M203" s="917">
        <f>L203*E203</f>
        <v>23980</v>
      </c>
      <c r="N203" s="916"/>
      <c r="O203" s="916"/>
      <c r="P203" s="917">
        <f t="shared" si="7"/>
        <v>0</v>
      </c>
    </row>
    <row r="204" spans="1:16" x14ac:dyDescent="0.2">
      <c r="A204" s="912" t="s">
        <v>874</v>
      </c>
      <c r="B204" s="913" t="s">
        <v>935</v>
      </c>
      <c r="C204" s="914" t="s">
        <v>80</v>
      </c>
      <c r="D204" s="912" t="s">
        <v>1460</v>
      </c>
      <c r="E204" s="915">
        <v>1417</v>
      </c>
      <c r="F204" s="914">
        <v>42379672</v>
      </c>
      <c r="G204" s="913" t="s">
        <v>1461</v>
      </c>
      <c r="H204" s="913" t="s">
        <v>1155</v>
      </c>
      <c r="I204" s="913" t="s">
        <v>1020</v>
      </c>
      <c r="J204" s="913"/>
      <c r="K204" s="913"/>
      <c r="L204" s="913"/>
      <c r="M204" s="917"/>
      <c r="N204" s="916">
        <v>2</v>
      </c>
      <c r="O204" s="916">
        <v>4</v>
      </c>
      <c r="P204" s="917">
        <f t="shared" si="7"/>
        <v>5668</v>
      </c>
    </row>
    <row r="205" spans="1:16" x14ac:dyDescent="0.2">
      <c r="A205" s="912" t="s">
        <v>874</v>
      </c>
      <c r="B205" s="913" t="s">
        <v>935</v>
      </c>
      <c r="C205" s="914" t="s">
        <v>80</v>
      </c>
      <c r="D205" s="925" t="s">
        <v>1144</v>
      </c>
      <c r="E205" s="915">
        <v>1417</v>
      </c>
      <c r="F205" s="916" t="s">
        <v>1462</v>
      </c>
      <c r="G205" s="913" t="s">
        <v>1463</v>
      </c>
      <c r="H205" s="913" t="s">
        <v>1019</v>
      </c>
      <c r="I205" s="913" t="s">
        <v>1020</v>
      </c>
      <c r="J205" s="913"/>
      <c r="K205" s="928">
        <v>8</v>
      </c>
      <c r="L205" s="919">
        <v>12</v>
      </c>
      <c r="M205" s="917">
        <f>L205*E205</f>
        <v>17004</v>
      </c>
      <c r="N205" s="916">
        <v>2</v>
      </c>
      <c r="O205" s="916">
        <v>6</v>
      </c>
      <c r="P205" s="917">
        <f t="shared" si="7"/>
        <v>8502</v>
      </c>
    </row>
    <row r="206" spans="1:16" x14ac:dyDescent="0.2">
      <c r="A206" s="912" t="s">
        <v>874</v>
      </c>
      <c r="B206" s="932" t="s">
        <v>935</v>
      </c>
      <c r="C206" s="914" t="s">
        <v>80</v>
      </c>
      <c r="D206" s="912" t="s">
        <v>1464</v>
      </c>
      <c r="E206" s="930">
        <v>3052</v>
      </c>
      <c r="F206" s="914" t="s">
        <v>1465</v>
      </c>
      <c r="G206" s="913" t="s">
        <v>1466</v>
      </c>
      <c r="H206" s="913" t="s">
        <v>1374</v>
      </c>
      <c r="I206" s="913" t="s">
        <v>940</v>
      </c>
      <c r="J206" s="913" t="s">
        <v>951</v>
      </c>
      <c r="K206" s="913"/>
      <c r="L206" s="913"/>
      <c r="M206" s="917"/>
      <c r="N206" s="916">
        <v>2</v>
      </c>
      <c r="O206" s="916">
        <v>5</v>
      </c>
      <c r="P206" s="917">
        <f t="shared" si="7"/>
        <v>15260</v>
      </c>
    </row>
    <row r="207" spans="1:16" x14ac:dyDescent="0.2">
      <c r="A207" s="912" t="s">
        <v>874</v>
      </c>
      <c r="B207" s="913" t="s">
        <v>935</v>
      </c>
      <c r="C207" s="914" t="s">
        <v>80</v>
      </c>
      <c r="D207" s="913" t="s">
        <v>958</v>
      </c>
      <c r="E207" s="915">
        <v>2180</v>
      </c>
      <c r="F207" s="916" t="s">
        <v>1467</v>
      </c>
      <c r="G207" s="913" t="s">
        <v>1468</v>
      </c>
      <c r="H207" s="913"/>
      <c r="I207" s="913"/>
      <c r="J207" s="913"/>
      <c r="K207" s="928">
        <v>2</v>
      </c>
      <c r="L207" s="919">
        <v>5</v>
      </c>
      <c r="M207" s="917">
        <f t="shared" ref="M207:M214" si="11">L207*E207</f>
        <v>10900</v>
      </c>
      <c r="N207" s="916"/>
      <c r="O207" s="916"/>
      <c r="P207" s="917">
        <f t="shared" si="7"/>
        <v>0</v>
      </c>
    </row>
    <row r="208" spans="1:16" x14ac:dyDescent="0.2">
      <c r="A208" s="912" t="s">
        <v>874</v>
      </c>
      <c r="B208" s="913" t="s">
        <v>935</v>
      </c>
      <c r="C208" s="914" t="s">
        <v>80</v>
      </c>
      <c r="D208" s="923" t="s">
        <v>1469</v>
      </c>
      <c r="E208" s="915">
        <v>1417</v>
      </c>
      <c r="F208" s="916" t="s">
        <v>1470</v>
      </c>
      <c r="G208" s="913" t="s">
        <v>1471</v>
      </c>
      <c r="H208" s="913" t="s">
        <v>1019</v>
      </c>
      <c r="I208" s="913" t="s">
        <v>1020</v>
      </c>
      <c r="J208" s="913"/>
      <c r="K208" s="928">
        <v>8</v>
      </c>
      <c r="L208" s="919">
        <v>12</v>
      </c>
      <c r="M208" s="917">
        <f t="shared" si="11"/>
        <v>17004</v>
      </c>
      <c r="N208" s="916">
        <v>2</v>
      </c>
      <c r="O208" s="916">
        <v>6</v>
      </c>
      <c r="P208" s="917">
        <f t="shared" si="7"/>
        <v>8502</v>
      </c>
    </row>
    <row r="209" spans="1:16" x14ac:dyDescent="0.2">
      <c r="A209" s="912" t="s">
        <v>874</v>
      </c>
      <c r="B209" s="913" t="s">
        <v>935</v>
      </c>
      <c r="C209" s="914" t="s">
        <v>80</v>
      </c>
      <c r="D209" s="913" t="s">
        <v>958</v>
      </c>
      <c r="E209" s="915">
        <v>1635</v>
      </c>
      <c r="F209" s="916" t="s">
        <v>1472</v>
      </c>
      <c r="G209" s="913" t="s">
        <v>1473</v>
      </c>
      <c r="H209" s="913" t="s">
        <v>1474</v>
      </c>
      <c r="I209" s="913" t="s">
        <v>940</v>
      </c>
      <c r="J209" s="913" t="s">
        <v>1474</v>
      </c>
      <c r="K209" s="928">
        <v>4</v>
      </c>
      <c r="L209" s="919">
        <v>6</v>
      </c>
      <c r="M209" s="917">
        <f t="shared" si="11"/>
        <v>9810</v>
      </c>
      <c r="N209" s="916"/>
      <c r="O209" s="916"/>
      <c r="P209" s="917">
        <f t="shared" si="7"/>
        <v>0</v>
      </c>
    </row>
    <row r="210" spans="1:16" x14ac:dyDescent="0.2">
      <c r="A210" s="912" t="s">
        <v>874</v>
      </c>
      <c r="B210" s="913" t="s">
        <v>935</v>
      </c>
      <c r="C210" s="914" t="s">
        <v>80</v>
      </c>
      <c r="D210" s="913" t="s">
        <v>1475</v>
      </c>
      <c r="E210" s="915">
        <v>3270</v>
      </c>
      <c r="F210" s="916" t="s">
        <v>1476</v>
      </c>
      <c r="G210" s="913" t="s">
        <v>1477</v>
      </c>
      <c r="H210" s="913" t="s">
        <v>1067</v>
      </c>
      <c r="I210" s="913" t="s">
        <v>940</v>
      </c>
      <c r="J210" s="913" t="s">
        <v>1067</v>
      </c>
      <c r="K210" s="928">
        <v>5</v>
      </c>
      <c r="L210" s="919">
        <v>9</v>
      </c>
      <c r="M210" s="917">
        <f t="shared" si="11"/>
        <v>29430</v>
      </c>
      <c r="N210" s="916">
        <v>6</v>
      </c>
      <c r="O210" s="916">
        <v>6</v>
      </c>
      <c r="P210" s="917">
        <f>E210*O210</f>
        <v>19620</v>
      </c>
    </row>
    <row r="211" spans="1:16" x14ac:dyDescent="0.2">
      <c r="A211" s="912" t="s">
        <v>874</v>
      </c>
      <c r="B211" s="913" t="s">
        <v>935</v>
      </c>
      <c r="C211" s="914" t="s">
        <v>80</v>
      </c>
      <c r="D211" s="925" t="s">
        <v>1144</v>
      </c>
      <c r="E211" s="915">
        <v>1417</v>
      </c>
      <c r="F211" s="916" t="s">
        <v>1478</v>
      </c>
      <c r="G211" s="913" t="s">
        <v>1479</v>
      </c>
      <c r="H211" s="913" t="s">
        <v>1019</v>
      </c>
      <c r="I211" s="913" t="s">
        <v>1020</v>
      </c>
      <c r="J211" s="913"/>
      <c r="K211" s="928">
        <v>8</v>
      </c>
      <c r="L211" s="919">
        <v>12</v>
      </c>
      <c r="M211" s="917">
        <f t="shared" si="11"/>
        <v>17004</v>
      </c>
      <c r="N211" s="916">
        <v>2</v>
      </c>
      <c r="O211" s="916">
        <v>6</v>
      </c>
      <c r="P211" s="917">
        <f t="shared" si="7"/>
        <v>8502</v>
      </c>
    </row>
    <row r="212" spans="1:16" x14ac:dyDescent="0.2">
      <c r="A212" s="912" t="s">
        <v>874</v>
      </c>
      <c r="B212" s="913" t="s">
        <v>935</v>
      </c>
      <c r="C212" s="914" t="s">
        <v>80</v>
      </c>
      <c r="D212" s="913" t="s">
        <v>1480</v>
      </c>
      <c r="E212" s="915">
        <v>2180</v>
      </c>
      <c r="F212" s="916" t="s">
        <v>1481</v>
      </c>
      <c r="G212" s="913" t="s">
        <v>1482</v>
      </c>
      <c r="H212" s="913"/>
      <c r="I212" s="913"/>
      <c r="J212" s="913"/>
      <c r="K212" s="928"/>
      <c r="L212" s="919"/>
      <c r="M212" s="917">
        <f t="shared" si="11"/>
        <v>0</v>
      </c>
      <c r="N212" s="916"/>
      <c r="O212" s="916"/>
      <c r="P212" s="917">
        <f t="shared" si="7"/>
        <v>0</v>
      </c>
    </row>
    <row r="213" spans="1:16" x14ac:dyDescent="0.2">
      <c r="A213" s="912" t="s">
        <v>874</v>
      </c>
      <c r="B213" s="913" t="s">
        <v>935</v>
      </c>
      <c r="C213" s="914" t="s">
        <v>80</v>
      </c>
      <c r="D213" s="913" t="s">
        <v>1283</v>
      </c>
      <c r="E213" s="915">
        <v>4905</v>
      </c>
      <c r="F213" s="916" t="s">
        <v>1483</v>
      </c>
      <c r="G213" s="913" t="s">
        <v>1484</v>
      </c>
      <c r="H213" s="913" t="s">
        <v>1286</v>
      </c>
      <c r="I213" s="913" t="s">
        <v>940</v>
      </c>
      <c r="J213" s="913" t="s">
        <v>1286</v>
      </c>
      <c r="K213" s="928">
        <v>1</v>
      </c>
      <c r="L213" s="919">
        <v>3</v>
      </c>
      <c r="M213" s="917">
        <f t="shared" si="11"/>
        <v>14715</v>
      </c>
      <c r="N213" s="916"/>
      <c r="O213" s="916"/>
      <c r="P213" s="917">
        <f t="shared" si="7"/>
        <v>0</v>
      </c>
    </row>
    <row r="214" spans="1:16" x14ac:dyDescent="0.2">
      <c r="A214" s="912" t="s">
        <v>874</v>
      </c>
      <c r="B214" s="913" t="s">
        <v>935</v>
      </c>
      <c r="C214" s="914" t="s">
        <v>80</v>
      </c>
      <c r="D214" s="913" t="s">
        <v>982</v>
      </c>
      <c r="E214" s="915">
        <v>1635</v>
      </c>
      <c r="F214" s="916" t="s">
        <v>1485</v>
      </c>
      <c r="G214" s="913" t="s">
        <v>1486</v>
      </c>
      <c r="H214" s="913" t="s">
        <v>1487</v>
      </c>
      <c r="I214" s="913" t="s">
        <v>940</v>
      </c>
      <c r="J214" s="913" t="s">
        <v>1487</v>
      </c>
      <c r="K214" s="928">
        <v>3</v>
      </c>
      <c r="L214" s="919">
        <v>6</v>
      </c>
      <c r="M214" s="917">
        <f t="shared" si="11"/>
        <v>9810</v>
      </c>
      <c r="N214" s="916">
        <v>3</v>
      </c>
      <c r="O214" s="916">
        <v>6</v>
      </c>
      <c r="P214" s="917">
        <f t="shared" si="7"/>
        <v>9810</v>
      </c>
    </row>
    <row r="215" spans="1:16" x14ac:dyDescent="0.2">
      <c r="A215" s="913" t="s">
        <v>1488</v>
      </c>
      <c r="B215" s="913" t="s">
        <v>1489</v>
      </c>
      <c r="C215" s="916" t="s">
        <v>80</v>
      </c>
      <c r="D215" s="913" t="s">
        <v>1490</v>
      </c>
      <c r="E215" s="915">
        <v>1500</v>
      </c>
      <c r="F215" s="916" t="s">
        <v>1491</v>
      </c>
      <c r="G215" s="913" t="s">
        <v>1492</v>
      </c>
      <c r="H215" s="913" t="s">
        <v>1493</v>
      </c>
      <c r="I215" s="913" t="s">
        <v>1494</v>
      </c>
      <c r="J215" s="913" t="s">
        <v>1495</v>
      </c>
      <c r="K215" s="928">
        <v>4</v>
      </c>
      <c r="L215" s="933">
        <v>3</v>
      </c>
      <c r="M215" s="917">
        <v>20145</v>
      </c>
      <c r="N215" s="916">
        <v>1</v>
      </c>
      <c r="O215" s="916">
        <v>12</v>
      </c>
      <c r="P215" s="917">
        <v>15108.75</v>
      </c>
    </row>
    <row r="216" spans="1:16" x14ac:dyDescent="0.2">
      <c r="A216" s="913" t="s">
        <v>1488</v>
      </c>
      <c r="B216" s="913" t="s">
        <v>1489</v>
      </c>
      <c r="C216" s="916" t="s">
        <v>80</v>
      </c>
      <c r="D216" s="913" t="s">
        <v>1496</v>
      </c>
      <c r="E216" s="915">
        <v>1500</v>
      </c>
      <c r="F216" s="916">
        <v>41806070</v>
      </c>
      <c r="G216" s="913" t="s">
        <v>1497</v>
      </c>
      <c r="H216" s="913" t="s">
        <v>1498</v>
      </c>
      <c r="I216" s="913" t="s">
        <v>1412</v>
      </c>
      <c r="J216" s="913" t="s">
        <v>1495</v>
      </c>
      <c r="K216" s="928">
        <v>4</v>
      </c>
      <c r="L216" s="933">
        <v>3</v>
      </c>
      <c r="M216" s="917">
        <v>20239.920000000002</v>
      </c>
      <c r="N216" s="916">
        <v>1</v>
      </c>
      <c r="O216" s="916">
        <v>12</v>
      </c>
      <c r="P216" s="917">
        <v>15108.66</v>
      </c>
    </row>
    <row r="217" spans="1:16" x14ac:dyDescent="0.2">
      <c r="A217" s="913" t="s">
        <v>1488</v>
      </c>
      <c r="B217" s="913" t="s">
        <v>1489</v>
      </c>
      <c r="C217" s="916" t="s">
        <v>80</v>
      </c>
      <c r="D217" s="913" t="s">
        <v>1499</v>
      </c>
      <c r="E217" s="915">
        <v>950</v>
      </c>
      <c r="F217" s="916" t="s">
        <v>1500</v>
      </c>
      <c r="G217" s="913" t="s">
        <v>1501</v>
      </c>
      <c r="H217" s="913" t="s">
        <v>1155</v>
      </c>
      <c r="I217" s="913"/>
      <c r="J217" s="913"/>
      <c r="K217" s="928">
        <v>4</v>
      </c>
      <c r="L217" s="933">
        <v>3</v>
      </c>
      <c r="M217" s="917">
        <v>13639.920000000002</v>
      </c>
      <c r="N217" s="916">
        <v>1</v>
      </c>
      <c r="O217" s="916">
        <v>12</v>
      </c>
      <c r="P217" s="917">
        <v>10158.66</v>
      </c>
    </row>
    <row r="218" spans="1:16" x14ac:dyDescent="0.2">
      <c r="A218" s="913" t="s">
        <v>1488</v>
      </c>
      <c r="B218" s="913" t="s">
        <v>1489</v>
      </c>
      <c r="C218" s="916" t="s">
        <v>80</v>
      </c>
      <c r="D218" s="913" t="s">
        <v>1012</v>
      </c>
      <c r="E218" s="915">
        <v>1400</v>
      </c>
      <c r="F218" s="916" t="s">
        <v>1502</v>
      </c>
      <c r="G218" s="913" t="s">
        <v>1503</v>
      </c>
      <c r="H218" s="913" t="s">
        <v>1155</v>
      </c>
      <c r="I218" s="913"/>
      <c r="J218" s="913"/>
      <c r="K218" s="928">
        <v>4</v>
      </c>
      <c r="L218" s="933">
        <v>3</v>
      </c>
      <c r="M218" s="917">
        <v>19039.920000000002</v>
      </c>
      <c r="N218" s="916">
        <v>1</v>
      </c>
      <c r="O218" s="916">
        <v>12</v>
      </c>
      <c r="P218" s="917">
        <v>14208.66</v>
      </c>
    </row>
    <row r="219" spans="1:16" x14ac:dyDescent="0.2">
      <c r="A219" s="913" t="s">
        <v>1488</v>
      </c>
      <c r="B219" s="913" t="s">
        <v>1489</v>
      </c>
      <c r="C219" s="916" t="s">
        <v>80</v>
      </c>
      <c r="D219" s="913" t="s">
        <v>1504</v>
      </c>
      <c r="E219" s="915">
        <v>1500</v>
      </c>
      <c r="F219" s="916">
        <v>45379552</v>
      </c>
      <c r="G219" s="913" t="s">
        <v>1505</v>
      </c>
      <c r="H219" s="913" t="s">
        <v>1155</v>
      </c>
      <c r="I219" s="913"/>
      <c r="J219" s="913"/>
      <c r="K219" s="928">
        <v>1</v>
      </c>
      <c r="L219" s="933">
        <v>3</v>
      </c>
      <c r="M219" s="917">
        <v>20239.920000000002</v>
      </c>
      <c r="N219" s="916"/>
      <c r="O219" s="916"/>
      <c r="P219" s="917">
        <v>15108.66</v>
      </c>
    </row>
    <row r="220" spans="1:16" x14ac:dyDescent="0.2">
      <c r="A220" s="913" t="s">
        <v>1488</v>
      </c>
      <c r="B220" s="913" t="s">
        <v>1489</v>
      </c>
      <c r="C220" s="916" t="s">
        <v>80</v>
      </c>
      <c r="D220" s="913" t="s">
        <v>956</v>
      </c>
      <c r="E220" s="915">
        <v>2200</v>
      </c>
      <c r="F220" s="916">
        <v>47092517</v>
      </c>
      <c r="G220" s="913" t="s">
        <v>1506</v>
      </c>
      <c r="H220" s="913" t="s">
        <v>1507</v>
      </c>
      <c r="I220" s="913" t="s">
        <v>1508</v>
      </c>
      <c r="J220" s="913" t="s">
        <v>1495</v>
      </c>
      <c r="K220" s="928">
        <v>1</v>
      </c>
      <c r="L220" s="933">
        <v>3</v>
      </c>
      <c r="M220" s="917">
        <v>28639.919999999998</v>
      </c>
      <c r="N220" s="916">
        <v>1</v>
      </c>
      <c r="O220" s="916">
        <v>12</v>
      </c>
      <c r="P220" s="917">
        <v>21408.659999999996</v>
      </c>
    </row>
    <row r="221" spans="1:16" x14ac:dyDescent="0.2">
      <c r="A221" s="913" t="s">
        <v>1488</v>
      </c>
      <c r="B221" s="913" t="s">
        <v>1489</v>
      </c>
      <c r="C221" s="916" t="s">
        <v>80</v>
      </c>
      <c r="D221" s="913" t="s">
        <v>956</v>
      </c>
      <c r="E221" s="915">
        <v>2000</v>
      </c>
      <c r="F221" s="916" t="s">
        <v>1509</v>
      </c>
      <c r="G221" s="913" t="s">
        <v>1510</v>
      </c>
      <c r="H221" s="913" t="s">
        <v>1507</v>
      </c>
      <c r="I221" s="913" t="s">
        <v>1508</v>
      </c>
      <c r="J221" s="913" t="s">
        <v>1495</v>
      </c>
      <c r="K221" s="928">
        <v>4</v>
      </c>
      <c r="L221" s="933">
        <v>3</v>
      </c>
      <c r="M221" s="917">
        <v>26239.919999999998</v>
      </c>
      <c r="N221" s="916">
        <v>1</v>
      </c>
      <c r="O221" s="916">
        <v>12</v>
      </c>
      <c r="P221" s="917">
        <v>19608.659999999996</v>
      </c>
    </row>
    <row r="222" spans="1:16" x14ac:dyDescent="0.2">
      <c r="A222" s="913" t="s">
        <v>1488</v>
      </c>
      <c r="B222" s="913" t="s">
        <v>1489</v>
      </c>
      <c r="C222" s="916" t="s">
        <v>80</v>
      </c>
      <c r="D222" s="913" t="s">
        <v>1511</v>
      </c>
      <c r="E222" s="915">
        <v>1500</v>
      </c>
      <c r="F222" s="916" t="s">
        <v>1512</v>
      </c>
      <c r="G222" s="913" t="s">
        <v>1513</v>
      </c>
      <c r="H222" s="913" t="s">
        <v>1514</v>
      </c>
      <c r="I222" s="913" t="s">
        <v>1494</v>
      </c>
      <c r="J222" s="913" t="s">
        <v>1495</v>
      </c>
      <c r="K222" s="928">
        <v>4</v>
      </c>
      <c r="L222" s="933">
        <v>3</v>
      </c>
      <c r="M222" s="917">
        <v>20239.920000000002</v>
      </c>
      <c r="N222" s="916">
        <v>1</v>
      </c>
      <c r="O222" s="916">
        <v>12</v>
      </c>
      <c r="P222" s="917">
        <v>15108.66</v>
      </c>
    </row>
    <row r="223" spans="1:16" x14ac:dyDescent="0.2">
      <c r="A223" s="913" t="s">
        <v>1488</v>
      </c>
      <c r="B223" s="913" t="s">
        <v>1489</v>
      </c>
      <c r="C223" s="916" t="s">
        <v>80</v>
      </c>
      <c r="D223" s="913" t="s">
        <v>1499</v>
      </c>
      <c r="E223" s="915">
        <v>950</v>
      </c>
      <c r="F223" s="916" t="s">
        <v>1515</v>
      </c>
      <c r="G223" s="913" t="s">
        <v>1516</v>
      </c>
      <c r="H223" s="913" t="s">
        <v>1155</v>
      </c>
      <c r="I223" s="913"/>
      <c r="J223" s="913"/>
      <c r="K223" s="928">
        <v>4</v>
      </c>
      <c r="L223" s="933">
        <v>3</v>
      </c>
      <c r="M223" s="917">
        <v>13639.920000000002</v>
      </c>
      <c r="N223" s="916">
        <v>1</v>
      </c>
      <c r="O223" s="916">
        <v>12</v>
      </c>
      <c r="P223" s="917">
        <v>10158.66</v>
      </c>
    </row>
    <row r="224" spans="1:16" x14ac:dyDescent="0.2">
      <c r="A224" s="913" t="s">
        <v>1488</v>
      </c>
      <c r="B224" s="913" t="s">
        <v>1489</v>
      </c>
      <c r="C224" s="916" t="s">
        <v>80</v>
      </c>
      <c r="D224" s="913" t="s">
        <v>956</v>
      </c>
      <c r="E224" s="915">
        <v>2200</v>
      </c>
      <c r="F224" s="916">
        <v>42970662</v>
      </c>
      <c r="G224" s="913" t="s">
        <v>1517</v>
      </c>
      <c r="H224" s="913" t="s">
        <v>1507</v>
      </c>
      <c r="I224" s="913" t="s">
        <v>1508</v>
      </c>
      <c r="J224" s="913" t="s">
        <v>1495</v>
      </c>
      <c r="K224" s="928">
        <v>1</v>
      </c>
      <c r="L224" s="933">
        <v>4</v>
      </c>
      <c r="M224" s="917">
        <v>28639.919999999998</v>
      </c>
      <c r="N224" s="916">
        <v>1</v>
      </c>
      <c r="O224" s="916">
        <v>12</v>
      </c>
      <c r="P224" s="917">
        <v>21408.659999999996</v>
      </c>
    </row>
    <row r="225" spans="1:16" x14ac:dyDescent="0.2">
      <c r="A225" s="913" t="s">
        <v>1488</v>
      </c>
      <c r="B225" s="913" t="s">
        <v>1489</v>
      </c>
      <c r="C225" s="916" t="s">
        <v>80</v>
      </c>
      <c r="D225" s="913" t="s">
        <v>958</v>
      </c>
      <c r="E225" s="915">
        <v>1800</v>
      </c>
      <c r="F225" s="916">
        <v>41154398</v>
      </c>
      <c r="G225" s="913" t="s">
        <v>1518</v>
      </c>
      <c r="H225" s="913"/>
      <c r="I225" s="913"/>
      <c r="J225" s="913"/>
      <c r="K225" s="928">
        <v>1</v>
      </c>
      <c r="L225" s="933"/>
      <c r="M225" s="917">
        <v>23839.920000000002</v>
      </c>
      <c r="N225" s="916">
        <v>1</v>
      </c>
      <c r="O225" s="916">
        <v>12</v>
      </c>
      <c r="P225" s="917">
        <v>17808.66</v>
      </c>
    </row>
    <row r="226" spans="1:16" x14ac:dyDescent="0.2">
      <c r="A226" s="913" t="s">
        <v>1488</v>
      </c>
      <c r="B226" s="913" t="s">
        <v>1489</v>
      </c>
      <c r="C226" s="916" t="s">
        <v>80</v>
      </c>
      <c r="D226" s="913" t="s">
        <v>1519</v>
      </c>
      <c r="E226" s="915">
        <v>2200</v>
      </c>
      <c r="F226" s="916">
        <v>41072402</v>
      </c>
      <c r="G226" s="913" t="s">
        <v>1520</v>
      </c>
      <c r="H226" s="913" t="s">
        <v>1155</v>
      </c>
      <c r="I226" s="913"/>
      <c r="J226" s="913"/>
      <c r="K226" s="928">
        <v>1</v>
      </c>
      <c r="L226" s="933">
        <v>3</v>
      </c>
      <c r="M226" s="917">
        <v>28639.919999999998</v>
      </c>
      <c r="N226" s="916"/>
      <c r="O226" s="916"/>
      <c r="P226" s="917">
        <v>21408.659999999996</v>
      </c>
    </row>
    <row r="227" spans="1:16" x14ac:dyDescent="0.2">
      <c r="A227" s="913" t="s">
        <v>1488</v>
      </c>
      <c r="B227" s="913" t="s">
        <v>1489</v>
      </c>
      <c r="C227" s="916" t="s">
        <v>80</v>
      </c>
      <c r="D227" s="913" t="s">
        <v>958</v>
      </c>
      <c r="E227" s="915">
        <v>1500</v>
      </c>
      <c r="F227" s="916">
        <v>29718858</v>
      </c>
      <c r="G227" s="913" t="s">
        <v>1521</v>
      </c>
      <c r="H227" s="913" t="s">
        <v>1155</v>
      </c>
      <c r="I227" s="913"/>
      <c r="J227" s="913"/>
      <c r="K227" s="928">
        <v>1</v>
      </c>
      <c r="L227" s="933"/>
      <c r="M227" s="917">
        <v>20239.920000000002</v>
      </c>
      <c r="N227" s="916">
        <v>1</v>
      </c>
      <c r="O227" s="916">
        <v>12</v>
      </c>
      <c r="P227" s="917">
        <v>15108.66</v>
      </c>
    </row>
    <row r="228" spans="1:16" x14ac:dyDescent="0.2">
      <c r="A228" s="913" t="s">
        <v>1488</v>
      </c>
      <c r="B228" s="913" t="s">
        <v>1489</v>
      </c>
      <c r="C228" s="916" t="s">
        <v>80</v>
      </c>
      <c r="D228" s="913" t="s">
        <v>958</v>
      </c>
      <c r="E228" s="915">
        <v>1500</v>
      </c>
      <c r="F228" s="916">
        <v>47605627</v>
      </c>
      <c r="G228" s="913" t="s">
        <v>1522</v>
      </c>
      <c r="H228" s="913"/>
      <c r="I228" s="913"/>
      <c r="J228" s="913"/>
      <c r="K228" s="928">
        <v>1</v>
      </c>
      <c r="L228" s="933"/>
      <c r="M228" s="917">
        <v>20239.920000000002</v>
      </c>
      <c r="N228" s="916">
        <v>1</v>
      </c>
      <c r="O228" s="916">
        <v>12</v>
      </c>
      <c r="P228" s="917">
        <v>15108.66</v>
      </c>
    </row>
    <row r="229" spans="1:16" x14ac:dyDescent="0.2">
      <c r="A229" s="913" t="s">
        <v>1488</v>
      </c>
      <c r="B229" s="913" t="s">
        <v>1489</v>
      </c>
      <c r="C229" s="916" t="s">
        <v>80</v>
      </c>
      <c r="D229" s="913" t="s">
        <v>1523</v>
      </c>
      <c r="E229" s="915">
        <v>1200</v>
      </c>
      <c r="F229" s="916" t="s">
        <v>1524</v>
      </c>
      <c r="G229" s="913" t="s">
        <v>1525</v>
      </c>
      <c r="H229" s="913" t="s">
        <v>1498</v>
      </c>
      <c r="I229" s="913" t="s">
        <v>1508</v>
      </c>
      <c r="J229" s="913" t="s">
        <v>1495</v>
      </c>
      <c r="K229" s="928">
        <v>4</v>
      </c>
      <c r="L229" s="933">
        <v>3</v>
      </c>
      <c r="M229" s="917">
        <v>16639.920000000002</v>
      </c>
      <c r="N229" s="916">
        <v>1</v>
      </c>
      <c r="O229" s="916">
        <v>12</v>
      </c>
      <c r="P229" s="917">
        <v>12408.66</v>
      </c>
    </row>
    <row r="230" spans="1:16" x14ac:dyDescent="0.2">
      <c r="A230" s="913" t="s">
        <v>1488</v>
      </c>
      <c r="B230" s="913" t="s">
        <v>1489</v>
      </c>
      <c r="C230" s="916" t="s">
        <v>80</v>
      </c>
      <c r="D230" s="913" t="s">
        <v>1526</v>
      </c>
      <c r="E230" s="915">
        <v>1400</v>
      </c>
      <c r="F230" s="916" t="s">
        <v>1527</v>
      </c>
      <c r="G230" s="913" t="s">
        <v>1528</v>
      </c>
      <c r="H230" s="913" t="s">
        <v>1155</v>
      </c>
      <c r="I230" s="913"/>
      <c r="J230" s="913"/>
      <c r="K230" s="928">
        <v>4</v>
      </c>
      <c r="L230" s="933">
        <v>3</v>
      </c>
      <c r="M230" s="917">
        <v>19039.920000000002</v>
      </c>
      <c r="N230" s="916">
        <v>1</v>
      </c>
      <c r="O230" s="916">
        <v>12</v>
      </c>
      <c r="P230" s="917">
        <v>14208.66</v>
      </c>
    </row>
    <row r="231" spans="1:16" x14ac:dyDescent="0.2">
      <c r="A231" s="913" t="s">
        <v>1488</v>
      </c>
      <c r="B231" s="913" t="s">
        <v>1489</v>
      </c>
      <c r="C231" s="916" t="s">
        <v>80</v>
      </c>
      <c r="D231" s="913" t="s">
        <v>1529</v>
      </c>
      <c r="E231" s="915">
        <v>1400</v>
      </c>
      <c r="F231" s="916" t="s">
        <v>1530</v>
      </c>
      <c r="G231" s="913" t="s">
        <v>1531</v>
      </c>
      <c r="H231" s="913" t="s">
        <v>1532</v>
      </c>
      <c r="I231" s="913" t="s">
        <v>1494</v>
      </c>
      <c r="J231" s="913" t="s">
        <v>1495</v>
      </c>
      <c r="K231" s="928">
        <v>4</v>
      </c>
      <c r="L231" s="933">
        <v>3</v>
      </c>
      <c r="M231" s="917">
        <v>19039.920000000002</v>
      </c>
      <c r="N231" s="916">
        <v>1</v>
      </c>
      <c r="O231" s="916">
        <v>12</v>
      </c>
      <c r="P231" s="917">
        <v>14208.66</v>
      </c>
    </row>
    <row r="232" spans="1:16" x14ac:dyDescent="0.2">
      <c r="A232" s="913" t="s">
        <v>1488</v>
      </c>
      <c r="B232" s="913" t="s">
        <v>1489</v>
      </c>
      <c r="C232" s="916" t="s">
        <v>80</v>
      </c>
      <c r="D232" s="913" t="s">
        <v>958</v>
      </c>
      <c r="E232" s="915">
        <v>1500</v>
      </c>
      <c r="F232" s="916">
        <v>47293000</v>
      </c>
      <c r="G232" s="913" t="s">
        <v>1533</v>
      </c>
      <c r="H232" s="913" t="s">
        <v>923</v>
      </c>
      <c r="I232" s="913" t="s">
        <v>1494</v>
      </c>
      <c r="J232" s="913" t="s">
        <v>1495</v>
      </c>
      <c r="K232" s="928">
        <v>1</v>
      </c>
      <c r="L232" s="933"/>
      <c r="M232" s="917">
        <v>20239.920000000002</v>
      </c>
      <c r="N232" s="916">
        <v>1</v>
      </c>
      <c r="O232" s="916">
        <v>12</v>
      </c>
      <c r="P232" s="917">
        <v>15108.66</v>
      </c>
    </row>
    <row r="233" spans="1:16" x14ac:dyDescent="0.2">
      <c r="A233" s="913" t="s">
        <v>1488</v>
      </c>
      <c r="B233" s="913" t="s">
        <v>1489</v>
      </c>
      <c r="C233" s="916" t="s">
        <v>80</v>
      </c>
      <c r="D233" s="913" t="s">
        <v>958</v>
      </c>
      <c r="E233" s="915">
        <v>1800</v>
      </c>
      <c r="F233" s="916">
        <v>29722416</v>
      </c>
      <c r="G233" s="913" t="s">
        <v>1534</v>
      </c>
      <c r="H233" s="913" t="s">
        <v>1155</v>
      </c>
      <c r="I233" s="913"/>
      <c r="J233" s="913"/>
      <c r="K233" s="928">
        <v>1</v>
      </c>
      <c r="L233" s="933"/>
      <c r="M233" s="917">
        <v>23415.920000000002</v>
      </c>
      <c r="N233" s="916">
        <v>1</v>
      </c>
      <c r="O233" s="916">
        <v>12</v>
      </c>
      <c r="P233" s="917">
        <v>17808.66</v>
      </c>
    </row>
    <row r="234" spans="1:16" x14ac:dyDescent="0.2">
      <c r="A234" s="913" t="s">
        <v>1488</v>
      </c>
      <c r="B234" s="913" t="s">
        <v>1489</v>
      </c>
      <c r="C234" s="916" t="s">
        <v>80</v>
      </c>
      <c r="D234" s="913" t="s">
        <v>958</v>
      </c>
      <c r="E234" s="915">
        <v>1400</v>
      </c>
      <c r="F234" s="916">
        <v>41120939</v>
      </c>
      <c r="G234" s="913" t="s">
        <v>1535</v>
      </c>
      <c r="H234" s="913"/>
      <c r="I234" s="913"/>
      <c r="J234" s="913"/>
      <c r="K234" s="928">
        <v>1</v>
      </c>
      <c r="L234" s="933"/>
      <c r="M234" s="917">
        <v>17899</v>
      </c>
      <c r="N234" s="916">
        <v>1</v>
      </c>
      <c r="O234" s="916">
        <v>12</v>
      </c>
      <c r="P234" s="917">
        <v>13353</v>
      </c>
    </row>
    <row r="235" spans="1:16" x14ac:dyDescent="0.2">
      <c r="A235" s="912" t="s">
        <v>1536</v>
      </c>
      <c r="B235" s="912" t="s">
        <v>935</v>
      </c>
      <c r="C235" s="912" t="s">
        <v>80</v>
      </c>
      <c r="D235" s="912" t="s">
        <v>1537</v>
      </c>
      <c r="E235" s="934">
        <v>4568</v>
      </c>
      <c r="F235" s="926" t="s">
        <v>1538</v>
      </c>
      <c r="G235" s="926" t="s">
        <v>1539</v>
      </c>
      <c r="H235" s="926" t="s">
        <v>1175</v>
      </c>
      <c r="I235" s="912" t="s">
        <v>1540</v>
      </c>
      <c r="J235" s="912" t="s">
        <v>1541</v>
      </c>
      <c r="K235" s="935" t="s">
        <v>1542</v>
      </c>
      <c r="L235" s="934">
        <v>12</v>
      </c>
      <c r="M235" s="934">
        <f>+E235*12</f>
        <v>54816</v>
      </c>
      <c r="N235" s="934"/>
      <c r="O235" s="934">
        <v>12</v>
      </c>
      <c r="P235" s="934">
        <f>+M235</f>
        <v>54816</v>
      </c>
    </row>
    <row r="236" spans="1:16" x14ac:dyDescent="0.2">
      <c r="A236" s="912" t="s">
        <v>1536</v>
      </c>
      <c r="B236" s="912" t="s">
        <v>935</v>
      </c>
      <c r="C236" s="912" t="s">
        <v>80</v>
      </c>
      <c r="D236" s="912" t="s">
        <v>1537</v>
      </c>
      <c r="E236" s="934">
        <v>4568</v>
      </c>
      <c r="F236" s="926" t="s">
        <v>1543</v>
      </c>
      <c r="G236" s="926" t="s">
        <v>1544</v>
      </c>
      <c r="H236" s="926" t="s">
        <v>1175</v>
      </c>
      <c r="I236" s="912" t="s">
        <v>1540</v>
      </c>
      <c r="J236" s="912" t="s">
        <v>1541</v>
      </c>
      <c r="K236" s="935" t="s">
        <v>1542</v>
      </c>
      <c r="L236" s="934">
        <v>12</v>
      </c>
      <c r="M236" s="934">
        <f t="shared" ref="M236:M299" si="12">+E236*12</f>
        <v>54816</v>
      </c>
      <c r="N236" s="934"/>
      <c r="O236" s="934">
        <v>12</v>
      </c>
      <c r="P236" s="934">
        <f t="shared" ref="P236:P299" si="13">+M236</f>
        <v>54816</v>
      </c>
    </row>
    <row r="237" spans="1:16" x14ac:dyDescent="0.2">
      <c r="A237" s="912" t="s">
        <v>1536</v>
      </c>
      <c r="B237" s="912" t="s">
        <v>935</v>
      </c>
      <c r="C237" s="912" t="s">
        <v>80</v>
      </c>
      <c r="D237" s="912" t="s">
        <v>1537</v>
      </c>
      <c r="E237" s="934">
        <v>4568</v>
      </c>
      <c r="F237" s="926" t="s">
        <v>1545</v>
      </c>
      <c r="G237" s="926" t="s">
        <v>1546</v>
      </c>
      <c r="H237" s="926" t="s">
        <v>1175</v>
      </c>
      <c r="I237" s="912" t="s">
        <v>1540</v>
      </c>
      <c r="J237" s="912" t="s">
        <v>1541</v>
      </c>
      <c r="K237" s="935" t="s">
        <v>1542</v>
      </c>
      <c r="L237" s="934">
        <v>12</v>
      </c>
      <c r="M237" s="934">
        <f t="shared" si="12"/>
        <v>54816</v>
      </c>
      <c r="N237" s="934"/>
      <c r="O237" s="934">
        <v>12</v>
      </c>
      <c r="P237" s="934">
        <f t="shared" si="13"/>
        <v>54816</v>
      </c>
    </row>
    <row r="238" spans="1:16" x14ac:dyDescent="0.2">
      <c r="A238" s="912" t="s">
        <v>1536</v>
      </c>
      <c r="B238" s="912" t="s">
        <v>935</v>
      </c>
      <c r="C238" s="912" t="s">
        <v>80</v>
      </c>
      <c r="D238" s="912" t="s">
        <v>1537</v>
      </c>
      <c r="E238" s="934">
        <v>4568</v>
      </c>
      <c r="F238" s="926" t="s">
        <v>1547</v>
      </c>
      <c r="G238" s="926" t="s">
        <v>1548</v>
      </c>
      <c r="H238" s="926" t="s">
        <v>1175</v>
      </c>
      <c r="I238" s="912" t="s">
        <v>1540</v>
      </c>
      <c r="J238" s="912" t="s">
        <v>1541</v>
      </c>
      <c r="K238" s="935" t="s">
        <v>1542</v>
      </c>
      <c r="L238" s="934">
        <v>12</v>
      </c>
      <c r="M238" s="934">
        <f t="shared" si="12"/>
        <v>54816</v>
      </c>
      <c r="N238" s="934"/>
      <c r="O238" s="934">
        <v>12</v>
      </c>
      <c r="P238" s="934">
        <f t="shared" si="13"/>
        <v>54816</v>
      </c>
    </row>
    <row r="239" spans="1:16" x14ac:dyDescent="0.2">
      <c r="A239" s="912" t="s">
        <v>1536</v>
      </c>
      <c r="B239" s="912" t="s">
        <v>935</v>
      </c>
      <c r="C239" s="912" t="s">
        <v>80</v>
      </c>
      <c r="D239" s="912" t="s">
        <v>1537</v>
      </c>
      <c r="E239" s="934">
        <v>4568</v>
      </c>
      <c r="F239" s="926" t="s">
        <v>1549</v>
      </c>
      <c r="G239" s="926" t="s">
        <v>1550</v>
      </c>
      <c r="H239" s="926" t="s">
        <v>1175</v>
      </c>
      <c r="I239" s="912" t="s">
        <v>1540</v>
      </c>
      <c r="J239" s="912" t="s">
        <v>1541</v>
      </c>
      <c r="K239" s="935" t="s">
        <v>1542</v>
      </c>
      <c r="L239" s="934">
        <v>12</v>
      </c>
      <c r="M239" s="934">
        <f t="shared" si="12"/>
        <v>54816</v>
      </c>
      <c r="N239" s="934"/>
      <c r="O239" s="934">
        <v>12</v>
      </c>
      <c r="P239" s="934">
        <f t="shared" si="13"/>
        <v>54816</v>
      </c>
    </row>
    <row r="240" spans="1:16" x14ac:dyDescent="0.2">
      <c r="A240" s="912" t="s">
        <v>1536</v>
      </c>
      <c r="B240" s="912" t="s">
        <v>935</v>
      </c>
      <c r="C240" s="912" t="s">
        <v>80</v>
      </c>
      <c r="D240" s="912" t="s">
        <v>1537</v>
      </c>
      <c r="E240" s="934">
        <v>4500</v>
      </c>
      <c r="F240" s="926" t="s">
        <v>1551</v>
      </c>
      <c r="G240" s="926" t="s">
        <v>1552</v>
      </c>
      <c r="H240" s="926" t="s">
        <v>1175</v>
      </c>
      <c r="I240" s="912" t="s">
        <v>1540</v>
      </c>
      <c r="J240" s="912" t="s">
        <v>1541</v>
      </c>
      <c r="K240" s="935" t="s">
        <v>1542</v>
      </c>
      <c r="L240" s="934">
        <v>12</v>
      </c>
      <c r="M240" s="934">
        <f t="shared" si="12"/>
        <v>54000</v>
      </c>
      <c r="N240" s="934"/>
      <c r="O240" s="934">
        <v>12</v>
      </c>
      <c r="P240" s="934">
        <f t="shared" si="13"/>
        <v>54000</v>
      </c>
    </row>
    <row r="241" spans="1:16" x14ac:dyDescent="0.2">
      <c r="A241" s="912" t="s">
        <v>1536</v>
      </c>
      <c r="B241" s="912" t="s">
        <v>935</v>
      </c>
      <c r="C241" s="912" t="s">
        <v>80</v>
      </c>
      <c r="D241" s="912" t="s">
        <v>1537</v>
      </c>
      <c r="E241" s="934">
        <v>4568</v>
      </c>
      <c r="F241" s="926" t="s">
        <v>1553</v>
      </c>
      <c r="G241" s="926" t="s">
        <v>1554</v>
      </c>
      <c r="H241" s="926" t="s">
        <v>1175</v>
      </c>
      <c r="I241" s="912" t="s">
        <v>1540</v>
      </c>
      <c r="J241" s="912" t="s">
        <v>1541</v>
      </c>
      <c r="K241" s="935" t="s">
        <v>1542</v>
      </c>
      <c r="L241" s="934">
        <v>12</v>
      </c>
      <c r="M241" s="934">
        <f t="shared" si="12"/>
        <v>54816</v>
      </c>
      <c r="N241" s="934"/>
      <c r="O241" s="934">
        <v>12</v>
      </c>
      <c r="P241" s="934">
        <f t="shared" si="13"/>
        <v>54816</v>
      </c>
    </row>
    <row r="242" spans="1:16" x14ac:dyDescent="0.2">
      <c r="A242" s="912" t="s">
        <v>1536</v>
      </c>
      <c r="B242" s="912" t="s">
        <v>935</v>
      </c>
      <c r="C242" s="912" t="s">
        <v>80</v>
      </c>
      <c r="D242" s="912" t="s">
        <v>1537</v>
      </c>
      <c r="E242" s="934">
        <v>5207</v>
      </c>
      <c r="F242" s="926" t="s">
        <v>1555</v>
      </c>
      <c r="G242" s="926" t="s">
        <v>1556</v>
      </c>
      <c r="H242" s="926" t="s">
        <v>1175</v>
      </c>
      <c r="I242" s="912" t="s">
        <v>1540</v>
      </c>
      <c r="J242" s="912" t="s">
        <v>1541</v>
      </c>
      <c r="K242" s="935" t="s">
        <v>1542</v>
      </c>
      <c r="L242" s="934">
        <v>12</v>
      </c>
      <c r="M242" s="934">
        <f t="shared" si="12"/>
        <v>62484</v>
      </c>
      <c r="N242" s="934"/>
      <c r="O242" s="934">
        <v>12</v>
      </c>
      <c r="P242" s="934">
        <f t="shared" si="13"/>
        <v>62484</v>
      </c>
    </row>
    <row r="243" spans="1:16" x14ac:dyDescent="0.2">
      <c r="A243" s="912" t="s">
        <v>1536</v>
      </c>
      <c r="B243" s="912" t="s">
        <v>935</v>
      </c>
      <c r="C243" s="912" t="s">
        <v>80</v>
      </c>
      <c r="D243" s="912" t="s">
        <v>1537</v>
      </c>
      <c r="E243" s="934">
        <v>4568</v>
      </c>
      <c r="F243" s="926" t="s">
        <v>1557</v>
      </c>
      <c r="G243" s="926" t="s">
        <v>1558</v>
      </c>
      <c r="H243" s="926" t="s">
        <v>1175</v>
      </c>
      <c r="I243" s="912" t="s">
        <v>1540</v>
      </c>
      <c r="J243" s="912" t="s">
        <v>1541</v>
      </c>
      <c r="K243" s="935" t="s">
        <v>1542</v>
      </c>
      <c r="L243" s="934">
        <v>12</v>
      </c>
      <c r="M243" s="934">
        <f t="shared" si="12"/>
        <v>54816</v>
      </c>
      <c r="N243" s="934"/>
      <c r="O243" s="934">
        <v>12</v>
      </c>
      <c r="P243" s="934">
        <f t="shared" si="13"/>
        <v>54816</v>
      </c>
    </row>
    <row r="244" spans="1:16" x14ac:dyDescent="0.2">
      <c r="A244" s="912" t="s">
        <v>1536</v>
      </c>
      <c r="B244" s="912" t="s">
        <v>935</v>
      </c>
      <c r="C244" s="912" t="s">
        <v>80</v>
      </c>
      <c r="D244" s="912" t="s">
        <v>1537</v>
      </c>
      <c r="E244" s="934">
        <v>4568</v>
      </c>
      <c r="F244" s="926" t="s">
        <v>1559</v>
      </c>
      <c r="G244" s="926" t="s">
        <v>1560</v>
      </c>
      <c r="H244" s="926" t="s">
        <v>1175</v>
      </c>
      <c r="I244" s="912" t="s">
        <v>1540</v>
      </c>
      <c r="J244" s="912" t="s">
        <v>1541</v>
      </c>
      <c r="K244" s="935" t="s">
        <v>1542</v>
      </c>
      <c r="L244" s="934">
        <v>12</v>
      </c>
      <c r="M244" s="934">
        <f t="shared" si="12"/>
        <v>54816</v>
      </c>
      <c r="N244" s="934"/>
      <c r="O244" s="934">
        <v>12</v>
      </c>
      <c r="P244" s="934">
        <f t="shared" si="13"/>
        <v>54816</v>
      </c>
    </row>
    <row r="245" spans="1:16" x14ac:dyDescent="0.2">
      <c r="A245" s="912" t="s">
        <v>1536</v>
      </c>
      <c r="B245" s="912" t="s">
        <v>935</v>
      </c>
      <c r="C245" s="912" t="s">
        <v>80</v>
      </c>
      <c r="D245" s="912" t="s">
        <v>1537</v>
      </c>
      <c r="E245" s="934">
        <v>4000</v>
      </c>
      <c r="F245" s="926" t="s">
        <v>1561</v>
      </c>
      <c r="G245" s="926" t="s">
        <v>1562</v>
      </c>
      <c r="H245" s="926" t="s">
        <v>1175</v>
      </c>
      <c r="I245" s="912" t="s">
        <v>1540</v>
      </c>
      <c r="J245" s="912" t="s">
        <v>1541</v>
      </c>
      <c r="K245" s="935" t="s">
        <v>1542</v>
      </c>
      <c r="L245" s="934">
        <v>12</v>
      </c>
      <c r="M245" s="934">
        <f t="shared" si="12"/>
        <v>48000</v>
      </c>
      <c r="N245" s="934"/>
      <c r="O245" s="934">
        <v>12</v>
      </c>
      <c r="P245" s="934">
        <f t="shared" si="13"/>
        <v>48000</v>
      </c>
    </row>
    <row r="246" spans="1:16" x14ac:dyDescent="0.2">
      <c r="A246" s="912" t="s">
        <v>1536</v>
      </c>
      <c r="B246" s="912" t="s">
        <v>935</v>
      </c>
      <c r="C246" s="912" t="s">
        <v>80</v>
      </c>
      <c r="D246" s="912" t="s">
        <v>1537</v>
      </c>
      <c r="E246" s="934">
        <v>4568</v>
      </c>
      <c r="F246" s="926" t="s">
        <v>1563</v>
      </c>
      <c r="G246" s="926" t="s">
        <v>1564</v>
      </c>
      <c r="H246" s="926" t="s">
        <v>1175</v>
      </c>
      <c r="I246" s="912" t="s">
        <v>1540</v>
      </c>
      <c r="J246" s="912" t="s">
        <v>1541</v>
      </c>
      <c r="K246" s="935" t="s">
        <v>1542</v>
      </c>
      <c r="L246" s="934">
        <v>12</v>
      </c>
      <c r="M246" s="934">
        <f t="shared" si="12"/>
        <v>54816</v>
      </c>
      <c r="N246" s="934"/>
      <c r="O246" s="934">
        <v>12</v>
      </c>
      <c r="P246" s="934">
        <f t="shared" si="13"/>
        <v>54816</v>
      </c>
    </row>
    <row r="247" spans="1:16" x14ac:dyDescent="0.2">
      <c r="A247" s="912" t="s">
        <v>1536</v>
      </c>
      <c r="B247" s="912" t="s">
        <v>935</v>
      </c>
      <c r="C247" s="912" t="s">
        <v>80</v>
      </c>
      <c r="D247" s="912" t="s">
        <v>1537</v>
      </c>
      <c r="E247" s="934">
        <v>4568</v>
      </c>
      <c r="F247" s="926"/>
      <c r="G247" s="926" t="s">
        <v>1565</v>
      </c>
      <c r="H247" s="926" t="s">
        <v>1175</v>
      </c>
      <c r="I247" s="912" t="s">
        <v>1540</v>
      </c>
      <c r="J247" s="912" t="s">
        <v>1541</v>
      </c>
      <c r="K247" s="935" t="s">
        <v>1542</v>
      </c>
      <c r="L247" s="934">
        <v>12</v>
      </c>
      <c r="M247" s="934">
        <f t="shared" si="12"/>
        <v>54816</v>
      </c>
      <c r="N247" s="934"/>
      <c r="O247" s="934">
        <v>12</v>
      </c>
      <c r="P247" s="934">
        <f t="shared" si="13"/>
        <v>54816</v>
      </c>
    </row>
    <row r="248" spans="1:16" x14ac:dyDescent="0.2">
      <c r="A248" s="912" t="s">
        <v>1536</v>
      </c>
      <c r="B248" s="912" t="s">
        <v>935</v>
      </c>
      <c r="C248" s="912" t="s">
        <v>80</v>
      </c>
      <c r="D248" s="912" t="s">
        <v>1537</v>
      </c>
      <c r="E248" s="934">
        <v>4568</v>
      </c>
      <c r="F248" s="926" t="s">
        <v>1566</v>
      </c>
      <c r="G248" s="926" t="s">
        <v>1567</v>
      </c>
      <c r="H248" s="926" t="s">
        <v>1568</v>
      </c>
      <c r="I248" s="912" t="s">
        <v>1540</v>
      </c>
      <c r="J248" s="912" t="s">
        <v>1541</v>
      </c>
      <c r="K248" s="935" t="s">
        <v>1542</v>
      </c>
      <c r="L248" s="934">
        <v>12</v>
      </c>
      <c r="M248" s="934">
        <f t="shared" si="12"/>
        <v>54816</v>
      </c>
      <c r="N248" s="934"/>
      <c r="O248" s="934">
        <v>12</v>
      </c>
      <c r="P248" s="934">
        <f t="shared" si="13"/>
        <v>54816</v>
      </c>
    </row>
    <row r="249" spans="1:16" x14ac:dyDescent="0.2">
      <c r="A249" s="912" t="s">
        <v>1536</v>
      </c>
      <c r="B249" s="912" t="s">
        <v>935</v>
      </c>
      <c r="C249" s="912" t="s">
        <v>80</v>
      </c>
      <c r="D249" s="912" t="s">
        <v>1537</v>
      </c>
      <c r="E249" s="934">
        <v>4568</v>
      </c>
      <c r="F249" s="926" t="s">
        <v>1569</v>
      </c>
      <c r="G249" s="926" t="s">
        <v>1570</v>
      </c>
      <c r="H249" s="926" t="s">
        <v>1568</v>
      </c>
      <c r="I249" s="912" t="s">
        <v>1540</v>
      </c>
      <c r="J249" s="912" t="s">
        <v>1541</v>
      </c>
      <c r="K249" s="935" t="s">
        <v>1542</v>
      </c>
      <c r="L249" s="934">
        <v>12</v>
      </c>
      <c r="M249" s="934">
        <f t="shared" si="12"/>
        <v>54816</v>
      </c>
      <c r="N249" s="934"/>
      <c r="O249" s="934">
        <v>12</v>
      </c>
      <c r="P249" s="934">
        <f t="shared" si="13"/>
        <v>54816</v>
      </c>
    </row>
    <row r="250" spans="1:16" x14ac:dyDescent="0.2">
      <c r="A250" s="912" t="s">
        <v>1536</v>
      </c>
      <c r="B250" s="912" t="s">
        <v>935</v>
      </c>
      <c r="C250" s="912" t="s">
        <v>80</v>
      </c>
      <c r="D250" s="912" t="s">
        <v>1537</v>
      </c>
      <c r="E250" s="934">
        <v>4500</v>
      </c>
      <c r="F250" s="926" t="s">
        <v>1571</v>
      </c>
      <c r="G250" s="926" t="s">
        <v>1572</v>
      </c>
      <c r="H250" s="926" t="s">
        <v>1573</v>
      </c>
      <c r="I250" s="912" t="s">
        <v>1540</v>
      </c>
      <c r="J250" s="912" t="s">
        <v>1541</v>
      </c>
      <c r="K250" s="935" t="s">
        <v>1542</v>
      </c>
      <c r="L250" s="934">
        <v>12</v>
      </c>
      <c r="M250" s="934">
        <f t="shared" si="12"/>
        <v>54000</v>
      </c>
      <c r="N250" s="934"/>
      <c r="O250" s="934">
        <v>12</v>
      </c>
      <c r="P250" s="934">
        <f t="shared" si="13"/>
        <v>54000</v>
      </c>
    </row>
    <row r="251" spans="1:16" x14ac:dyDescent="0.2">
      <c r="A251" s="912" t="s">
        <v>1536</v>
      </c>
      <c r="B251" s="912" t="s">
        <v>935</v>
      </c>
      <c r="C251" s="912" t="s">
        <v>80</v>
      </c>
      <c r="D251" s="912" t="s">
        <v>1537</v>
      </c>
      <c r="E251" s="934">
        <v>4568</v>
      </c>
      <c r="F251" s="926" t="s">
        <v>1574</v>
      </c>
      <c r="G251" s="926" t="s">
        <v>1575</v>
      </c>
      <c r="H251" s="926" t="s">
        <v>1576</v>
      </c>
      <c r="I251" s="912" t="s">
        <v>1540</v>
      </c>
      <c r="J251" s="912" t="s">
        <v>1541</v>
      </c>
      <c r="K251" s="935" t="s">
        <v>1542</v>
      </c>
      <c r="L251" s="934">
        <v>12</v>
      </c>
      <c r="M251" s="934">
        <f t="shared" si="12"/>
        <v>54816</v>
      </c>
      <c r="N251" s="934"/>
      <c r="O251" s="934">
        <v>12</v>
      </c>
      <c r="P251" s="934">
        <f t="shared" si="13"/>
        <v>54816</v>
      </c>
    </row>
    <row r="252" spans="1:16" x14ac:dyDescent="0.2">
      <c r="A252" s="912" t="s">
        <v>1536</v>
      </c>
      <c r="B252" s="912" t="s">
        <v>935</v>
      </c>
      <c r="C252" s="912" t="s">
        <v>80</v>
      </c>
      <c r="D252" s="912" t="s">
        <v>1537</v>
      </c>
      <c r="E252" s="934">
        <v>4568</v>
      </c>
      <c r="F252" s="926" t="s">
        <v>1577</v>
      </c>
      <c r="G252" s="926" t="s">
        <v>1578</v>
      </c>
      <c r="H252" s="926" t="s">
        <v>1579</v>
      </c>
      <c r="I252" s="912" t="s">
        <v>1540</v>
      </c>
      <c r="J252" s="912" t="s">
        <v>1541</v>
      </c>
      <c r="K252" s="935" t="s">
        <v>1542</v>
      </c>
      <c r="L252" s="934">
        <v>12</v>
      </c>
      <c r="M252" s="934">
        <f t="shared" si="12"/>
        <v>54816</v>
      </c>
      <c r="N252" s="934"/>
      <c r="O252" s="934">
        <v>12</v>
      </c>
      <c r="P252" s="934">
        <f t="shared" si="13"/>
        <v>54816</v>
      </c>
    </row>
    <row r="253" spans="1:16" x14ac:dyDescent="0.2">
      <c r="A253" s="912" t="s">
        <v>1536</v>
      </c>
      <c r="B253" s="912" t="s">
        <v>935</v>
      </c>
      <c r="C253" s="912" t="s">
        <v>80</v>
      </c>
      <c r="D253" s="912" t="s">
        <v>1537</v>
      </c>
      <c r="E253" s="934">
        <v>4568</v>
      </c>
      <c r="F253" s="926" t="s">
        <v>1580</v>
      </c>
      <c r="G253" s="926" t="s">
        <v>1581</v>
      </c>
      <c r="H253" s="926" t="s">
        <v>1582</v>
      </c>
      <c r="I253" s="912" t="s">
        <v>1540</v>
      </c>
      <c r="J253" s="912" t="s">
        <v>1541</v>
      </c>
      <c r="K253" s="935" t="s">
        <v>1542</v>
      </c>
      <c r="L253" s="934">
        <v>12</v>
      </c>
      <c r="M253" s="934">
        <f t="shared" si="12"/>
        <v>54816</v>
      </c>
      <c r="N253" s="934"/>
      <c r="O253" s="934">
        <v>12</v>
      </c>
      <c r="P253" s="934">
        <f t="shared" si="13"/>
        <v>54816</v>
      </c>
    </row>
    <row r="254" spans="1:16" x14ac:dyDescent="0.2">
      <c r="A254" s="912" t="s">
        <v>1536</v>
      </c>
      <c r="B254" s="912" t="s">
        <v>935</v>
      </c>
      <c r="C254" s="912" t="s">
        <v>80</v>
      </c>
      <c r="D254" s="912" t="s">
        <v>1537</v>
      </c>
      <c r="E254" s="934">
        <v>4568</v>
      </c>
      <c r="F254" s="926" t="s">
        <v>1583</v>
      </c>
      <c r="G254" s="926" t="s">
        <v>1584</v>
      </c>
      <c r="H254" s="926" t="s">
        <v>1585</v>
      </c>
      <c r="I254" s="912" t="s">
        <v>1540</v>
      </c>
      <c r="J254" s="912" t="s">
        <v>1541</v>
      </c>
      <c r="K254" s="935" t="s">
        <v>1542</v>
      </c>
      <c r="L254" s="934">
        <v>12</v>
      </c>
      <c r="M254" s="934">
        <f t="shared" si="12"/>
        <v>54816</v>
      </c>
      <c r="N254" s="934"/>
      <c r="O254" s="934">
        <v>12</v>
      </c>
      <c r="P254" s="934">
        <f t="shared" si="13"/>
        <v>54816</v>
      </c>
    </row>
    <row r="255" spans="1:16" x14ac:dyDescent="0.2">
      <c r="A255" s="912" t="s">
        <v>1536</v>
      </c>
      <c r="B255" s="912" t="s">
        <v>935</v>
      </c>
      <c r="C255" s="912" t="s">
        <v>80</v>
      </c>
      <c r="D255" s="912" t="s">
        <v>1537</v>
      </c>
      <c r="E255" s="934">
        <v>4568</v>
      </c>
      <c r="F255" s="926" t="s">
        <v>1586</v>
      </c>
      <c r="G255" s="926" t="s">
        <v>1587</v>
      </c>
      <c r="H255" s="926" t="s">
        <v>1588</v>
      </c>
      <c r="I255" s="912" t="s">
        <v>1540</v>
      </c>
      <c r="J255" s="912" t="s">
        <v>1541</v>
      </c>
      <c r="K255" s="935" t="s">
        <v>1542</v>
      </c>
      <c r="L255" s="934">
        <v>12</v>
      </c>
      <c r="M255" s="934">
        <f t="shared" si="12"/>
        <v>54816</v>
      </c>
      <c r="N255" s="934"/>
      <c r="O255" s="934">
        <v>12</v>
      </c>
      <c r="P255" s="934">
        <f t="shared" si="13"/>
        <v>54816</v>
      </c>
    </row>
    <row r="256" spans="1:16" x14ac:dyDescent="0.2">
      <c r="A256" s="912" t="s">
        <v>1536</v>
      </c>
      <c r="B256" s="912" t="s">
        <v>935</v>
      </c>
      <c r="C256" s="912" t="s">
        <v>80</v>
      </c>
      <c r="D256" s="912" t="s">
        <v>1537</v>
      </c>
      <c r="E256" s="934">
        <v>4500</v>
      </c>
      <c r="F256" s="926" t="s">
        <v>1589</v>
      </c>
      <c r="G256" s="926" t="s">
        <v>1590</v>
      </c>
      <c r="H256" s="926" t="s">
        <v>1591</v>
      </c>
      <c r="I256" s="912" t="s">
        <v>1540</v>
      </c>
      <c r="J256" s="912" t="s">
        <v>1541</v>
      </c>
      <c r="K256" s="935" t="s">
        <v>1542</v>
      </c>
      <c r="L256" s="934">
        <v>12</v>
      </c>
      <c r="M256" s="934">
        <f t="shared" si="12"/>
        <v>54000</v>
      </c>
      <c r="N256" s="934"/>
      <c r="O256" s="934">
        <v>12</v>
      </c>
      <c r="P256" s="934">
        <f t="shared" si="13"/>
        <v>54000</v>
      </c>
    </row>
    <row r="257" spans="1:16" x14ac:dyDescent="0.2">
      <c r="A257" s="912" t="s">
        <v>1536</v>
      </c>
      <c r="B257" s="912" t="s">
        <v>935</v>
      </c>
      <c r="C257" s="912" t="s">
        <v>80</v>
      </c>
      <c r="D257" s="912" t="s">
        <v>1537</v>
      </c>
      <c r="E257" s="934">
        <v>2000</v>
      </c>
      <c r="F257" s="926" t="s">
        <v>1592</v>
      </c>
      <c r="G257" s="926" t="s">
        <v>1593</v>
      </c>
      <c r="H257" s="926" t="s">
        <v>1594</v>
      </c>
      <c r="I257" s="912" t="s">
        <v>1540</v>
      </c>
      <c r="J257" s="912" t="s">
        <v>1541</v>
      </c>
      <c r="K257" s="935" t="s">
        <v>1542</v>
      </c>
      <c r="L257" s="934">
        <v>12</v>
      </c>
      <c r="M257" s="934">
        <f t="shared" si="12"/>
        <v>24000</v>
      </c>
      <c r="N257" s="934"/>
      <c r="O257" s="934">
        <v>12</v>
      </c>
      <c r="P257" s="934">
        <f t="shared" si="13"/>
        <v>24000</v>
      </c>
    </row>
    <row r="258" spans="1:16" x14ac:dyDescent="0.2">
      <c r="A258" s="912" t="s">
        <v>1536</v>
      </c>
      <c r="B258" s="912" t="s">
        <v>935</v>
      </c>
      <c r="C258" s="912" t="s">
        <v>80</v>
      </c>
      <c r="D258" s="912" t="s">
        <v>1537</v>
      </c>
      <c r="E258" s="934">
        <v>2239</v>
      </c>
      <c r="F258" s="926" t="s">
        <v>1595</v>
      </c>
      <c r="G258" s="926" t="s">
        <v>1596</v>
      </c>
      <c r="H258" s="926" t="s">
        <v>1594</v>
      </c>
      <c r="I258" s="912" t="s">
        <v>1540</v>
      </c>
      <c r="J258" s="912" t="s">
        <v>1541</v>
      </c>
      <c r="K258" s="935" t="s">
        <v>1542</v>
      </c>
      <c r="L258" s="934">
        <v>12</v>
      </c>
      <c r="M258" s="934">
        <f t="shared" si="12"/>
        <v>26868</v>
      </c>
      <c r="N258" s="934"/>
      <c r="O258" s="934">
        <v>12</v>
      </c>
      <c r="P258" s="934">
        <f t="shared" si="13"/>
        <v>26868</v>
      </c>
    </row>
    <row r="259" spans="1:16" x14ac:dyDescent="0.2">
      <c r="A259" s="912" t="s">
        <v>1536</v>
      </c>
      <c r="B259" s="912" t="s">
        <v>935</v>
      </c>
      <c r="C259" s="912" t="s">
        <v>80</v>
      </c>
      <c r="D259" s="912" t="s">
        <v>1537</v>
      </c>
      <c r="E259" s="934">
        <v>2000</v>
      </c>
      <c r="F259" s="926" t="s">
        <v>1597</v>
      </c>
      <c r="G259" s="926" t="s">
        <v>1598</v>
      </c>
      <c r="H259" s="926" t="s">
        <v>1594</v>
      </c>
      <c r="I259" s="912" t="s">
        <v>1540</v>
      </c>
      <c r="J259" s="912" t="s">
        <v>1541</v>
      </c>
      <c r="K259" s="935" t="s">
        <v>1542</v>
      </c>
      <c r="L259" s="934">
        <v>12</v>
      </c>
      <c r="M259" s="934">
        <f t="shared" si="12"/>
        <v>24000</v>
      </c>
      <c r="N259" s="934"/>
      <c r="O259" s="934">
        <v>12</v>
      </c>
      <c r="P259" s="934">
        <f t="shared" si="13"/>
        <v>24000</v>
      </c>
    </row>
    <row r="260" spans="1:16" x14ac:dyDescent="0.2">
      <c r="A260" s="912" t="s">
        <v>1536</v>
      </c>
      <c r="B260" s="912" t="s">
        <v>935</v>
      </c>
      <c r="C260" s="912" t="s">
        <v>80</v>
      </c>
      <c r="D260" s="912" t="s">
        <v>1537</v>
      </c>
      <c r="E260" s="934">
        <v>2000</v>
      </c>
      <c r="F260" s="926" t="s">
        <v>1599</v>
      </c>
      <c r="G260" s="926" t="s">
        <v>1600</v>
      </c>
      <c r="H260" s="926" t="s">
        <v>1594</v>
      </c>
      <c r="I260" s="912" t="s">
        <v>1540</v>
      </c>
      <c r="J260" s="912" t="s">
        <v>1541</v>
      </c>
      <c r="K260" s="935" t="s">
        <v>1542</v>
      </c>
      <c r="L260" s="934">
        <v>12</v>
      </c>
      <c r="M260" s="934">
        <f t="shared" si="12"/>
        <v>24000</v>
      </c>
      <c r="N260" s="934"/>
      <c r="O260" s="934">
        <v>12</v>
      </c>
      <c r="P260" s="934">
        <f t="shared" si="13"/>
        <v>24000</v>
      </c>
    </row>
    <row r="261" spans="1:16" x14ac:dyDescent="0.2">
      <c r="A261" s="912" t="s">
        <v>1536</v>
      </c>
      <c r="B261" s="912" t="s">
        <v>935</v>
      </c>
      <c r="C261" s="912" t="s">
        <v>80</v>
      </c>
      <c r="D261" s="912" t="s">
        <v>1537</v>
      </c>
      <c r="E261" s="934">
        <v>2000</v>
      </c>
      <c r="F261" s="926" t="s">
        <v>1601</v>
      </c>
      <c r="G261" s="926" t="s">
        <v>1602</v>
      </c>
      <c r="H261" s="926" t="s">
        <v>1594</v>
      </c>
      <c r="I261" s="912" t="s">
        <v>1540</v>
      </c>
      <c r="J261" s="912" t="s">
        <v>1541</v>
      </c>
      <c r="K261" s="935" t="s">
        <v>1542</v>
      </c>
      <c r="L261" s="934">
        <v>12</v>
      </c>
      <c r="M261" s="934">
        <f t="shared" si="12"/>
        <v>24000</v>
      </c>
      <c r="N261" s="934"/>
      <c r="O261" s="934">
        <v>12</v>
      </c>
      <c r="P261" s="934">
        <f t="shared" si="13"/>
        <v>24000</v>
      </c>
    </row>
    <row r="262" spans="1:16" x14ac:dyDescent="0.2">
      <c r="A262" s="912" t="s">
        <v>1536</v>
      </c>
      <c r="B262" s="912" t="s">
        <v>935</v>
      </c>
      <c r="C262" s="912" t="s">
        <v>80</v>
      </c>
      <c r="D262" s="912" t="s">
        <v>1537</v>
      </c>
      <c r="E262" s="934">
        <v>2239</v>
      </c>
      <c r="F262" s="926" t="s">
        <v>1603</v>
      </c>
      <c r="G262" s="926" t="s">
        <v>1604</v>
      </c>
      <c r="H262" s="926" t="s">
        <v>1594</v>
      </c>
      <c r="I262" s="912" t="s">
        <v>1540</v>
      </c>
      <c r="J262" s="912" t="s">
        <v>1541</v>
      </c>
      <c r="K262" s="935" t="s">
        <v>1542</v>
      </c>
      <c r="L262" s="934">
        <v>12</v>
      </c>
      <c r="M262" s="934">
        <f t="shared" si="12"/>
        <v>26868</v>
      </c>
      <c r="N262" s="934"/>
      <c r="O262" s="934">
        <v>12</v>
      </c>
      <c r="P262" s="934">
        <f t="shared" si="13"/>
        <v>26868</v>
      </c>
    </row>
    <row r="263" spans="1:16" x14ac:dyDescent="0.2">
      <c r="A263" s="912" t="s">
        <v>1536</v>
      </c>
      <c r="B263" s="912" t="s">
        <v>935</v>
      </c>
      <c r="C263" s="912" t="s">
        <v>80</v>
      </c>
      <c r="D263" s="912" t="s">
        <v>1537</v>
      </c>
      <c r="E263" s="934">
        <v>2000</v>
      </c>
      <c r="F263" s="926" t="s">
        <v>1605</v>
      </c>
      <c r="G263" s="926" t="s">
        <v>1606</v>
      </c>
      <c r="H263" s="926" t="s">
        <v>1594</v>
      </c>
      <c r="I263" s="912" t="s">
        <v>1540</v>
      </c>
      <c r="J263" s="912" t="s">
        <v>1541</v>
      </c>
      <c r="K263" s="935" t="s">
        <v>1542</v>
      </c>
      <c r="L263" s="934">
        <v>12</v>
      </c>
      <c r="M263" s="934">
        <f t="shared" si="12"/>
        <v>24000</v>
      </c>
      <c r="N263" s="934"/>
      <c r="O263" s="934">
        <v>12</v>
      </c>
      <c r="P263" s="934">
        <f t="shared" si="13"/>
        <v>24000</v>
      </c>
    </row>
    <row r="264" spans="1:16" x14ac:dyDescent="0.2">
      <c r="A264" s="912" t="s">
        <v>1536</v>
      </c>
      <c r="B264" s="912" t="s">
        <v>935</v>
      </c>
      <c r="C264" s="912" t="s">
        <v>80</v>
      </c>
      <c r="D264" s="912" t="s">
        <v>1537</v>
      </c>
      <c r="E264" s="934">
        <v>1800</v>
      </c>
      <c r="F264" s="926" t="s">
        <v>1607</v>
      </c>
      <c r="G264" s="926" t="s">
        <v>1608</v>
      </c>
      <c r="H264" s="926" t="s">
        <v>1594</v>
      </c>
      <c r="I264" s="912" t="s">
        <v>1540</v>
      </c>
      <c r="J264" s="912" t="s">
        <v>1541</v>
      </c>
      <c r="K264" s="935" t="s">
        <v>1542</v>
      </c>
      <c r="L264" s="934">
        <v>12</v>
      </c>
      <c r="M264" s="934">
        <f t="shared" si="12"/>
        <v>21600</v>
      </c>
      <c r="N264" s="934"/>
      <c r="O264" s="934">
        <v>12</v>
      </c>
      <c r="P264" s="934">
        <f t="shared" si="13"/>
        <v>21600</v>
      </c>
    </row>
    <row r="265" spans="1:16" x14ac:dyDescent="0.2">
      <c r="A265" s="912" t="s">
        <v>1536</v>
      </c>
      <c r="B265" s="912" t="s">
        <v>935</v>
      </c>
      <c r="C265" s="912" t="s">
        <v>80</v>
      </c>
      <c r="D265" s="912" t="s">
        <v>1537</v>
      </c>
      <c r="E265" s="934">
        <v>2000</v>
      </c>
      <c r="F265" s="926" t="s">
        <v>1609</v>
      </c>
      <c r="G265" s="926" t="s">
        <v>1610</v>
      </c>
      <c r="H265" s="926" t="s">
        <v>1594</v>
      </c>
      <c r="I265" s="912" t="s">
        <v>1540</v>
      </c>
      <c r="J265" s="912" t="s">
        <v>1541</v>
      </c>
      <c r="K265" s="935" t="s">
        <v>1542</v>
      </c>
      <c r="L265" s="934">
        <v>12</v>
      </c>
      <c r="M265" s="934">
        <f t="shared" si="12"/>
        <v>24000</v>
      </c>
      <c r="N265" s="934"/>
      <c r="O265" s="934">
        <v>12</v>
      </c>
      <c r="P265" s="934">
        <f t="shared" si="13"/>
        <v>24000</v>
      </c>
    </row>
    <row r="266" spans="1:16" x14ac:dyDescent="0.2">
      <c r="A266" s="912" t="s">
        <v>1536</v>
      </c>
      <c r="B266" s="912" t="s">
        <v>935</v>
      </c>
      <c r="C266" s="912" t="s">
        <v>80</v>
      </c>
      <c r="D266" s="912" t="s">
        <v>1537</v>
      </c>
      <c r="E266" s="934">
        <v>2239</v>
      </c>
      <c r="F266" s="926" t="s">
        <v>1611</v>
      </c>
      <c r="G266" s="926" t="s">
        <v>1612</v>
      </c>
      <c r="H266" s="926" t="s">
        <v>1594</v>
      </c>
      <c r="I266" s="912" t="s">
        <v>1540</v>
      </c>
      <c r="J266" s="912" t="s">
        <v>1541</v>
      </c>
      <c r="K266" s="935" t="s">
        <v>1542</v>
      </c>
      <c r="L266" s="934">
        <v>12</v>
      </c>
      <c r="M266" s="934">
        <f t="shared" si="12"/>
        <v>26868</v>
      </c>
      <c r="N266" s="934"/>
      <c r="O266" s="934">
        <v>12</v>
      </c>
      <c r="P266" s="934">
        <f t="shared" si="13"/>
        <v>26868</v>
      </c>
    </row>
    <row r="267" spans="1:16" x14ac:dyDescent="0.2">
      <c r="A267" s="912" t="s">
        <v>1536</v>
      </c>
      <c r="B267" s="912" t="s">
        <v>935</v>
      </c>
      <c r="C267" s="912" t="s">
        <v>80</v>
      </c>
      <c r="D267" s="912" t="s">
        <v>1537</v>
      </c>
      <c r="E267" s="934">
        <v>2239</v>
      </c>
      <c r="F267" s="926" t="s">
        <v>1613</v>
      </c>
      <c r="G267" s="926" t="s">
        <v>1614</v>
      </c>
      <c r="H267" s="926" t="s">
        <v>1594</v>
      </c>
      <c r="I267" s="912" t="s">
        <v>1540</v>
      </c>
      <c r="J267" s="912" t="s">
        <v>1541</v>
      </c>
      <c r="K267" s="935" t="s">
        <v>1542</v>
      </c>
      <c r="L267" s="934">
        <v>12</v>
      </c>
      <c r="M267" s="934">
        <f t="shared" si="12"/>
        <v>26868</v>
      </c>
      <c r="N267" s="934"/>
      <c r="O267" s="934">
        <v>12</v>
      </c>
      <c r="P267" s="934">
        <f t="shared" si="13"/>
        <v>26868</v>
      </c>
    </row>
    <row r="268" spans="1:16" x14ac:dyDescent="0.2">
      <c r="A268" s="912" t="s">
        <v>1536</v>
      </c>
      <c r="B268" s="912" t="s">
        <v>935</v>
      </c>
      <c r="C268" s="912" t="s">
        <v>80</v>
      </c>
      <c r="D268" s="912" t="s">
        <v>1537</v>
      </c>
      <c r="E268" s="934">
        <v>2239</v>
      </c>
      <c r="F268" s="926" t="s">
        <v>1615</v>
      </c>
      <c r="G268" s="926" t="s">
        <v>1616</v>
      </c>
      <c r="H268" s="926" t="s">
        <v>1594</v>
      </c>
      <c r="I268" s="912" t="s">
        <v>1540</v>
      </c>
      <c r="J268" s="912" t="s">
        <v>1541</v>
      </c>
      <c r="K268" s="935" t="s">
        <v>1542</v>
      </c>
      <c r="L268" s="934">
        <v>12</v>
      </c>
      <c r="M268" s="934">
        <f t="shared" si="12"/>
        <v>26868</v>
      </c>
      <c r="N268" s="934"/>
      <c r="O268" s="934">
        <v>12</v>
      </c>
      <c r="P268" s="934">
        <f t="shared" si="13"/>
        <v>26868</v>
      </c>
    </row>
    <row r="269" spans="1:16" x14ac:dyDescent="0.2">
      <c r="A269" s="912" t="s">
        <v>1536</v>
      </c>
      <c r="B269" s="912" t="s">
        <v>935</v>
      </c>
      <c r="C269" s="912" t="s">
        <v>80</v>
      </c>
      <c r="D269" s="912" t="s">
        <v>1537</v>
      </c>
      <c r="E269" s="934">
        <v>2239</v>
      </c>
      <c r="F269" s="926" t="s">
        <v>1617</v>
      </c>
      <c r="G269" s="926" t="s">
        <v>1618</v>
      </c>
      <c r="H269" s="926" t="s">
        <v>1594</v>
      </c>
      <c r="I269" s="912" t="s">
        <v>1540</v>
      </c>
      <c r="J269" s="912" t="s">
        <v>1541</v>
      </c>
      <c r="K269" s="935" t="s">
        <v>1542</v>
      </c>
      <c r="L269" s="934">
        <v>12</v>
      </c>
      <c r="M269" s="934">
        <f t="shared" si="12"/>
        <v>26868</v>
      </c>
      <c r="N269" s="934"/>
      <c r="O269" s="934">
        <v>12</v>
      </c>
      <c r="P269" s="934">
        <f t="shared" si="13"/>
        <v>26868</v>
      </c>
    </row>
    <row r="270" spans="1:16" x14ac:dyDescent="0.2">
      <c r="A270" s="912" t="s">
        <v>1536</v>
      </c>
      <c r="B270" s="912" t="s">
        <v>935</v>
      </c>
      <c r="C270" s="912" t="s">
        <v>80</v>
      </c>
      <c r="D270" s="912" t="s">
        <v>1537</v>
      </c>
      <c r="E270" s="934">
        <v>3000</v>
      </c>
      <c r="F270" s="926" t="s">
        <v>1619</v>
      </c>
      <c r="G270" s="926" t="s">
        <v>1620</v>
      </c>
      <c r="H270" s="926" t="s">
        <v>1621</v>
      </c>
      <c r="I270" s="912" t="s">
        <v>1540</v>
      </c>
      <c r="J270" s="912" t="s">
        <v>1541</v>
      </c>
      <c r="K270" s="935" t="s">
        <v>1542</v>
      </c>
      <c r="L270" s="934">
        <v>12</v>
      </c>
      <c r="M270" s="934">
        <f t="shared" si="12"/>
        <v>36000</v>
      </c>
      <c r="N270" s="934"/>
      <c r="O270" s="934">
        <v>12</v>
      </c>
      <c r="P270" s="934">
        <f t="shared" si="13"/>
        <v>36000</v>
      </c>
    </row>
    <row r="271" spans="1:16" x14ac:dyDescent="0.2">
      <c r="A271" s="912" t="s">
        <v>1536</v>
      </c>
      <c r="B271" s="912" t="s">
        <v>935</v>
      </c>
      <c r="C271" s="912" t="s">
        <v>80</v>
      </c>
      <c r="D271" s="912" t="s">
        <v>1537</v>
      </c>
      <c r="E271" s="934">
        <v>2000</v>
      </c>
      <c r="F271" s="926" t="s">
        <v>1622</v>
      </c>
      <c r="G271" s="926" t="s">
        <v>1623</v>
      </c>
      <c r="H271" s="926" t="s">
        <v>740</v>
      </c>
      <c r="I271" s="912" t="s">
        <v>1540</v>
      </c>
      <c r="J271" s="912" t="s">
        <v>1541</v>
      </c>
      <c r="K271" s="935" t="s">
        <v>1542</v>
      </c>
      <c r="L271" s="934">
        <v>12</v>
      </c>
      <c r="M271" s="934">
        <f t="shared" si="12"/>
        <v>24000</v>
      </c>
      <c r="N271" s="934"/>
      <c r="O271" s="934">
        <v>12</v>
      </c>
      <c r="P271" s="934">
        <f t="shared" si="13"/>
        <v>24000</v>
      </c>
    </row>
    <row r="272" spans="1:16" x14ac:dyDescent="0.2">
      <c r="A272" s="912" t="s">
        <v>1536</v>
      </c>
      <c r="B272" s="912" t="s">
        <v>935</v>
      </c>
      <c r="C272" s="912" t="s">
        <v>80</v>
      </c>
      <c r="D272" s="912" t="s">
        <v>1537</v>
      </c>
      <c r="E272" s="934">
        <v>2239</v>
      </c>
      <c r="F272" s="926" t="s">
        <v>1624</v>
      </c>
      <c r="G272" s="926" t="s">
        <v>1625</v>
      </c>
      <c r="H272" s="926" t="s">
        <v>1626</v>
      </c>
      <c r="I272" s="912" t="s">
        <v>1540</v>
      </c>
      <c r="J272" s="912" t="s">
        <v>1541</v>
      </c>
      <c r="K272" s="935" t="s">
        <v>1542</v>
      </c>
      <c r="L272" s="934">
        <v>12</v>
      </c>
      <c r="M272" s="934">
        <f t="shared" si="12"/>
        <v>26868</v>
      </c>
      <c r="N272" s="934"/>
      <c r="O272" s="934">
        <v>12</v>
      </c>
      <c r="P272" s="934">
        <f t="shared" si="13"/>
        <v>26868</v>
      </c>
    </row>
    <row r="273" spans="1:16" x14ac:dyDescent="0.2">
      <c r="A273" s="912" t="s">
        <v>1536</v>
      </c>
      <c r="B273" s="912" t="s">
        <v>935</v>
      </c>
      <c r="C273" s="912" t="s">
        <v>80</v>
      </c>
      <c r="D273" s="912" t="s">
        <v>1537</v>
      </c>
      <c r="E273" s="934">
        <v>2239</v>
      </c>
      <c r="F273" s="926" t="s">
        <v>1627</v>
      </c>
      <c r="G273" s="926" t="s">
        <v>1628</v>
      </c>
      <c r="H273" s="926" t="s">
        <v>1626</v>
      </c>
      <c r="I273" s="912" t="s">
        <v>1540</v>
      </c>
      <c r="J273" s="912" t="s">
        <v>1541</v>
      </c>
      <c r="K273" s="935" t="s">
        <v>1542</v>
      </c>
      <c r="L273" s="934">
        <v>12</v>
      </c>
      <c r="M273" s="934">
        <f t="shared" si="12"/>
        <v>26868</v>
      </c>
      <c r="N273" s="934"/>
      <c r="O273" s="934">
        <v>12</v>
      </c>
      <c r="P273" s="934">
        <f t="shared" si="13"/>
        <v>26868</v>
      </c>
    </row>
    <row r="274" spans="1:16" x14ac:dyDescent="0.2">
      <c r="A274" s="912" t="s">
        <v>1536</v>
      </c>
      <c r="B274" s="912" t="s">
        <v>935</v>
      </c>
      <c r="C274" s="912" t="s">
        <v>80</v>
      </c>
      <c r="D274" s="912" t="s">
        <v>1537</v>
      </c>
      <c r="E274" s="934">
        <v>2239</v>
      </c>
      <c r="F274" s="926" t="s">
        <v>1629</v>
      </c>
      <c r="G274" s="926" t="s">
        <v>1630</v>
      </c>
      <c r="H274" s="926" t="s">
        <v>1631</v>
      </c>
      <c r="I274" s="912" t="s">
        <v>1540</v>
      </c>
      <c r="J274" s="912" t="s">
        <v>1541</v>
      </c>
      <c r="K274" s="935" t="s">
        <v>1542</v>
      </c>
      <c r="L274" s="934">
        <v>12</v>
      </c>
      <c r="M274" s="934">
        <f t="shared" si="12"/>
        <v>26868</v>
      </c>
      <c r="N274" s="934"/>
      <c r="O274" s="934">
        <v>12</v>
      </c>
      <c r="P274" s="934">
        <f t="shared" si="13"/>
        <v>26868</v>
      </c>
    </row>
    <row r="275" spans="1:16" x14ac:dyDescent="0.2">
      <c r="A275" s="912" t="s">
        <v>1536</v>
      </c>
      <c r="B275" s="912" t="s">
        <v>935</v>
      </c>
      <c r="C275" s="912" t="s">
        <v>80</v>
      </c>
      <c r="D275" s="912" t="s">
        <v>1537</v>
      </c>
      <c r="E275" s="934">
        <v>2239</v>
      </c>
      <c r="F275" s="926" t="s">
        <v>1632</v>
      </c>
      <c r="G275" s="926" t="s">
        <v>1633</v>
      </c>
      <c r="H275" s="926" t="s">
        <v>1634</v>
      </c>
      <c r="I275" s="912" t="s">
        <v>1540</v>
      </c>
      <c r="J275" s="912" t="s">
        <v>1541</v>
      </c>
      <c r="K275" s="935" t="s">
        <v>1542</v>
      </c>
      <c r="L275" s="934">
        <v>12</v>
      </c>
      <c r="M275" s="934">
        <f t="shared" si="12"/>
        <v>26868</v>
      </c>
      <c r="N275" s="934"/>
      <c r="O275" s="934">
        <v>12</v>
      </c>
      <c r="P275" s="934">
        <f t="shared" si="13"/>
        <v>26868</v>
      </c>
    </row>
    <row r="276" spans="1:16" x14ac:dyDescent="0.2">
      <c r="A276" s="912" t="s">
        <v>1536</v>
      </c>
      <c r="B276" s="912" t="s">
        <v>935</v>
      </c>
      <c r="C276" s="912" t="s">
        <v>80</v>
      </c>
      <c r="D276" s="912" t="s">
        <v>1537</v>
      </c>
      <c r="E276" s="934">
        <v>3000</v>
      </c>
      <c r="F276" s="926" t="s">
        <v>1635</v>
      </c>
      <c r="G276" s="926" t="s">
        <v>1636</v>
      </c>
      <c r="H276" s="926" t="s">
        <v>1634</v>
      </c>
      <c r="I276" s="912" t="s">
        <v>1540</v>
      </c>
      <c r="J276" s="912" t="s">
        <v>1541</v>
      </c>
      <c r="K276" s="935" t="s">
        <v>1542</v>
      </c>
      <c r="L276" s="934">
        <v>12</v>
      </c>
      <c r="M276" s="934">
        <f t="shared" si="12"/>
        <v>36000</v>
      </c>
      <c r="N276" s="934"/>
      <c r="O276" s="934">
        <v>12</v>
      </c>
      <c r="P276" s="934">
        <f t="shared" si="13"/>
        <v>36000</v>
      </c>
    </row>
    <row r="277" spans="1:16" x14ac:dyDescent="0.2">
      <c r="A277" s="912" t="s">
        <v>1536</v>
      </c>
      <c r="B277" s="912" t="s">
        <v>935</v>
      </c>
      <c r="C277" s="912" t="s">
        <v>80</v>
      </c>
      <c r="D277" s="912" t="s">
        <v>1537</v>
      </c>
      <c r="E277" s="934">
        <v>2239</v>
      </c>
      <c r="F277" s="926" t="s">
        <v>1637</v>
      </c>
      <c r="G277" s="926" t="s">
        <v>1638</v>
      </c>
      <c r="H277" s="926" t="s">
        <v>1634</v>
      </c>
      <c r="I277" s="912" t="s">
        <v>1540</v>
      </c>
      <c r="J277" s="912" t="s">
        <v>1541</v>
      </c>
      <c r="K277" s="935" t="s">
        <v>1542</v>
      </c>
      <c r="L277" s="934">
        <v>12</v>
      </c>
      <c r="M277" s="934">
        <f t="shared" si="12"/>
        <v>26868</v>
      </c>
      <c r="N277" s="934"/>
      <c r="O277" s="934">
        <v>12</v>
      </c>
      <c r="P277" s="934">
        <f t="shared" si="13"/>
        <v>26868</v>
      </c>
    </row>
    <row r="278" spans="1:16" x14ac:dyDescent="0.2">
      <c r="A278" s="912" t="s">
        <v>1536</v>
      </c>
      <c r="B278" s="912" t="s">
        <v>935</v>
      </c>
      <c r="C278" s="912" t="s">
        <v>80</v>
      </c>
      <c r="D278" s="912" t="s">
        <v>1537</v>
      </c>
      <c r="E278" s="934">
        <v>2200</v>
      </c>
      <c r="F278" s="926" t="s">
        <v>1639</v>
      </c>
      <c r="G278" s="926" t="s">
        <v>1640</v>
      </c>
      <c r="H278" s="926" t="s">
        <v>1641</v>
      </c>
      <c r="I278" s="912" t="s">
        <v>1540</v>
      </c>
      <c r="J278" s="912" t="s">
        <v>1541</v>
      </c>
      <c r="K278" s="935" t="s">
        <v>1542</v>
      </c>
      <c r="L278" s="934">
        <v>12</v>
      </c>
      <c r="M278" s="934">
        <f t="shared" si="12"/>
        <v>26400</v>
      </c>
      <c r="N278" s="934"/>
      <c r="O278" s="934">
        <v>12</v>
      </c>
      <c r="P278" s="934">
        <f t="shared" si="13"/>
        <v>26400</v>
      </c>
    </row>
    <row r="279" spans="1:16" x14ac:dyDescent="0.2">
      <c r="A279" s="912" t="s">
        <v>1536</v>
      </c>
      <c r="B279" s="912" t="s">
        <v>935</v>
      </c>
      <c r="C279" s="912" t="s">
        <v>80</v>
      </c>
      <c r="D279" s="912" t="s">
        <v>1537</v>
      </c>
      <c r="E279" s="934">
        <v>2200</v>
      </c>
      <c r="F279" s="926" t="s">
        <v>1642</v>
      </c>
      <c r="G279" s="926" t="s">
        <v>1643</v>
      </c>
      <c r="H279" s="926" t="s">
        <v>1641</v>
      </c>
      <c r="I279" s="912" t="s">
        <v>1540</v>
      </c>
      <c r="J279" s="912" t="s">
        <v>1541</v>
      </c>
      <c r="K279" s="935" t="s">
        <v>1542</v>
      </c>
      <c r="L279" s="934">
        <v>12</v>
      </c>
      <c r="M279" s="934">
        <f t="shared" si="12"/>
        <v>26400</v>
      </c>
      <c r="N279" s="934"/>
      <c r="O279" s="934">
        <v>12</v>
      </c>
      <c r="P279" s="934">
        <f t="shared" si="13"/>
        <v>26400</v>
      </c>
    </row>
    <row r="280" spans="1:16" x14ac:dyDescent="0.2">
      <c r="A280" s="912" t="s">
        <v>1536</v>
      </c>
      <c r="B280" s="912" t="s">
        <v>935</v>
      </c>
      <c r="C280" s="912" t="s">
        <v>80</v>
      </c>
      <c r="D280" s="912" t="s">
        <v>1537</v>
      </c>
      <c r="E280" s="934">
        <v>2239</v>
      </c>
      <c r="F280" s="926" t="s">
        <v>1644</v>
      </c>
      <c r="G280" s="926" t="s">
        <v>1645</v>
      </c>
      <c r="H280" s="926" t="s">
        <v>1646</v>
      </c>
      <c r="I280" s="912" t="s">
        <v>1540</v>
      </c>
      <c r="J280" s="912" t="s">
        <v>1541</v>
      </c>
      <c r="K280" s="935" t="s">
        <v>1542</v>
      </c>
      <c r="L280" s="934">
        <v>12</v>
      </c>
      <c r="M280" s="934">
        <f t="shared" si="12"/>
        <v>26868</v>
      </c>
      <c r="N280" s="934"/>
      <c r="O280" s="934">
        <v>12</v>
      </c>
      <c r="P280" s="934">
        <f t="shared" si="13"/>
        <v>26868</v>
      </c>
    </row>
    <row r="281" spans="1:16" x14ac:dyDescent="0.2">
      <c r="A281" s="912" t="s">
        <v>1536</v>
      </c>
      <c r="B281" s="912" t="s">
        <v>935</v>
      </c>
      <c r="C281" s="912" t="s">
        <v>80</v>
      </c>
      <c r="D281" s="912" t="s">
        <v>1537</v>
      </c>
      <c r="E281" s="934">
        <v>1724</v>
      </c>
      <c r="F281" s="926" t="s">
        <v>1647</v>
      </c>
      <c r="G281" s="926" t="s">
        <v>1648</v>
      </c>
      <c r="H281" s="926" t="s">
        <v>1649</v>
      </c>
      <c r="I281" s="912" t="s">
        <v>1412</v>
      </c>
      <c r="J281" s="912" t="s">
        <v>1650</v>
      </c>
      <c r="K281" s="935" t="s">
        <v>1542</v>
      </c>
      <c r="L281" s="934">
        <v>12</v>
      </c>
      <c r="M281" s="934">
        <f t="shared" si="12"/>
        <v>20688</v>
      </c>
      <c r="N281" s="934"/>
      <c r="O281" s="934">
        <v>12</v>
      </c>
      <c r="P281" s="934">
        <f t="shared" si="13"/>
        <v>20688</v>
      </c>
    </row>
    <row r="282" spans="1:16" x14ac:dyDescent="0.2">
      <c r="A282" s="912" t="s">
        <v>1536</v>
      </c>
      <c r="B282" s="912" t="s">
        <v>935</v>
      </c>
      <c r="C282" s="912" t="s">
        <v>80</v>
      </c>
      <c r="D282" s="912" t="s">
        <v>1537</v>
      </c>
      <c r="E282" s="934">
        <v>1724</v>
      </c>
      <c r="F282" s="926" t="s">
        <v>1651</v>
      </c>
      <c r="G282" s="926" t="s">
        <v>1652</v>
      </c>
      <c r="H282" s="926" t="s">
        <v>1649</v>
      </c>
      <c r="I282" s="912" t="s">
        <v>1412</v>
      </c>
      <c r="J282" s="912" t="s">
        <v>1650</v>
      </c>
      <c r="K282" s="935" t="s">
        <v>1542</v>
      </c>
      <c r="L282" s="934">
        <v>12</v>
      </c>
      <c r="M282" s="934">
        <f t="shared" si="12"/>
        <v>20688</v>
      </c>
      <c r="N282" s="934"/>
      <c r="O282" s="934">
        <v>12</v>
      </c>
      <c r="P282" s="934">
        <f t="shared" si="13"/>
        <v>20688</v>
      </c>
    </row>
    <row r="283" spans="1:16" x14ac:dyDescent="0.2">
      <c r="A283" s="912" t="s">
        <v>1536</v>
      </c>
      <c r="B283" s="912" t="s">
        <v>935</v>
      </c>
      <c r="C283" s="912" t="s">
        <v>80</v>
      </c>
      <c r="D283" s="912" t="s">
        <v>1537</v>
      </c>
      <c r="E283" s="934">
        <v>1200</v>
      </c>
      <c r="F283" s="926" t="s">
        <v>1653</v>
      </c>
      <c r="G283" s="926" t="s">
        <v>1654</v>
      </c>
      <c r="H283" s="926" t="s">
        <v>1028</v>
      </c>
      <c r="I283" s="912" t="s">
        <v>1412</v>
      </c>
      <c r="J283" s="912" t="s">
        <v>1650</v>
      </c>
      <c r="K283" s="935" t="s">
        <v>1542</v>
      </c>
      <c r="L283" s="934">
        <v>12</v>
      </c>
      <c r="M283" s="934">
        <f t="shared" si="12"/>
        <v>14400</v>
      </c>
      <c r="N283" s="934"/>
      <c r="O283" s="934">
        <v>12</v>
      </c>
      <c r="P283" s="934">
        <f t="shared" si="13"/>
        <v>14400</v>
      </c>
    </row>
    <row r="284" spans="1:16" x14ac:dyDescent="0.2">
      <c r="A284" s="912" t="s">
        <v>1536</v>
      </c>
      <c r="B284" s="912" t="s">
        <v>935</v>
      </c>
      <c r="C284" s="912" t="s">
        <v>80</v>
      </c>
      <c r="D284" s="912" t="s">
        <v>1537</v>
      </c>
      <c r="E284" s="934">
        <v>1724</v>
      </c>
      <c r="F284" s="926" t="s">
        <v>1655</v>
      </c>
      <c r="G284" s="926" t="s">
        <v>1656</v>
      </c>
      <c r="H284" s="926" t="s">
        <v>1028</v>
      </c>
      <c r="I284" s="912" t="s">
        <v>1412</v>
      </c>
      <c r="J284" s="912" t="s">
        <v>1650</v>
      </c>
      <c r="K284" s="935" t="s">
        <v>1542</v>
      </c>
      <c r="L284" s="934">
        <v>12</v>
      </c>
      <c r="M284" s="934">
        <f t="shared" si="12"/>
        <v>20688</v>
      </c>
      <c r="N284" s="934"/>
      <c r="O284" s="934">
        <v>12</v>
      </c>
      <c r="P284" s="934">
        <f t="shared" si="13"/>
        <v>20688</v>
      </c>
    </row>
    <row r="285" spans="1:16" x14ac:dyDescent="0.2">
      <c r="A285" s="912" t="s">
        <v>1536</v>
      </c>
      <c r="B285" s="912" t="s">
        <v>935</v>
      </c>
      <c r="C285" s="912" t="s">
        <v>80</v>
      </c>
      <c r="D285" s="912" t="s">
        <v>1537</v>
      </c>
      <c r="E285" s="934">
        <v>1200</v>
      </c>
      <c r="F285" s="926" t="s">
        <v>1657</v>
      </c>
      <c r="G285" s="926" t="s">
        <v>1658</v>
      </c>
      <c r="H285" s="926" t="s">
        <v>1028</v>
      </c>
      <c r="I285" s="912" t="s">
        <v>1412</v>
      </c>
      <c r="J285" s="912" t="s">
        <v>1650</v>
      </c>
      <c r="K285" s="935" t="s">
        <v>1542</v>
      </c>
      <c r="L285" s="934">
        <v>12</v>
      </c>
      <c r="M285" s="934">
        <f t="shared" si="12"/>
        <v>14400</v>
      </c>
      <c r="N285" s="934"/>
      <c r="O285" s="934">
        <v>12</v>
      </c>
      <c r="P285" s="934">
        <f t="shared" si="13"/>
        <v>14400</v>
      </c>
    </row>
    <row r="286" spans="1:16" x14ac:dyDescent="0.2">
      <c r="A286" s="912" t="s">
        <v>1536</v>
      </c>
      <c r="B286" s="912" t="s">
        <v>935</v>
      </c>
      <c r="C286" s="912" t="s">
        <v>80</v>
      </c>
      <c r="D286" s="912" t="s">
        <v>1537</v>
      </c>
      <c r="E286" s="934">
        <v>1200</v>
      </c>
      <c r="F286" s="926" t="s">
        <v>1659</v>
      </c>
      <c r="G286" s="926" t="s">
        <v>1660</v>
      </c>
      <c r="H286" s="926" t="s">
        <v>1028</v>
      </c>
      <c r="I286" s="912" t="s">
        <v>1412</v>
      </c>
      <c r="J286" s="912" t="s">
        <v>1650</v>
      </c>
      <c r="K286" s="935" t="s">
        <v>1542</v>
      </c>
      <c r="L286" s="934">
        <v>12</v>
      </c>
      <c r="M286" s="934">
        <f t="shared" si="12"/>
        <v>14400</v>
      </c>
      <c r="N286" s="934"/>
      <c r="O286" s="934">
        <v>12</v>
      </c>
      <c r="P286" s="934">
        <f t="shared" si="13"/>
        <v>14400</v>
      </c>
    </row>
    <row r="287" spans="1:16" x14ac:dyDescent="0.2">
      <c r="A287" s="912" t="s">
        <v>1536</v>
      </c>
      <c r="B287" s="912" t="s">
        <v>935</v>
      </c>
      <c r="C287" s="912" t="s">
        <v>80</v>
      </c>
      <c r="D287" s="912" t="s">
        <v>1537</v>
      </c>
      <c r="E287" s="934">
        <v>1724</v>
      </c>
      <c r="F287" s="926" t="s">
        <v>1661</v>
      </c>
      <c r="G287" s="926" t="s">
        <v>1662</v>
      </c>
      <c r="H287" s="926" t="s">
        <v>1663</v>
      </c>
      <c r="I287" s="912" t="s">
        <v>1412</v>
      </c>
      <c r="J287" s="912" t="s">
        <v>1650</v>
      </c>
      <c r="K287" s="935" t="s">
        <v>1542</v>
      </c>
      <c r="L287" s="934">
        <v>12</v>
      </c>
      <c r="M287" s="934">
        <f t="shared" si="12"/>
        <v>20688</v>
      </c>
      <c r="N287" s="934"/>
      <c r="O287" s="934">
        <v>12</v>
      </c>
      <c r="P287" s="934">
        <f t="shared" si="13"/>
        <v>20688</v>
      </c>
    </row>
    <row r="288" spans="1:16" x14ac:dyDescent="0.2">
      <c r="A288" s="912" t="s">
        <v>1536</v>
      </c>
      <c r="B288" s="912" t="s">
        <v>935</v>
      </c>
      <c r="C288" s="912" t="s">
        <v>80</v>
      </c>
      <c r="D288" s="912" t="s">
        <v>1537</v>
      </c>
      <c r="E288" s="934">
        <v>1200</v>
      </c>
      <c r="F288" s="926" t="s">
        <v>1664</v>
      </c>
      <c r="G288" s="926" t="s">
        <v>1665</v>
      </c>
      <c r="H288" s="926" t="s">
        <v>1666</v>
      </c>
      <c r="I288" s="912" t="s">
        <v>1412</v>
      </c>
      <c r="J288" s="912" t="s">
        <v>1650</v>
      </c>
      <c r="K288" s="935" t="s">
        <v>1542</v>
      </c>
      <c r="L288" s="934">
        <v>12</v>
      </c>
      <c r="M288" s="934">
        <f t="shared" si="12"/>
        <v>14400</v>
      </c>
      <c r="N288" s="934"/>
      <c r="O288" s="934">
        <v>12</v>
      </c>
      <c r="P288" s="934">
        <f t="shared" si="13"/>
        <v>14400</v>
      </c>
    </row>
    <row r="289" spans="1:16" x14ac:dyDescent="0.2">
      <c r="A289" s="912" t="s">
        <v>1536</v>
      </c>
      <c r="B289" s="912" t="s">
        <v>935</v>
      </c>
      <c r="C289" s="912" t="s">
        <v>80</v>
      </c>
      <c r="D289" s="912" t="s">
        <v>1537</v>
      </c>
      <c r="E289" s="934">
        <v>1200</v>
      </c>
      <c r="F289" s="926" t="s">
        <v>1667</v>
      </c>
      <c r="G289" s="926" t="s">
        <v>1668</v>
      </c>
      <c r="H289" s="926" t="s">
        <v>1666</v>
      </c>
      <c r="I289" s="912" t="s">
        <v>1412</v>
      </c>
      <c r="J289" s="912" t="s">
        <v>1650</v>
      </c>
      <c r="K289" s="935" t="s">
        <v>1542</v>
      </c>
      <c r="L289" s="934">
        <v>12</v>
      </c>
      <c r="M289" s="934">
        <f t="shared" si="12"/>
        <v>14400</v>
      </c>
      <c r="N289" s="934"/>
      <c r="O289" s="934">
        <v>12</v>
      </c>
      <c r="P289" s="934">
        <f t="shared" si="13"/>
        <v>14400</v>
      </c>
    </row>
    <row r="290" spans="1:16" x14ac:dyDescent="0.2">
      <c r="A290" s="912" t="s">
        <v>1536</v>
      </c>
      <c r="B290" s="912" t="s">
        <v>935</v>
      </c>
      <c r="C290" s="912" t="s">
        <v>80</v>
      </c>
      <c r="D290" s="912" t="s">
        <v>1537</v>
      </c>
      <c r="E290" s="934">
        <v>1200</v>
      </c>
      <c r="F290" s="926" t="s">
        <v>1669</v>
      </c>
      <c r="G290" s="926" t="s">
        <v>1670</v>
      </c>
      <c r="H290" s="926" t="s">
        <v>1666</v>
      </c>
      <c r="I290" s="912" t="s">
        <v>1412</v>
      </c>
      <c r="J290" s="912" t="s">
        <v>1650</v>
      </c>
      <c r="K290" s="935" t="s">
        <v>1542</v>
      </c>
      <c r="L290" s="934">
        <v>12</v>
      </c>
      <c r="M290" s="934">
        <f t="shared" si="12"/>
        <v>14400</v>
      </c>
      <c r="N290" s="934"/>
      <c r="O290" s="934">
        <v>12</v>
      </c>
      <c r="P290" s="934">
        <f t="shared" si="13"/>
        <v>14400</v>
      </c>
    </row>
    <row r="291" spans="1:16" x14ac:dyDescent="0.2">
      <c r="A291" s="912" t="s">
        <v>1536</v>
      </c>
      <c r="B291" s="912" t="s">
        <v>935</v>
      </c>
      <c r="C291" s="912" t="s">
        <v>80</v>
      </c>
      <c r="D291" s="912" t="s">
        <v>1537</v>
      </c>
      <c r="E291" s="934">
        <v>1200</v>
      </c>
      <c r="F291" s="926" t="s">
        <v>1671</v>
      </c>
      <c r="G291" s="926" t="s">
        <v>1672</v>
      </c>
      <c r="H291" s="926" t="s">
        <v>1666</v>
      </c>
      <c r="I291" s="912" t="s">
        <v>1412</v>
      </c>
      <c r="J291" s="912" t="s">
        <v>1650</v>
      </c>
      <c r="K291" s="935" t="s">
        <v>1542</v>
      </c>
      <c r="L291" s="934">
        <v>12</v>
      </c>
      <c r="M291" s="934">
        <f t="shared" si="12"/>
        <v>14400</v>
      </c>
      <c r="N291" s="934"/>
      <c r="O291" s="934">
        <v>12</v>
      </c>
      <c r="P291" s="934">
        <f t="shared" si="13"/>
        <v>14400</v>
      </c>
    </row>
    <row r="292" spans="1:16" x14ac:dyDescent="0.2">
      <c r="A292" s="912" t="s">
        <v>1536</v>
      </c>
      <c r="B292" s="912" t="s">
        <v>935</v>
      </c>
      <c r="C292" s="912" t="s">
        <v>80</v>
      </c>
      <c r="D292" s="912" t="s">
        <v>1537</v>
      </c>
      <c r="E292" s="934">
        <v>1100</v>
      </c>
      <c r="F292" s="926" t="s">
        <v>1673</v>
      </c>
      <c r="G292" s="926" t="s">
        <v>1674</v>
      </c>
      <c r="H292" s="926" t="s">
        <v>1675</v>
      </c>
      <c r="I292" s="912" t="s">
        <v>1412</v>
      </c>
      <c r="J292" s="912" t="s">
        <v>1650</v>
      </c>
      <c r="K292" s="935" t="s">
        <v>1542</v>
      </c>
      <c r="L292" s="934">
        <v>12</v>
      </c>
      <c r="M292" s="934">
        <f t="shared" si="12"/>
        <v>13200</v>
      </c>
      <c r="N292" s="934"/>
      <c r="O292" s="934">
        <v>12</v>
      </c>
      <c r="P292" s="934">
        <f t="shared" si="13"/>
        <v>13200</v>
      </c>
    </row>
    <row r="293" spans="1:16" x14ac:dyDescent="0.2">
      <c r="A293" s="912" t="s">
        <v>1536</v>
      </c>
      <c r="B293" s="912" t="s">
        <v>935</v>
      </c>
      <c r="C293" s="912" t="s">
        <v>80</v>
      </c>
      <c r="D293" s="912" t="s">
        <v>1537</v>
      </c>
      <c r="E293" s="934">
        <v>1724</v>
      </c>
      <c r="F293" s="926" t="s">
        <v>1676</v>
      </c>
      <c r="G293" s="926" t="s">
        <v>1677</v>
      </c>
      <c r="H293" s="926" t="s">
        <v>1678</v>
      </c>
      <c r="I293" s="912" t="s">
        <v>1412</v>
      </c>
      <c r="J293" s="912" t="s">
        <v>1650</v>
      </c>
      <c r="K293" s="935" t="s">
        <v>1542</v>
      </c>
      <c r="L293" s="934">
        <v>12</v>
      </c>
      <c r="M293" s="934">
        <f t="shared" si="12"/>
        <v>20688</v>
      </c>
      <c r="N293" s="934"/>
      <c r="O293" s="934">
        <v>12</v>
      </c>
      <c r="P293" s="934">
        <f t="shared" si="13"/>
        <v>20688</v>
      </c>
    </row>
    <row r="294" spans="1:16" x14ac:dyDescent="0.2">
      <c r="A294" s="912" t="s">
        <v>1536</v>
      </c>
      <c r="B294" s="912" t="s">
        <v>935</v>
      </c>
      <c r="C294" s="912" t="s">
        <v>80</v>
      </c>
      <c r="D294" s="912" t="s">
        <v>1679</v>
      </c>
      <c r="E294" s="934">
        <v>11000</v>
      </c>
      <c r="F294" s="936" t="s">
        <v>1680</v>
      </c>
      <c r="G294" s="926" t="s">
        <v>1681</v>
      </c>
      <c r="H294" s="926" t="s">
        <v>1682</v>
      </c>
      <c r="I294" s="912" t="s">
        <v>1540</v>
      </c>
      <c r="J294" s="912" t="s">
        <v>1683</v>
      </c>
      <c r="K294" s="935" t="s">
        <v>1542</v>
      </c>
      <c r="L294" s="934">
        <v>12</v>
      </c>
      <c r="M294" s="934">
        <f t="shared" si="12"/>
        <v>132000</v>
      </c>
      <c r="N294" s="934"/>
      <c r="O294" s="934">
        <v>12</v>
      </c>
      <c r="P294" s="934">
        <f t="shared" si="13"/>
        <v>132000</v>
      </c>
    </row>
    <row r="295" spans="1:16" x14ac:dyDescent="0.2">
      <c r="A295" s="912" t="s">
        <v>1536</v>
      </c>
      <c r="B295" s="912" t="s">
        <v>935</v>
      </c>
      <c r="C295" s="912" t="s">
        <v>80</v>
      </c>
      <c r="D295" s="912" t="s">
        <v>1679</v>
      </c>
      <c r="E295" s="934">
        <v>4000</v>
      </c>
      <c r="F295" s="926" t="s">
        <v>1684</v>
      </c>
      <c r="G295" s="926" t="s">
        <v>1685</v>
      </c>
      <c r="H295" s="926" t="s">
        <v>1686</v>
      </c>
      <c r="I295" s="912" t="s">
        <v>1540</v>
      </c>
      <c r="J295" s="912" t="s">
        <v>1313</v>
      </c>
      <c r="K295" s="935" t="s">
        <v>1542</v>
      </c>
      <c r="L295" s="934">
        <v>12</v>
      </c>
      <c r="M295" s="934">
        <f t="shared" si="12"/>
        <v>48000</v>
      </c>
      <c r="N295" s="934"/>
      <c r="O295" s="934">
        <v>12</v>
      </c>
      <c r="P295" s="934">
        <f t="shared" si="13"/>
        <v>48000</v>
      </c>
    </row>
    <row r="296" spans="1:16" x14ac:dyDescent="0.2">
      <c r="A296" s="912" t="s">
        <v>1536</v>
      </c>
      <c r="B296" s="912" t="s">
        <v>935</v>
      </c>
      <c r="C296" s="912" t="s">
        <v>80</v>
      </c>
      <c r="D296" s="912" t="s">
        <v>1679</v>
      </c>
      <c r="E296" s="934">
        <v>4000</v>
      </c>
      <c r="F296" s="926" t="s">
        <v>1687</v>
      </c>
      <c r="G296" s="926" t="s">
        <v>1688</v>
      </c>
      <c r="H296" s="926" t="s">
        <v>1686</v>
      </c>
      <c r="I296" s="912" t="s">
        <v>1540</v>
      </c>
      <c r="J296" s="912" t="s">
        <v>1313</v>
      </c>
      <c r="K296" s="935" t="s">
        <v>1542</v>
      </c>
      <c r="L296" s="934">
        <v>12</v>
      </c>
      <c r="M296" s="934">
        <f t="shared" si="12"/>
        <v>48000</v>
      </c>
      <c r="N296" s="934"/>
      <c r="O296" s="934">
        <v>12</v>
      </c>
      <c r="P296" s="934">
        <f t="shared" si="13"/>
        <v>48000</v>
      </c>
    </row>
    <row r="297" spans="1:16" x14ac:dyDescent="0.2">
      <c r="A297" s="912" t="s">
        <v>1536</v>
      </c>
      <c r="B297" s="912" t="s">
        <v>935</v>
      </c>
      <c r="C297" s="912" t="s">
        <v>80</v>
      </c>
      <c r="D297" s="912" t="s">
        <v>1679</v>
      </c>
      <c r="E297" s="934">
        <v>3000</v>
      </c>
      <c r="F297" s="926" t="s">
        <v>1689</v>
      </c>
      <c r="G297" s="926" t="s">
        <v>1690</v>
      </c>
      <c r="H297" s="926" t="s">
        <v>958</v>
      </c>
      <c r="I297" s="912" t="s">
        <v>1540</v>
      </c>
      <c r="J297" s="912" t="s">
        <v>1313</v>
      </c>
      <c r="K297" s="935" t="s">
        <v>1542</v>
      </c>
      <c r="L297" s="934">
        <v>12</v>
      </c>
      <c r="M297" s="934">
        <f t="shared" si="12"/>
        <v>36000</v>
      </c>
      <c r="N297" s="934"/>
      <c r="O297" s="934">
        <v>12</v>
      </c>
      <c r="P297" s="934">
        <f t="shared" si="13"/>
        <v>36000</v>
      </c>
    </row>
    <row r="298" spans="1:16" x14ac:dyDescent="0.2">
      <c r="A298" s="912" t="s">
        <v>1536</v>
      </c>
      <c r="B298" s="912" t="s">
        <v>935</v>
      </c>
      <c r="C298" s="912" t="s">
        <v>80</v>
      </c>
      <c r="D298" s="912" t="s">
        <v>1679</v>
      </c>
      <c r="E298" s="934">
        <v>1800</v>
      </c>
      <c r="F298" s="926" t="s">
        <v>1691</v>
      </c>
      <c r="G298" s="926" t="s">
        <v>1692</v>
      </c>
      <c r="H298" s="926" t="s">
        <v>958</v>
      </c>
      <c r="I298" s="912" t="s">
        <v>1412</v>
      </c>
      <c r="J298" s="912" t="s">
        <v>982</v>
      </c>
      <c r="K298" s="935" t="s">
        <v>1542</v>
      </c>
      <c r="L298" s="934">
        <v>12</v>
      </c>
      <c r="M298" s="934">
        <f t="shared" si="12"/>
        <v>21600</v>
      </c>
      <c r="N298" s="934"/>
      <c r="O298" s="934">
        <v>12</v>
      </c>
      <c r="P298" s="934">
        <f t="shared" si="13"/>
        <v>21600</v>
      </c>
    </row>
    <row r="299" spans="1:16" x14ac:dyDescent="0.2">
      <c r="A299" s="912" t="s">
        <v>1536</v>
      </c>
      <c r="B299" s="912" t="s">
        <v>935</v>
      </c>
      <c r="C299" s="912" t="s">
        <v>80</v>
      </c>
      <c r="D299" s="912" t="s">
        <v>1679</v>
      </c>
      <c r="E299" s="934">
        <v>1800</v>
      </c>
      <c r="F299" s="926" t="s">
        <v>1693</v>
      </c>
      <c r="G299" s="926" t="s">
        <v>1694</v>
      </c>
      <c r="H299" s="926" t="s">
        <v>958</v>
      </c>
      <c r="I299" s="912" t="s">
        <v>1540</v>
      </c>
      <c r="J299" s="912" t="s">
        <v>1313</v>
      </c>
      <c r="K299" s="935" t="s">
        <v>1542</v>
      </c>
      <c r="L299" s="934">
        <v>12</v>
      </c>
      <c r="M299" s="934">
        <f t="shared" si="12"/>
        <v>21600</v>
      </c>
      <c r="N299" s="934"/>
      <c r="O299" s="934">
        <v>12</v>
      </c>
      <c r="P299" s="934">
        <f t="shared" si="13"/>
        <v>21600</v>
      </c>
    </row>
    <row r="300" spans="1:16" x14ac:dyDescent="0.2">
      <c r="A300" s="912" t="s">
        <v>1536</v>
      </c>
      <c r="B300" s="912" t="s">
        <v>935</v>
      </c>
      <c r="C300" s="912" t="s">
        <v>80</v>
      </c>
      <c r="D300" s="912" t="s">
        <v>1679</v>
      </c>
      <c r="E300" s="934">
        <v>1800</v>
      </c>
      <c r="F300" s="926" t="s">
        <v>1695</v>
      </c>
      <c r="G300" s="926" t="s">
        <v>1696</v>
      </c>
      <c r="H300" s="926" t="s">
        <v>1697</v>
      </c>
      <c r="I300" s="912" t="s">
        <v>1540</v>
      </c>
      <c r="J300" s="912" t="s">
        <v>1313</v>
      </c>
      <c r="K300" s="935" t="s">
        <v>1542</v>
      </c>
      <c r="L300" s="934">
        <v>12</v>
      </c>
      <c r="M300" s="934">
        <f t="shared" ref="M300:M378" si="14">+E300*12</f>
        <v>21600</v>
      </c>
      <c r="N300" s="934"/>
      <c r="O300" s="934">
        <v>12</v>
      </c>
      <c r="P300" s="934">
        <f t="shared" ref="P300:P378" si="15">+M300</f>
        <v>21600</v>
      </c>
    </row>
    <row r="301" spans="1:16" x14ac:dyDescent="0.2">
      <c r="A301" s="912" t="s">
        <v>1536</v>
      </c>
      <c r="B301" s="912" t="s">
        <v>935</v>
      </c>
      <c r="C301" s="912" t="s">
        <v>80</v>
      </c>
      <c r="D301" s="912" t="s">
        <v>1679</v>
      </c>
      <c r="E301" s="934">
        <v>1800</v>
      </c>
      <c r="F301" s="926" t="s">
        <v>1698</v>
      </c>
      <c r="G301" s="926" t="s">
        <v>1699</v>
      </c>
      <c r="H301" s="926" t="s">
        <v>1697</v>
      </c>
      <c r="I301" s="912" t="s">
        <v>1540</v>
      </c>
      <c r="J301" s="912" t="s">
        <v>1313</v>
      </c>
      <c r="K301" s="935" t="s">
        <v>1542</v>
      </c>
      <c r="L301" s="934">
        <v>12</v>
      </c>
      <c r="M301" s="934">
        <f t="shared" si="14"/>
        <v>21600</v>
      </c>
      <c r="N301" s="934"/>
      <c r="O301" s="934">
        <v>12</v>
      </c>
      <c r="P301" s="934">
        <f t="shared" si="15"/>
        <v>21600</v>
      </c>
    </row>
    <row r="302" spans="1:16" x14ac:dyDescent="0.2">
      <c r="A302" s="912" t="s">
        <v>1536</v>
      </c>
      <c r="B302" s="912" t="s">
        <v>935</v>
      </c>
      <c r="C302" s="912" t="s">
        <v>80</v>
      </c>
      <c r="D302" s="912" t="s">
        <v>1679</v>
      </c>
      <c r="E302" s="934">
        <v>3000</v>
      </c>
      <c r="F302" s="926" t="s">
        <v>1700</v>
      </c>
      <c r="G302" s="926" t="s">
        <v>1701</v>
      </c>
      <c r="H302" s="926" t="s">
        <v>1697</v>
      </c>
      <c r="I302" s="912" t="s">
        <v>1540</v>
      </c>
      <c r="J302" s="912" t="s">
        <v>1313</v>
      </c>
      <c r="K302" s="935" t="s">
        <v>1542</v>
      </c>
      <c r="L302" s="934">
        <v>12</v>
      </c>
      <c r="M302" s="934">
        <f t="shared" si="14"/>
        <v>36000</v>
      </c>
      <c r="N302" s="934"/>
      <c r="O302" s="934">
        <v>12</v>
      </c>
      <c r="P302" s="934">
        <f t="shared" si="15"/>
        <v>36000</v>
      </c>
    </row>
    <row r="303" spans="1:16" x14ac:dyDescent="0.2">
      <c r="A303" s="912" t="s">
        <v>1536</v>
      </c>
      <c r="B303" s="912" t="s">
        <v>935</v>
      </c>
      <c r="C303" s="912" t="s">
        <v>80</v>
      </c>
      <c r="D303" s="912" t="s">
        <v>1679</v>
      </c>
      <c r="E303" s="934">
        <v>1800</v>
      </c>
      <c r="F303" s="926" t="s">
        <v>1702</v>
      </c>
      <c r="G303" s="926" t="s">
        <v>1703</v>
      </c>
      <c r="H303" s="926" t="s">
        <v>1704</v>
      </c>
      <c r="I303" s="912" t="s">
        <v>1540</v>
      </c>
      <c r="J303" s="912" t="s">
        <v>1313</v>
      </c>
      <c r="K303" s="935" t="s">
        <v>1542</v>
      </c>
      <c r="L303" s="934">
        <v>12</v>
      </c>
      <c r="M303" s="934">
        <f t="shared" si="14"/>
        <v>21600</v>
      </c>
      <c r="N303" s="934"/>
      <c r="O303" s="934">
        <v>12</v>
      </c>
      <c r="P303" s="934">
        <f t="shared" si="15"/>
        <v>21600</v>
      </c>
    </row>
    <row r="304" spans="1:16" x14ac:dyDescent="0.2">
      <c r="A304" s="912" t="s">
        <v>1536</v>
      </c>
      <c r="B304" s="912" t="s">
        <v>935</v>
      </c>
      <c r="C304" s="912" t="s">
        <v>80</v>
      </c>
      <c r="D304" s="912" t="s">
        <v>1679</v>
      </c>
      <c r="E304" s="934">
        <v>2239</v>
      </c>
      <c r="F304" s="926" t="s">
        <v>1705</v>
      </c>
      <c r="G304" s="926" t="s">
        <v>1706</v>
      </c>
      <c r="H304" s="926" t="s">
        <v>1707</v>
      </c>
      <c r="I304" s="912" t="s">
        <v>1540</v>
      </c>
      <c r="J304" s="912" t="s">
        <v>1313</v>
      </c>
      <c r="K304" s="935" t="s">
        <v>1542</v>
      </c>
      <c r="L304" s="934">
        <v>12</v>
      </c>
      <c r="M304" s="934">
        <f t="shared" si="14"/>
        <v>26868</v>
      </c>
      <c r="N304" s="934"/>
      <c r="O304" s="934">
        <v>12</v>
      </c>
      <c r="P304" s="934">
        <f t="shared" si="15"/>
        <v>26868</v>
      </c>
    </row>
    <row r="305" spans="1:16" x14ac:dyDescent="0.2">
      <c r="A305" s="912" t="s">
        <v>1536</v>
      </c>
      <c r="B305" s="912" t="s">
        <v>935</v>
      </c>
      <c r="C305" s="912" t="s">
        <v>80</v>
      </c>
      <c r="D305" s="912" t="s">
        <v>1679</v>
      </c>
      <c r="E305" s="934">
        <v>1200</v>
      </c>
      <c r="F305" s="926" t="s">
        <v>1708</v>
      </c>
      <c r="G305" s="926" t="s">
        <v>1709</v>
      </c>
      <c r="H305" s="926" t="s">
        <v>1710</v>
      </c>
      <c r="I305" s="912" t="s">
        <v>1412</v>
      </c>
      <c r="J305" s="912" t="s">
        <v>982</v>
      </c>
      <c r="K305" s="935" t="s">
        <v>1542</v>
      </c>
      <c r="L305" s="934">
        <v>12</v>
      </c>
      <c r="M305" s="934">
        <f t="shared" si="14"/>
        <v>14400</v>
      </c>
      <c r="N305" s="934"/>
      <c r="O305" s="934">
        <v>12</v>
      </c>
      <c r="P305" s="934">
        <f t="shared" si="15"/>
        <v>14400</v>
      </c>
    </row>
    <row r="306" spans="1:16" x14ac:dyDescent="0.2">
      <c r="A306" s="912" t="s">
        <v>1536</v>
      </c>
      <c r="B306" s="912" t="s">
        <v>935</v>
      </c>
      <c r="C306" s="912" t="s">
        <v>80</v>
      </c>
      <c r="D306" s="912" t="s">
        <v>1679</v>
      </c>
      <c r="E306" s="934">
        <v>1200</v>
      </c>
      <c r="F306" s="926" t="s">
        <v>1711</v>
      </c>
      <c r="G306" s="926" t="s">
        <v>1712</v>
      </c>
      <c r="H306" s="926" t="s">
        <v>1710</v>
      </c>
      <c r="I306" s="912" t="s">
        <v>1412</v>
      </c>
      <c r="J306" s="912" t="s">
        <v>982</v>
      </c>
      <c r="K306" s="935" t="s">
        <v>1542</v>
      </c>
      <c r="L306" s="934">
        <v>12</v>
      </c>
      <c r="M306" s="934">
        <f t="shared" si="14"/>
        <v>14400</v>
      </c>
      <c r="N306" s="934"/>
      <c r="O306" s="934">
        <v>12</v>
      </c>
      <c r="P306" s="934">
        <f t="shared" si="15"/>
        <v>14400</v>
      </c>
    </row>
    <row r="307" spans="1:16" x14ac:dyDescent="0.2">
      <c r="A307" s="912" t="s">
        <v>1536</v>
      </c>
      <c r="B307" s="912" t="s">
        <v>935</v>
      </c>
      <c r="C307" s="912" t="s">
        <v>80</v>
      </c>
      <c r="D307" s="912" t="s">
        <v>1679</v>
      </c>
      <c r="E307" s="934">
        <v>1200</v>
      </c>
      <c r="F307" s="926" t="s">
        <v>1713</v>
      </c>
      <c r="G307" s="926" t="s">
        <v>1714</v>
      </c>
      <c r="H307" s="926" t="s">
        <v>1715</v>
      </c>
      <c r="I307" s="912" t="s">
        <v>1412</v>
      </c>
      <c r="J307" s="912" t="s">
        <v>982</v>
      </c>
      <c r="K307" s="935" t="s">
        <v>1542</v>
      </c>
      <c r="L307" s="934">
        <v>12</v>
      </c>
      <c r="M307" s="934">
        <f t="shared" si="14"/>
        <v>14400</v>
      </c>
      <c r="N307" s="934"/>
      <c r="O307" s="934">
        <v>12</v>
      </c>
      <c r="P307" s="934">
        <f t="shared" si="15"/>
        <v>14400</v>
      </c>
    </row>
    <row r="308" spans="1:16" x14ac:dyDescent="0.2">
      <c r="A308" s="912" t="s">
        <v>1536</v>
      </c>
      <c r="B308" s="912" t="s">
        <v>935</v>
      </c>
      <c r="C308" s="912" t="s">
        <v>80</v>
      </c>
      <c r="D308" s="912" t="s">
        <v>1679</v>
      </c>
      <c r="E308" s="934">
        <v>1200</v>
      </c>
      <c r="F308" s="926" t="s">
        <v>1716</v>
      </c>
      <c r="G308" s="926" t="s">
        <v>1717</v>
      </c>
      <c r="H308" s="926" t="s">
        <v>1715</v>
      </c>
      <c r="I308" s="912" t="s">
        <v>1412</v>
      </c>
      <c r="J308" s="912" t="s">
        <v>982</v>
      </c>
      <c r="K308" s="935" t="s">
        <v>1542</v>
      </c>
      <c r="L308" s="934">
        <v>12</v>
      </c>
      <c r="M308" s="934">
        <f t="shared" si="14"/>
        <v>14400</v>
      </c>
      <c r="N308" s="934"/>
      <c r="O308" s="934">
        <v>12</v>
      </c>
      <c r="P308" s="934">
        <f t="shared" si="15"/>
        <v>14400</v>
      </c>
    </row>
    <row r="309" spans="1:16" x14ac:dyDescent="0.2">
      <c r="A309" s="912" t="s">
        <v>1536</v>
      </c>
      <c r="B309" s="912" t="s">
        <v>935</v>
      </c>
      <c r="C309" s="912" t="s">
        <v>80</v>
      </c>
      <c r="D309" s="912" t="s">
        <v>1679</v>
      </c>
      <c r="E309" s="934">
        <v>1200</v>
      </c>
      <c r="F309" s="926" t="s">
        <v>1718</v>
      </c>
      <c r="G309" s="926" t="s">
        <v>1719</v>
      </c>
      <c r="H309" s="926" t="s">
        <v>1720</v>
      </c>
      <c r="I309" s="912" t="s">
        <v>1412</v>
      </c>
      <c r="J309" s="912" t="s">
        <v>982</v>
      </c>
      <c r="K309" s="935" t="s">
        <v>1542</v>
      </c>
      <c r="L309" s="934">
        <v>12</v>
      </c>
      <c r="M309" s="934">
        <f t="shared" si="14"/>
        <v>14400</v>
      </c>
      <c r="N309" s="934"/>
      <c r="O309" s="934">
        <v>12</v>
      </c>
      <c r="P309" s="934">
        <f t="shared" si="15"/>
        <v>14400</v>
      </c>
    </row>
    <row r="310" spans="1:16" x14ac:dyDescent="0.2">
      <c r="A310" s="912" t="s">
        <v>1536</v>
      </c>
      <c r="B310" s="912" t="s">
        <v>935</v>
      </c>
      <c r="C310" s="912" t="s">
        <v>80</v>
      </c>
      <c r="D310" s="912" t="s">
        <v>1679</v>
      </c>
      <c r="E310" s="934">
        <v>1400</v>
      </c>
      <c r="F310" s="926" t="s">
        <v>1721</v>
      </c>
      <c r="G310" s="926" t="s">
        <v>1722</v>
      </c>
      <c r="H310" s="926" t="s">
        <v>982</v>
      </c>
      <c r="I310" s="912" t="s">
        <v>1412</v>
      </c>
      <c r="J310" s="912" t="s">
        <v>982</v>
      </c>
      <c r="K310" s="935" t="s">
        <v>1542</v>
      </c>
      <c r="L310" s="934">
        <v>12</v>
      </c>
      <c r="M310" s="934">
        <f t="shared" si="14"/>
        <v>16800</v>
      </c>
      <c r="N310" s="934"/>
      <c r="O310" s="934">
        <v>12</v>
      </c>
      <c r="P310" s="934">
        <f t="shared" si="15"/>
        <v>16800</v>
      </c>
    </row>
    <row r="311" spans="1:16" x14ac:dyDescent="0.2">
      <c r="A311" s="912" t="s">
        <v>1536</v>
      </c>
      <c r="B311" s="912" t="s">
        <v>935</v>
      </c>
      <c r="C311" s="912" t="s">
        <v>80</v>
      </c>
      <c r="D311" s="912" t="s">
        <v>1679</v>
      </c>
      <c r="E311" s="934">
        <v>1200</v>
      </c>
      <c r="F311" s="926" t="s">
        <v>1723</v>
      </c>
      <c r="G311" s="926" t="s">
        <v>1724</v>
      </c>
      <c r="H311" s="926" t="s">
        <v>982</v>
      </c>
      <c r="I311" s="912" t="s">
        <v>1412</v>
      </c>
      <c r="J311" s="912" t="s">
        <v>982</v>
      </c>
      <c r="K311" s="935" t="s">
        <v>1542</v>
      </c>
      <c r="L311" s="934">
        <v>12</v>
      </c>
      <c r="M311" s="934">
        <f t="shared" si="14"/>
        <v>14400</v>
      </c>
      <c r="N311" s="934"/>
      <c r="O311" s="934">
        <v>12</v>
      </c>
      <c r="P311" s="934">
        <f t="shared" si="15"/>
        <v>14400</v>
      </c>
    </row>
    <row r="312" spans="1:16" x14ac:dyDescent="0.2">
      <c r="A312" s="912" t="s">
        <v>1536</v>
      </c>
      <c r="B312" s="912" t="s">
        <v>935</v>
      </c>
      <c r="C312" s="912" t="s">
        <v>80</v>
      </c>
      <c r="D312" s="912" t="s">
        <v>1679</v>
      </c>
      <c r="E312" s="934">
        <v>1200</v>
      </c>
      <c r="F312" s="926" t="s">
        <v>1725</v>
      </c>
      <c r="G312" s="926" t="s">
        <v>1726</v>
      </c>
      <c r="H312" s="926" t="s">
        <v>982</v>
      </c>
      <c r="I312" s="912" t="s">
        <v>1412</v>
      </c>
      <c r="J312" s="912" t="s">
        <v>982</v>
      </c>
      <c r="K312" s="935" t="s">
        <v>1542</v>
      </c>
      <c r="L312" s="934">
        <v>12</v>
      </c>
      <c r="M312" s="934">
        <f t="shared" si="14"/>
        <v>14400</v>
      </c>
      <c r="N312" s="934"/>
      <c r="O312" s="934">
        <v>12</v>
      </c>
      <c r="P312" s="934">
        <f t="shared" si="15"/>
        <v>14400</v>
      </c>
    </row>
    <row r="313" spans="1:16" x14ac:dyDescent="0.2">
      <c r="A313" s="912" t="s">
        <v>1536</v>
      </c>
      <c r="B313" s="912" t="s">
        <v>935</v>
      </c>
      <c r="C313" s="912" t="s">
        <v>80</v>
      </c>
      <c r="D313" s="912" t="s">
        <v>1679</v>
      </c>
      <c r="E313" s="934">
        <v>930</v>
      </c>
      <c r="F313" s="926" t="s">
        <v>1727</v>
      </c>
      <c r="G313" s="926" t="s">
        <v>1728</v>
      </c>
      <c r="H313" s="926" t="s">
        <v>982</v>
      </c>
      <c r="I313" s="912" t="s">
        <v>1412</v>
      </c>
      <c r="J313" s="912" t="s">
        <v>982</v>
      </c>
      <c r="K313" s="935" t="s">
        <v>1542</v>
      </c>
      <c r="L313" s="934">
        <v>12</v>
      </c>
      <c r="M313" s="934">
        <f t="shared" si="14"/>
        <v>11160</v>
      </c>
      <c r="N313" s="934"/>
      <c r="O313" s="934">
        <v>12</v>
      </c>
      <c r="P313" s="934">
        <f t="shared" si="15"/>
        <v>11160</v>
      </c>
    </row>
    <row r="314" spans="1:16" x14ac:dyDescent="0.2">
      <c r="A314" s="912" t="s">
        <v>1536</v>
      </c>
      <c r="B314" s="912" t="s">
        <v>935</v>
      </c>
      <c r="C314" s="912" t="s">
        <v>80</v>
      </c>
      <c r="D314" s="912" t="s">
        <v>1679</v>
      </c>
      <c r="E314" s="934">
        <v>1200</v>
      </c>
      <c r="F314" s="926" t="s">
        <v>1729</v>
      </c>
      <c r="G314" s="926" t="s">
        <v>1730</v>
      </c>
      <c r="H314" s="926" t="s">
        <v>982</v>
      </c>
      <c r="I314" s="912" t="s">
        <v>1412</v>
      </c>
      <c r="J314" s="912" t="s">
        <v>982</v>
      </c>
      <c r="K314" s="935" t="s">
        <v>1542</v>
      </c>
      <c r="L314" s="934">
        <v>12</v>
      </c>
      <c r="M314" s="934">
        <f t="shared" si="14"/>
        <v>14400</v>
      </c>
      <c r="N314" s="934"/>
      <c r="O314" s="934">
        <v>12</v>
      </c>
      <c r="P314" s="934">
        <f t="shared" si="15"/>
        <v>14400</v>
      </c>
    </row>
    <row r="315" spans="1:16" x14ac:dyDescent="0.2">
      <c r="A315" s="912" t="s">
        <v>1536</v>
      </c>
      <c r="B315" s="912" t="s">
        <v>935</v>
      </c>
      <c r="C315" s="912" t="s">
        <v>80</v>
      </c>
      <c r="D315" s="912" t="s">
        <v>1679</v>
      </c>
      <c r="E315" s="934">
        <v>1800</v>
      </c>
      <c r="F315" s="926" t="s">
        <v>1731</v>
      </c>
      <c r="G315" s="926" t="s">
        <v>1732</v>
      </c>
      <c r="H315" s="926" t="s">
        <v>982</v>
      </c>
      <c r="I315" s="912" t="s">
        <v>1412</v>
      </c>
      <c r="J315" s="912" t="s">
        <v>982</v>
      </c>
      <c r="K315" s="935" t="s">
        <v>1542</v>
      </c>
      <c r="L315" s="934">
        <v>12</v>
      </c>
      <c r="M315" s="934">
        <f t="shared" si="14"/>
        <v>21600</v>
      </c>
      <c r="N315" s="934"/>
      <c r="O315" s="934">
        <v>12</v>
      </c>
      <c r="P315" s="934">
        <f t="shared" si="15"/>
        <v>21600</v>
      </c>
    </row>
    <row r="316" spans="1:16" x14ac:dyDescent="0.2">
      <c r="A316" s="912" t="s">
        <v>1536</v>
      </c>
      <c r="B316" s="912" t="s">
        <v>935</v>
      </c>
      <c r="C316" s="912" t="s">
        <v>80</v>
      </c>
      <c r="D316" s="912" t="s">
        <v>1679</v>
      </c>
      <c r="E316" s="934">
        <v>930</v>
      </c>
      <c r="F316" s="926" t="s">
        <v>1733</v>
      </c>
      <c r="G316" s="926" t="s">
        <v>1734</v>
      </c>
      <c r="H316" s="926" t="s">
        <v>982</v>
      </c>
      <c r="I316" s="912" t="s">
        <v>1412</v>
      </c>
      <c r="J316" s="912" t="s">
        <v>982</v>
      </c>
      <c r="K316" s="935" t="s">
        <v>1542</v>
      </c>
      <c r="L316" s="934">
        <v>12</v>
      </c>
      <c r="M316" s="934">
        <f t="shared" si="14"/>
        <v>11160</v>
      </c>
      <c r="N316" s="934"/>
      <c r="O316" s="934">
        <v>12</v>
      </c>
      <c r="P316" s="934">
        <f t="shared" si="15"/>
        <v>11160</v>
      </c>
    </row>
    <row r="317" spans="1:16" x14ac:dyDescent="0.2">
      <c r="A317" s="912" t="s">
        <v>1536</v>
      </c>
      <c r="B317" s="912" t="s">
        <v>935</v>
      </c>
      <c r="C317" s="912" t="s">
        <v>80</v>
      </c>
      <c r="D317" s="912" t="s">
        <v>1679</v>
      </c>
      <c r="E317" s="934">
        <v>1200</v>
      </c>
      <c r="F317" s="926" t="s">
        <v>1735</v>
      </c>
      <c r="G317" s="926" t="s">
        <v>1736</v>
      </c>
      <c r="H317" s="926" t="s">
        <v>982</v>
      </c>
      <c r="I317" s="912" t="s">
        <v>1412</v>
      </c>
      <c r="J317" s="912" t="s">
        <v>982</v>
      </c>
      <c r="K317" s="935" t="s">
        <v>1542</v>
      </c>
      <c r="L317" s="934">
        <v>12</v>
      </c>
      <c r="M317" s="934">
        <f t="shared" si="14"/>
        <v>14400</v>
      </c>
      <c r="N317" s="934"/>
      <c r="O317" s="934">
        <v>12</v>
      </c>
      <c r="P317" s="934">
        <f t="shared" si="15"/>
        <v>14400</v>
      </c>
    </row>
    <row r="318" spans="1:16" x14ac:dyDescent="0.2">
      <c r="A318" s="912" t="s">
        <v>1536</v>
      </c>
      <c r="B318" s="912" t="s">
        <v>935</v>
      </c>
      <c r="C318" s="912" t="s">
        <v>80</v>
      </c>
      <c r="D318" s="912" t="s">
        <v>1679</v>
      </c>
      <c r="E318" s="934">
        <v>1200</v>
      </c>
      <c r="F318" s="926" t="s">
        <v>1737</v>
      </c>
      <c r="G318" s="926" t="s">
        <v>1738</v>
      </c>
      <c r="H318" s="926" t="s">
        <v>982</v>
      </c>
      <c r="I318" s="912" t="s">
        <v>1412</v>
      </c>
      <c r="J318" s="912" t="s">
        <v>982</v>
      </c>
      <c r="K318" s="935" t="s">
        <v>1542</v>
      </c>
      <c r="L318" s="934">
        <v>12</v>
      </c>
      <c r="M318" s="934">
        <f t="shared" si="14"/>
        <v>14400</v>
      </c>
      <c r="N318" s="934"/>
      <c r="O318" s="934">
        <v>12</v>
      </c>
      <c r="P318" s="934">
        <f t="shared" si="15"/>
        <v>14400</v>
      </c>
    </row>
    <row r="319" spans="1:16" x14ac:dyDescent="0.2">
      <c r="A319" s="912" t="s">
        <v>1536</v>
      </c>
      <c r="B319" s="912" t="s">
        <v>935</v>
      </c>
      <c r="C319" s="912" t="s">
        <v>80</v>
      </c>
      <c r="D319" s="912" t="s">
        <v>1679</v>
      </c>
      <c r="E319" s="934">
        <v>1200</v>
      </c>
      <c r="F319" s="926" t="s">
        <v>1739</v>
      </c>
      <c r="G319" s="926" t="s">
        <v>1740</v>
      </c>
      <c r="H319" s="926" t="s">
        <v>982</v>
      </c>
      <c r="I319" s="912" t="s">
        <v>1412</v>
      </c>
      <c r="J319" s="912" t="s">
        <v>982</v>
      </c>
      <c r="K319" s="935" t="s">
        <v>1542</v>
      </c>
      <c r="L319" s="934">
        <v>12</v>
      </c>
      <c r="M319" s="934">
        <f t="shared" si="14"/>
        <v>14400</v>
      </c>
      <c r="N319" s="934"/>
      <c r="O319" s="934">
        <v>12</v>
      </c>
      <c r="P319" s="934">
        <f t="shared" si="15"/>
        <v>14400</v>
      </c>
    </row>
    <row r="320" spans="1:16" x14ac:dyDescent="0.2">
      <c r="A320" s="912" t="s">
        <v>1536</v>
      </c>
      <c r="B320" s="912" t="s">
        <v>935</v>
      </c>
      <c r="C320" s="912" t="s">
        <v>80</v>
      </c>
      <c r="D320" s="912" t="s">
        <v>1679</v>
      </c>
      <c r="E320" s="934">
        <v>1200</v>
      </c>
      <c r="F320" s="926" t="s">
        <v>1741</v>
      </c>
      <c r="G320" s="926" t="s">
        <v>1742</v>
      </c>
      <c r="H320" s="926" t="s">
        <v>982</v>
      </c>
      <c r="I320" s="912" t="s">
        <v>1412</v>
      </c>
      <c r="J320" s="912" t="s">
        <v>982</v>
      </c>
      <c r="K320" s="935" t="s">
        <v>1542</v>
      </c>
      <c r="L320" s="934">
        <v>12</v>
      </c>
      <c r="M320" s="934">
        <f t="shared" si="14"/>
        <v>14400</v>
      </c>
      <c r="N320" s="934"/>
      <c r="O320" s="934">
        <v>12</v>
      </c>
      <c r="P320" s="934">
        <f t="shared" si="15"/>
        <v>14400</v>
      </c>
    </row>
    <row r="321" spans="1:16" x14ac:dyDescent="0.2">
      <c r="A321" s="912" t="s">
        <v>1536</v>
      </c>
      <c r="B321" s="912" t="s">
        <v>935</v>
      </c>
      <c r="C321" s="912" t="s">
        <v>80</v>
      </c>
      <c r="D321" s="912" t="s">
        <v>1679</v>
      </c>
      <c r="E321" s="934">
        <v>930</v>
      </c>
      <c r="F321" s="926" t="s">
        <v>1743</v>
      </c>
      <c r="G321" s="926" t="s">
        <v>1744</v>
      </c>
      <c r="H321" s="926" t="s">
        <v>982</v>
      </c>
      <c r="I321" s="912" t="s">
        <v>1412</v>
      </c>
      <c r="J321" s="912" t="s">
        <v>982</v>
      </c>
      <c r="K321" s="935" t="s">
        <v>1542</v>
      </c>
      <c r="L321" s="934">
        <v>12</v>
      </c>
      <c r="M321" s="934">
        <f t="shared" si="14"/>
        <v>11160</v>
      </c>
      <c r="N321" s="934"/>
      <c r="O321" s="934">
        <v>12</v>
      </c>
      <c r="P321" s="934">
        <f t="shared" si="15"/>
        <v>11160</v>
      </c>
    </row>
    <row r="322" spans="1:16" x14ac:dyDescent="0.2">
      <c r="A322" s="912" t="s">
        <v>1536</v>
      </c>
      <c r="B322" s="912" t="s">
        <v>935</v>
      </c>
      <c r="C322" s="912" t="s">
        <v>80</v>
      </c>
      <c r="D322" s="912" t="s">
        <v>1679</v>
      </c>
      <c r="E322" s="934">
        <v>1200</v>
      </c>
      <c r="F322" s="926" t="s">
        <v>1745</v>
      </c>
      <c r="G322" s="926" t="s">
        <v>1746</v>
      </c>
      <c r="H322" s="926" t="s">
        <v>982</v>
      </c>
      <c r="I322" s="912" t="s">
        <v>1412</v>
      </c>
      <c r="J322" s="912" t="s">
        <v>982</v>
      </c>
      <c r="K322" s="935" t="s">
        <v>1542</v>
      </c>
      <c r="L322" s="934">
        <v>12</v>
      </c>
      <c r="M322" s="934">
        <f t="shared" si="14"/>
        <v>14400</v>
      </c>
      <c r="N322" s="934"/>
      <c r="O322" s="934">
        <v>12</v>
      </c>
      <c r="P322" s="934">
        <f t="shared" si="15"/>
        <v>14400</v>
      </c>
    </row>
    <row r="323" spans="1:16" x14ac:dyDescent="0.2">
      <c r="A323" s="912" t="s">
        <v>1536</v>
      </c>
      <c r="B323" s="912" t="s">
        <v>935</v>
      </c>
      <c r="C323" s="912" t="s">
        <v>80</v>
      </c>
      <c r="D323" s="912" t="s">
        <v>1679</v>
      </c>
      <c r="E323" s="934">
        <v>930</v>
      </c>
      <c r="F323" s="926" t="s">
        <v>1747</v>
      </c>
      <c r="G323" s="926" t="s">
        <v>1748</v>
      </c>
      <c r="H323" s="926" t="s">
        <v>982</v>
      </c>
      <c r="I323" s="912" t="s">
        <v>1412</v>
      </c>
      <c r="J323" s="912" t="s">
        <v>982</v>
      </c>
      <c r="K323" s="935" t="s">
        <v>1542</v>
      </c>
      <c r="L323" s="934">
        <v>12</v>
      </c>
      <c r="M323" s="934">
        <f t="shared" si="14"/>
        <v>11160</v>
      </c>
      <c r="N323" s="934"/>
      <c r="O323" s="934">
        <v>12</v>
      </c>
      <c r="P323" s="934">
        <f t="shared" si="15"/>
        <v>11160</v>
      </c>
    </row>
    <row r="324" spans="1:16" x14ac:dyDescent="0.2">
      <c r="A324" s="912" t="s">
        <v>1536</v>
      </c>
      <c r="B324" s="912" t="s">
        <v>935</v>
      </c>
      <c r="C324" s="912" t="s">
        <v>80</v>
      </c>
      <c r="D324" s="912" t="s">
        <v>1679</v>
      </c>
      <c r="E324" s="934">
        <v>930</v>
      </c>
      <c r="F324" s="926"/>
      <c r="G324" s="926" t="s">
        <v>1565</v>
      </c>
      <c r="H324" s="926" t="s">
        <v>982</v>
      </c>
      <c r="I324" s="912" t="s">
        <v>1412</v>
      </c>
      <c r="J324" s="912" t="s">
        <v>982</v>
      </c>
      <c r="K324" s="935" t="s">
        <v>1542</v>
      </c>
      <c r="L324" s="934">
        <v>12</v>
      </c>
      <c r="M324" s="934">
        <f t="shared" si="14"/>
        <v>11160</v>
      </c>
      <c r="N324" s="934"/>
      <c r="O324" s="934">
        <v>12</v>
      </c>
      <c r="P324" s="934">
        <f t="shared" si="15"/>
        <v>11160</v>
      </c>
    </row>
    <row r="325" spans="1:16" x14ac:dyDescent="0.2">
      <c r="A325" s="912" t="s">
        <v>1536</v>
      </c>
      <c r="B325" s="912" t="s">
        <v>935</v>
      </c>
      <c r="C325" s="912" t="s">
        <v>80</v>
      </c>
      <c r="D325" s="912" t="s">
        <v>1679</v>
      </c>
      <c r="E325" s="934">
        <v>1200</v>
      </c>
      <c r="F325" s="926" t="s">
        <v>1749</v>
      </c>
      <c r="G325" s="926" t="s">
        <v>1750</v>
      </c>
      <c r="H325" s="926" t="s">
        <v>1751</v>
      </c>
      <c r="I325" s="912" t="s">
        <v>1412</v>
      </c>
      <c r="J325" s="912" t="s">
        <v>982</v>
      </c>
      <c r="K325" s="935" t="s">
        <v>1542</v>
      </c>
      <c r="L325" s="934">
        <v>12</v>
      </c>
      <c r="M325" s="934">
        <f t="shared" si="14"/>
        <v>14400</v>
      </c>
      <c r="N325" s="934"/>
      <c r="O325" s="934">
        <v>12</v>
      </c>
      <c r="P325" s="934">
        <f t="shared" si="15"/>
        <v>14400</v>
      </c>
    </row>
    <row r="326" spans="1:16" x14ac:dyDescent="0.2">
      <c r="A326" s="912" t="s">
        <v>1536</v>
      </c>
      <c r="B326" s="912" t="s">
        <v>935</v>
      </c>
      <c r="C326" s="912" t="s">
        <v>80</v>
      </c>
      <c r="D326" s="912" t="s">
        <v>1679</v>
      </c>
      <c r="E326" s="934">
        <v>1200</v>
      </c>
      <c r="F326" s="926" t="s">
        <v>1752</v>
      </c>
      <c r="G326" s="926" t="s">
        <v>1753</v>
      </c>
      <c r="H326" s="926" t="s">
        <v>1751</v>
      </c>
      <c r="I326" s="912" t="s">
        <v>1412</v>
      </c>
      <c r="J326" s="912" t="s">
        <v>982</v>
      </c>
      <c r="K326" s="935" t="s">
        <v>1542</v>
      </c>
      <c r="L326" s="934">
        <v>12</v>
      </c>
      <c r="M326" s="934">
        <f t="shared" si="14"/>
        <v>14400</v>
      </c>
      <c r="N326" s="934"/>
      <c r="O326" s="934">
        <v>12</v>
      </c>
      <c r="P326" s="934">
        <f t="shared" si="15"/>
        <v>14400</v>
      </c>
    </row>
    <row r="327" spans="1:16" x14ac:dyDescent="0.2">
      <c r="A327" s="912" t="s">
        <v>1536</v>
      </c>
      <c r="B327" s="912" t="s">
        <v>935</v>
      </c>
      <c r="C327" s="912" t="s">
        <v>80</v>
      </c>
      <c r="D327" s="912" t="s">
        <v>1679</v>
      </c>
      <c r="E327" s="934">
        <v>1200</v>
      </c>
      <c r="F327" s="926" t="s">
        <v>1754</v>
      </c>
      <c r="G327" s="926" t="s">
        <v>1755</v>
      </c>
      <c r="H327" s="926" t="s">
        <v>1756</v>
      </c>
      <c r="I327" s="912" t="s">
        <v>1412</v>
      </c>
      <c r="J327" s="912" t="s">
        <v>982</v>
      </c>
      <c r="K327" s="935" t="s">
        <v>1542</v>
      </c>
      <c r="L327" s="934">
        <v>12</v>
      </c>
      <c r="M327" s="934">
        <f t="shared" si="14"/>
        <v>14400</v>
      </c>
      <c r="N327" s="934"/>
      <c r="O327" s="934">
        <v>12</v>
      </c>
      <c r="P327" s="934">
        <f t="shared" si="15"/>
        <v>14400</v>
      </c>
    </row>
    <row r="328" spans="1:16" x14ac:dyDescent="0.2">
      <c r="A328" s="912" t="s">
        <v>1536</v>
      </c>
      <c r="B328" s="912" t="s">
        <v>935</v>
      </c>
      <c r="C328" s="912" t="s">
        <v>80</v>
      </c>
      <c r="D328" s="912" t="s">
        <v>1679</v>
      </c>
      <c r="E328" s="934">
        <v>1400</v>
      </c>
      <c r="F328" s="926" t="s">
        <v>1757</v>
      </c>
      <c r="G328" s="926" t="s">
        <v>1758</v>
      </c>
      <c r="H328" s="926" t="s">
        <v>1756</v>
      </c>
      <c r="I328" s="912" t="s">
        <v>1412</v>
      </c>
      <c r="J328" s="912" t="s">
        <v>982</v>
      </c>
      <c r="K328" s="935" t="s">
        <v>1542</v>
      </c>
      <c r="L328" s="934">
        <v>12</v>
      </c>
      <c r="M328" s="934">
        <f t="shared" si="14"/>
        <v>16800</v>
      </c>
      <c r="N328" s="934"/>
      <c r="O328" s="934">
        <v>12</v>
      </c>
      <c r="P328" s="934">
        <f t="shared" si="15"/>
        <v>16800</v>
      </c>
    </row>
    <row r="329" spans="1:16" x14ac:dyDescent="0.2">
      <c r="A329" s="912" t="s">
        <v>1536</v>
      </c>
      <c r="B329" s="912" t="s">
        <v>935</v>
      </c>
      <c r="C329" s="912" t="s">
        <v>80</v>
      </c>
      <c r="D329" s="912" t="s">
        <v>1679</v>
      </c>
      <c r="E329" s="934">
        <v>1400</v>
      </c>
      <c r="F329" s="926"/>
      <c r="G329" s="926" t="s">
        <v>1565</v>
      </c>
      <c r="H329" s="926" t="s">
        <v>1756</v>
      </c>
      <c r="I329" s="912" t="s">
        <v>1412</v>
      </c>
      <c r="J329" s="912" t="s">
        <v>982</v>
      </c>
      <c r="K329" s="935" t="s">
        <v>1542</v>
      </c>
      <c r="L329" s="934">
        <v>12</v>
      </c>
      <c r="M329" s="934">
        <f t="shared" si="14"/>
        <v>16800</v>
      </c>
      <c r="N329" s="934"/>
      <c r="O329" s="934">
        <v>12</v>
      </c>
      <c r="P329" s="934">
        <f t="shared" si="15"/>
        <v>16800</v>
      </c>
    </row>
    <row r="330" spans="1:16" x14ac:dyDescent="0.2">
      <c r="A330" s="912" t="s">
        <v>1536</v>
      </c>
      <c r="B330" s="912" t="s">
        <v>935</v>
      </c>
      <c r="C330" s="912" t="s">
        <v>80</v>
      </c>
      <c r="D330" s="912" t="s">
        <v>1679</v>
      </c>
      <c r="E330" s="934">
        <v>2000</v>
      </c>
      <c r="F330" s="926" t="s">
        <v>1759</v>
      </c>
      <c r="G330" s="926" t="s">
        <v>1760</v>
      </c>
      <c r="H330" s="926" t="s">
        <v>1761</v>
      </c>
      <c r="I330" s="912" t="s">
        <v>1020</v>
      </c>
      <c r="J330" s="912" t="s">
        <v>1761</v>
      </c>
      <c r="K330" s="935" t="s">
        <v>1542</v>
      </c>
      <c r="L330" s="934">
        <v>12</v>
      </c>
      <c r="M330" s="934">
        <f t="shared" si="14"/>
        <v>24000</v>
      </c>
      <c r="N330" s="934"/>
      <c r="O330" s="934">
        <v>12</v>
      </c>
      <c r="P330" s="934">
        <f t="shared" si="15"/>
        <v>24000</v>
      </c>
    </row>
    <row r="331" spans="1:16" x14ac:dyDescent="0.2">
      <c r="A331" s="912" t="s">
        <v>1536</v>
      </c>
      <c r="B331" s="912" t="s">
        <v>935</v>
      </c>
      <c r="C331" s="912" t="s">
        <v>80</v>
      </c>
      <c r="D331" s="912" t="s">
        <v>1679</v>
      </c>
      <c r="E331" s="934">
        <v>2000</v>
      </c>
      <c r="F331" s="926" t="s">
        <v>1762</v>
      </c>
      <c r="G331" s="926" t="s">
        <v>1763</v>
      </c>
      <c r="H331" s="926" t="s">
        <v>1761</v>
      </c>
      <c r="I331" s="912" t="s">
        <v>1020</v>
      </c>
      <c r="J331" s="912" t="s">
        <v>1761</v>
      </c>
      <c r="K331" s="935" t="s">
        <v>1542</v>
      </c>
      <c r="L331" s="934">
        <v>12</v>
      </c>
      <c r="M331" s="934">
        <f t="shared" si="14"/>
        <v>24000</v>
      </c>
      <c r="N331" s="934"/>
      <c r="O331" s="934">
        <v>12</v>
      </c>
      <c r="P331" s="934">
        <f t="shared" si="15"/>
        <v>24000</v>
      </c>
    </row>
    <row r="332" spans="1:16" x14ac:dyDescent="0.2">
      <c r="A332" s="912" t="s">
        <v>1536</v>
      </c>
      <c r="B332" s="912" t="s">
        <v>1333</v>
      </c>
      <c r="C332" s="912" t="s">
        <v>80</v>
      </c>
      <c r="D332" s="912" t="s">
        <v>1679</v>
      </c>
      <c r="E332" s="934">
        <v>1800</v>
      </c>
      <c r="F332" s="926" t="s">
        <v>1764</v>
      </c>
      <c r="G332" s="928" t="s">
        <v>1765</v>
      </c>
      <c r="H332" s="926" t="s">
        <v>982</v>
      </c>
      <c r="I332" s="912" t="s">
        <v>1412</v>
      </c>
      <c r="J332" s="912" t="s">
        <v>982</v>
      </c>
      <c r="K332" s="935" t="s">
        <v>1542</v>
      </c>
      <c r="L332" s="934">
        <v>12</v>
      </c>
      <c r="M332" s="934">
        <f t="shared" si="14"/>
        <v>21600</v>
      </c>
      <c r="N332" s="934"/>
      <c r="O332" s="934">
        <v>12</v>
      </c>
      <c r="P332" s="934">
        <f t="shared" si="15"/>
        <v>21600</v>
      </c>
    </row>
    <row r="333" spans="1:16" x14ac:dyDescent="0.2">
      <c r="A333" s="912" t="s">
        <v>1536</v>
      </c>
      <c r="B333" s="912" t="s">
        <v>1333</v>
      </c>
      <c r="C333" s="912" t="s">
        <v>80</v>
      </c>
      <c r="D333" s="912" t="s">
        <v>1679</v>
      </c>
      <c r="E333" s="934">
        <v>1800</v>
      </c>
      <c r="F333" s="926" t="s">
        <v>1766</v>
      </c>
      <c r="G333" s="928" t="s">
        <v>1767</v>
      </c>
      <c r="H333" s="926" t="s">
        <v>982</v>
      </c>
      <c r="I333" s="912" t="s">
        <v>1412</v>
      </c>
      <c r="J333" s="912" t="s">
        <v>982</v>
      </c>
      <c r="K333" s="935" t="s">
        <v>1542</v>
      </c>
      <c r="L333" s="934">
        <v>12</v>
      </c>
      <c r="M333" s="934">
        <f t="shared" si="14"/>
        <v>21600</v>
      </c>
      <c r="N333" s="934"/>
      <c r="O333" s="934">
        <v>12</v>
      </c>
      <c r="P333" s="934">
        <f t="shared" si="15"/>
        <v>21600</v>
      </c>
    </row>
    <row r="334" spans="1:16" x14ac:dyDescent="0.2">
      <c r="A334" s="912" t="s">
        <v>1536</v>
      </c>
      <c r="B334" s="912" t="s">
        <v>1333</v>
      </c>
      <c r="C334" s="912" t="s">
        <v>80</v>
      </c>
      <c r="D334" s="912" t="s">
        <v>1679</v>
      </c>
      <c r="E334" s="934">
        <v>1500</v>
      </c>
      <c r="F334" s="926" t="s">
        <v>1768</v>
      </c>
      <c r="G334" s="928" t="s">
        <v>1769</v>
      </c>
      <c r="H334" s="926" t="s">
        <v>1770</v>
      </c>
      <c r="I334" s="912" t="s">
        <v>1412</v>
      </c>
      <c r="J334" s="912" t="s">
        <v>982</v>
      </c>
      <c r="K334" s="935" t="s">
        <v>1542</v>
      </c>
      <c r="L334" s="934">
        <v>12</v>
      </c>
      <c r="M334" s="934">
        <f t="shared" si="14"/>
        <v>18000</v>
      </c>
      <c r="N334" s="934"/>
      <c r="O334" s="934">
        <v>12</v>
      </c>
      <c r="P334" s="934">
        <f t="shared" si="15"/>
        <v>18000</v>
      </c>
    </row>
    <row r="335" spans="1:16" x14ac:dyDescent="0.2">
      <c r="A335" s="912" t="s">
        <v>1536</v>
      </c>
      <c r="B335" s="912" t="s">
        <v>1333</v>
      </c>
      <c r="C335" s="912" t="s">
        <v>80</v>
      </c>
      <c r="D335" s="912" t="s">
        <v>1537</v>
      </c>
      <c r="E335" s="934">
        <v>1923</v>
      </c>
      <c r="F335" s="926" t="s">
        <v>1771</v>
      </c>
      <c r="G335" s="928" t="s">
        <v>1772</v>
      </c>
      <c r="H335" s="926" t="s">
        <v>1666</v>
      </c>
      <c r="I335" s="912" t="s">
        <v>1412</v>
      </c>
      <c r="J335" s="912" t="s">
        <v>1650</v>
      </c>
      <c r="K335" s="935" t="s">
        <v>1542</v>
      </c>
      <c r="L335" s="934">
        <v>12</v>
      </c>
      <c r="M335" s="934">
        <f t="shared" si="14"/>
        <v>23076</v>
      </c>
      <c r="N335" s="934"/>
      <c r="O335" s="934">
        <v>12</v>
      </c>
      <c r="P335" s="934">
        <f t="shared" si="15"/>
        <v>23076</v>
      </c>
    </row>
    <row r="336" spans="1:16" x14ac:dyDescent="0.2">
      <c r="A336" s="912" t="s">
        <v>1536</v>
      </c>
      <c r="B336" s="912" t="s">
        <v>1333</v>
      </c>
      <c r="C336" s="912" t="s">
        <v>80</v>
      </c>
      <c r="D336" s="912" t="s">
        <v>1537</v>
      </c>
      <c r="E336" s="934">
        <v>1923</v>
      </c>
      <c r="F336" s="926" t="s">
        <v>1773</v>
      </c>
      <c r="G336" s="928" t="s">
        <v>1774</v>
      </c>
      <c r="H336" s="926" t="s">
        <v>1028</v>
      </c>
      <c r="I336" s="912" t="s">
        <v>1412</v>
      </c>
      <c r="J336" s="912" t="s">
        <v>1650</v>
      </c>
      <c r="K336" s="935" t="s">
        <v>1542</v>
      </c>
      <c r="L336" s="934">
        <v>12</v>
      </c>
      <c r="M336" s="934">
        <f t="shared" si="14"/>
        <v>23076</v>
      </c>
      <c r="N336" s="934"/>
      <c r="O336" s="934">
        <v>12</v>
      </c>
      <c r="P336" s="934">
        <f t="shared" si="15"/>
        <v>23076</v>
      </c>
    </row>
    <row r="337" spans="1:16" x14ac:dyDescent="0.2">
      <c r="A337" s="912" t="s">
        <v>1536</v>
      </c>
      <c r="B337" s="912" t="s">
        <v>1333</v>
      </c>
      <c r="C337" s="912" t="s">
        <v>80</v>
      </c>
      <c r="D337" s="912" t="s">
        <v>1537</v>
      </c>
      <c r="E337" s="934">
        <v>1923</v>
      </c>
      <c r="F337" s="926" t="s">
        <v>1775</v>
      </c>
      <c r="G337" s="928" t="s">
        <v>1776</v>
      </c>
      <c r="H337" s="926" t="s">
        <v>1028</v>
      </c>
      <c r="I337" s="912" t="s">
        <v>1412</v>
      </c>
      <c r="J337" s="912" t="s">
        <v>1650</v>
      </c>
      <c r="K337" s="935" t="s">
        <v>1542</v>
      </c>
      <c r="L337" s="934">
        <v>12</v>
      </c>
      <c r="M337" s="934">
        <f t="shared" si="14"/>
        <v>23076</v>
      </c>
      <c r="N337" s="934"/>
      <c r="O337" s="934">
        <v>12</v>
      </c>
      <c r="P337" s="934">
        <f t="shared" si="15"/>
        <v>23076</v>
      </c>
    </row>
    <row r="338" spans="1:16" x14ac:dyDescent="0.2">
      <c r="A338" s="912" t="s">
        <v>1536</v>
      </c>
      <c r="B338" s="912" t="s">
        <v>1333</v>
      </c>
      <c r="C338" s="912" t="s">
        <v>80</v>
      </c>
      <c r="D338" s="912" t="s">
        <v>1537</v>
      </c>
      <c r="E338" s="934">
        <v>1923</v>
      </c>
      <c r="F338" s="926" t="s">
        <v>1777</v>
      </c>
      <c r="G338" s="928" t="s">
        <v>1778</v>
      </c>
      <c r="H338" s="926" t="s">
        <v>1028</v>
      </c>
      <c r="I338" s="912" t="s">
        <v>1412</v>
      </c>
      <c r="J338" s="912" t="s">
        <v>1650</v>
      </c>
      <c r="K338" s="935" t="s">
        <v>1542</v>
      </c>
      <c r="L338" s="934">
        <v>12</v>
      </c>
      <c r="M338" s="934">
        <f t="shared" si="14"/>
        <v>23076</v>
      </c>
      <c r="N338" s="934"/>
      <c r="O338" s="934">
        <v>12</v>
      </c>
      <c r="P338" s="934">
        <f t="shared" si="15"/>
        <v>23076</v>
      </c>
    </row>
    <row r="339" spans="1:16" x14ac:dyDescent="0.2">
      <c r="A339" s="912" t="s">
        <v>1536</v>
      </c>
      <c r="B339" s="912" t="s">
        <v>1333</v>
      </c>
      <c r="C339" s="912" t="s">
        <v>80</v>
      </c>
      <c r="D339" s="912" t="s">
        <v>1537</v>
      </c>
      <c r="E339" s="934">
        <v>1923</v>
      </c>
      <c r="F339" s="926" t="s">
        <v>1779</v>
      </c>
      <c r="G339" s="928" t="s">
        <v>1780</v>
      </c>
      <c r="H339" s="926" t="s">
        <v>1028</v>
      </c>
      <c r="I339" s="912" t="s">
        <v>1412</v>
      </c>
      <c r="J339" s="912" t="s">
        <v>1650</v>
      </c>
      <c r="K339" s="935" t="s">
        <v>1542</v>
      </c>
      <c r="L339" s="934">
        <v>12</v>
      </c>
      <c r="M339" s="934">
        <f t="shared" si="14"/>
        <v>23076</v>
      </c>
      <c r="N339" s="934"/>
      <c r="O339" s="934">
        <v>12</v>
      </c>
      <c r="P339" s="934">
        <f t="shared" si="15"/>
        <v>23076</v>
      </c>
    </row>
    <row r="340" spans="1:16" x14ac:dyDescent="0.2">
      <c r="A340" s="912" t="s">
        <v>1536</v>
      </c>
      <c r="B340" s="912" t="s">
        <v>1333</v>
      </c>
      <c r="C340" s="912" t="s">
        <v>80</v>
      </c>
      <c r="D340" s="912" t="s">
        <v>1537</v>
      </c>
      <c r="E340" s="934">
        <v>1079</v>
      </c>
      <c r="F340" s="926" t="s">
        <v>1781</v>
      </c>
      <c r="G340" s="928" t="s">
        <v>1782</v>
      </c>
      <c r="H340" s="926" t="s">
        <v>1783</v>
      </c>
      <c r="I340" s="912" t="s">
        <v>1020</v>
      </c>
      <c r="J340" s="912" t="s">
        <v>1784</v>
      </c>
      <c r="K340" s="935" t="s">
        <v>1542</v>
      </c>
      <c r="L340" s="934">
        <v>12</v>
      </c>
      <c r="M340" s="934">
        <f t="shared" si="14"/>
        <v>12948</v>
      </c>
      <c r="N340" s="934"/>
      <c r="O340" s="934">
        <v>12</v>
      </c>
      <c r="P340" s="934">
        <f t="shared" si="15"/>
        <v>12948</v>
      </c>
    </row>
    <row r="341" spans="1:16" x14ac:dyDescent="0.2">
      <c r="A341" s="912" t="s">
        <v>1536</v>
      </c>
      <c r="B341" s="912" t="s">
        <v>1333</v>
      </c>
      <c r="C341" s="912" t="s">
        <v>80</v>
      </c>
      <c r="D341" s="912" t="s">
        <v>1537</v>
      </c>
      <c r="E341" s="934">
        <v>2931</v>
      </c>
      <c r="F341" s="926" t="s">
        <v>1785</v>
      </c>
      <c r="G341" s="928" t="s">
        <v>1786</v>
      </c>
      <c r="H341" s="926" t="s">
        <v>1646</v>
      </c>
      <c r="I341" s="912" t="s">
        <v>1540</v>
      </c>
      <c r="J341" s="912" t="s">
        <v>1541</v>
      </c>
      <c r="K341" s="935" t="s">
        <v>1542</v>
      </c>
      <c r="L341" s="934">
        <v>12</v>
      </c>
      <c r="M341" s="934">
        <f t="shared" si="14"/>
        <v>35172</v>
      </c>
      <c r="N341" s="934"/>
      <c r="O341" s="934">
        <v>12</v>
      </c>
      <c r="P341" s="934">
        <f t="shared" si="15"/>
        <v>35172</v>
      </c>
    </row>
    <row r="342" spans="1:16" x14ac:dyDescent="0.2">
      <c r="A342" s="912" t="s">
        <v>1536</v>
      </c>
      <c r="B342" s="912" t="s">
        <v>1333</v>
      </c>
      <c r="C342" s="912" t="s">
        <v>80</v>
      </c>
      <c r="D342" s="912" t="s">
        <v>1537</v>
      </c>
      <c r="E342" s="934">
        <v>2931</v>
      </c>
      <c r="F342" s="926" t="s">
        <v>1787</v>
      </c>
      <c r="G342" s="928" t="s">
        <v>1788</v>
      </c>
      <c r="H342" s="926" t="s">
        <v>1646</v>
      </c>
      <c r="I342" s="912" t="s">
        <v>1540</v>
      </c>
      <c r="J342" s="912" t="s">
        <v>1541</v>
      </c>
      <c r="K342" s="935" t="s">
        <v>1542</v>
      </c>
      <c r="L342" s="934">
        <v>12</v>
      </c>
      <c r="M342" s="934">
        <f t="shared" si="14"/>
        <v>35172</v>
      </c>
      <c r="N342" s="934"/>
      <c r="O342" s="934">
        <v>12</v>
      </c>
      <c r="P342" s="934">
        <f t="shared" si="15"/>
        <v>35172</v>
      </c>
    </row>
    <row r="343" spans="1:16" x14ac:dyDescent="0.2">
      <c r="A343" s="912" t="s">
        <v>1536</v>
      </c>
      <c r="B343" s="912" t="s">
        <v>1333</v>
      </c>
      <c r="C343" s="912" t="s">
        <v>80</v>
      </c>
      <c r="D343" s="912" t="s">
        <v>1537</v>
      </c>
      <c r="E343" s="934">
        <v>2931</v>
      </c>
      <c r="F343" s="926" t="s">
        <v>1789</v>
      </c>
      <c r="G343" s="928" t="s">
        <v>1790</v>
      </c>
      <c r="H343" s="926" t="s">
        <v>1646</v>
      </c>
      <c r="I343" s="912" t="s">
        <v>1540</v>
      </c>
      <c r="J343" s="912" t="s">
        <v>1541</v>
      </c>
      <c r="K343" s="935" t="s">
        <v>1542</v>
      </c>
      <c r="L343" s="934">
        <v>12</v>
      </c>
      <c r="M343" s="934">
        <f t="shared" si="14"/>
        <v>35172</v>
      </c>
      <c r="N343" s="934"/>
      <c r="O343" s="934">
        <v>12</v>
      </c>
      <c r="P343" s="934">
        <f t="shared" si="15"/>
        <v>35172</v>
      </c>
    </row>
    <row r="344" spans="1:16" x14ac:dyDescent="0.2">
      <c r="A344" s="912" t="s">
        <v>1536</v>
      </c>
      <c r="B344" s="912" t="s">
        <v>1333</v>
      </c>
      <c r="C344" s="912" t="s">
        <v>80</v>
      </c>
      <c r="D344" s="912" t="s">
        <v>1537</v>
      </c>
      <c r="E344" s="934">
        <v>2931</v>
      </c>
      <c r="F344" s="926" t="s">
        <v>1791</v>
      </c>
      <c r="G344" s="928" t="s">
        <v>1792</v>
      </c>
      <c r="H344" s="926" t="s">
        <v>1594</v>
      </c>
      <c r="I344" s="912" t="s">
        <v>1540</v>
      </c>
      <c r="J344" s="912" t="s">
        <v>1541</v>
      </c>
      <c r="K344" s="935" t="s">
        <v>1542</v>
      </c>
      <c r="L344" s="934">
        <v>12</v>
      </c>
      <c r="M344" s="934">
        <f t="shared" si="14"/>
        <v>35172</v>
      </c>
      <c r="N344" s="934"/>
      <c r="O344" s="934">
        <v>12</v>
      </c>
      <c r="P344" s="934">
        <f t="shared" si="15"/>
        <v>35172</v>
      </c>
    </row>
    <row r="345" spans="1:16" x14ac:dyDescent="0.2">
      <c r="A345" s="912" t="s">
        <v>1536</v>
      </c>
      <c r="B345" s="912" t="s">
        <v>1333</v>
      </c>
      <c r="C345" s="912" t="s">
        <v>80</v>
      </c>
      <c r="D345" s="912" t="s">
        <v>1537</v>
      </c>
      <c r="E345" s="934">
        <v>2931</v>
      </c>
      <c r="F345" s="926" t="s">
        <v>1793</v>
      </c>
      <c r="G345" s="928" t="s">
        <v>1794</v>
      </c>
      <c r="H345" s="926" t="s">
        <v>1594</v>
      </c>
      <c r="I345" s="912" t="s">
        <v>1540</v>
      </c>
      <c r="J345" s="912" t="s">
        <v>1541</v>
      </c>
      <c r="K345" s="935" t="s">
        <v>1542</v>
      </c>
      <c r="L345" s="934">
        <v>12</v>
      </c>
      <c r="M345" s="934">
        <f t="shared" si="14"/>
        <v>35172</v>
      </c>
      <c r="N345" s="934"/>
      <c r="O345" s="934">
        <v>12</v>
      </c>
      <c r="P345" s="934">
        <f t="shared" si="15"/>
        <v>35172</v>
      </c>
    </row>
    <row r="346" spans="1:16" x14ac:dyDescent="0.2">
      <c r="A346" s="912" t="s">
        <v>1536</v>
      </c>
      <c r="B346" s="912" t="s">
        <v>1333</v>
      </c>
      <c r="C346" s="912" t="s">
        <v>80</v>
      </c>
      <c r="D346" s="912" t="s">
        <v>1537</v>
      </c>
      <c r="E346" s="934">
        <v>2931</v>
      </c>
      <c r="F346" s="926" t="s">
        <v>1795</v>
      </c>
      <c r="G346" s="928" t="s">
        <v>1796</v>
      </c>
      <c r="H346" s="926" t="s">
        <v>1594</v>
      </c>
      <c r="I346" s="912" t="s">
        <v>1540</v>
      </c>
      <c r="J346" s="912" t="s">
        <v>1541</v>
      </c>
      <c r="K346" s="935" t="s">
        <v>1542</v>
      </c>
      <c r="L346" s="934">
        <v>12</v>
      </c>
      <c r="M346" s="934">
        <f t="shared" si="14"/>
        <v>35172</v>
      </c>
      <c r="N346" s="934"/>
      <c r="O346" s="934">
        <v>12</v>
      </c>
      <c r="P346" s="934">
        <f t="shared" si="15"/>
        <v>35172</v>
      </c>
    </row>
    <row r="347" spans="1:16" x14ac:dyDescent="0.2">
      <c r="A347" s="912" t="s">
        <v>1536</v>
      </c>
      <c r="B347" s="912" t="s">
        <v>1333</v>
      </c>
      <c r="C347" s="912" t="s">
        <v>80</v>
      </c>
      <c r="D347" s="912" t="s">
        <v>1537</v>
      </c>
      <c r="E347" s="934">
        <v>2931</v>
      </c>
      <c r="F347" s="926" t="s">
        <v>1797</v>
      </c>
      <c r="G347" s="928" t="s">
        <v>1798</v>
      </c>
      <c r="H347" s="926" t="s">
        <v>1594</v>
      </c>
      <c r="I347" s="912" t="s">
        <v>1540</v>
      </c>
      <c r="J347" s="912" t="s">
        <v>1541</v>
      </c>
      <c r="K347" s="935" t="s">
        <v>1542</v>
      </c>
      <c r="L347" s="934">
        <v>12</v>
      </c>
      <c r="M347" s="934">
        <f t="shared" si="14"/>
        <v>35172</v>
      </c>
      <c r="N347" s="934"/>
      <c r="O347" s="934">
        <v>12</v>
      </c>
      <c r="P347" s="934">
        <f t="shared" si="15"/>
        <v>35172</v>
      </c>
    </row>
    <row r="348" spans="1:16" x14ac:dyDescent="0.2">
      <c r="A348" s="912" t="s">
        <v>1536</v>
      </c>
      <c r="B348" s="912" t="s">
        <v>1333</v>
      </c>
      <c r="C348" s="912" t="s">
        <v>80</v>
      </c>
      <c r="D348" s="912" t="s">
        <v>1537</v>
      </c>
      <c r="E348" s="934">
        <v>2931</v>
      </c>
      <c r="F348" s="926" t="s">
        <v>1799</v>
      </c>
      <c r="G348" s="928" t="s">
        <v>1800</v>
      </c>
      <c r="H348" s="926" t="s">
        <v>1594</v>
      </c>
      <c r="I348" s="912" t="s">
        <v>1540</v>
      </c>
      <c r="J348" s="912" t="s">
        <v>1541</v>
      </c>
      <c r="K348" s="935" t="s">
        <v>1542</v>
      </c>
      <c r="L348" s="934">
        <v>12</v>
      </c>
      <c r="M348" s="934">
        <f t="shared" si="14"/>
        <v>35172</v>
      </c>
      <c r="N348" s="934"/>
      <c r="O348" s="934">
        <v>12</v>
      </c>
      <c r="P348" s="934">
        <f t="shared" si="15"/>
        <v>35172</v>
      </c>
    </row>
    <row r="349" spans="1:16" x14ac:dyDescent="0.2">
      <c r="A349" s="912" t="s">
        <v>1536</v>
      </c>
      <c r="B349" s="912" t="s">
        <v>1333</v>
      </c>
      <c r="C349" s="912" t="s">
        <v>80</v>
      </c>
      <c r="D349" s="912" t="s">
        <v>1537</v>
      </c>
      <c r="E349" s="934">
        <v>5207</v>
      </c>
      <c r="F349" s="926" t="s">
        <v>1801</v>
      </c>
      <c r="G349" s="928" t="s">
        <v>1802</v>
      </c>
      <c r="H349" s="926" t="s">
        <v>1175</v>
      </c>
      <c r="I349" s="912" t="s">
        <v>1540</v>
      </c>
      <c r="J349" s="912" t="s">
        <v>1541</v>
      </c>
      <c r="K349" s="935" t="s">
        <v>1542</v>
      </c>
      <c r="L349" s="934">
        <v>12</v>
      </c>
      <c r="M349" s="934">
        <f t="shared" si="14"/>
        <v>62484</v>
      </c>
      <c r="N349" s="934"/>
      <c r="O349" s="934">
        <v>12</v>
      </c>
      <c r="P349" s="934">
        <f t="shared" si="15"/>
        <v>62484</v>
      </c>
    </row>
    <row r="350" spans="1:16" x14ac:dyDescent="0.2">
      <c r="A350" s="912" t="s">
        <v>1536</v>
      </c>
      <c r="B350" s="912" t="s">
        <v>1333</v>
      </c>
      <c r="C350" s="912" t="s">
        <v>80</v>
      </c>
      <c r="D350" s="912" t="s">
        <v>1537</v>
      </c>
      <c r="E350" s="934">
        <v>5207</v>
      </c>
      <c r="F350" s="926" t="s">
        <v>1803</v>
      </c>
      <c r="G350" s="928" t="s">
        <v>1804</v>
      </c>
      <c r="H350" s="926" t="s">
        <v>1175</v>
      </c>
      <c r="I350" s="912" t="s">
        <v>1540</v>
      </c>
      <c r="J350" s="912" t="s">
        <v>1541</v>
      </c>
      <c r="K350" s="935" t="s">
        <v>1542</v>
      </c>
      <c r="L350" s="934">
        <v>12</v>
      </c>
      <c r="M350" s="934">
        <f t="shared" si="14"/>
        <v>62484</v>
      </c>
      <c r="N350" s="934"/>
      <c r="O350" s="934">
        <v>12</v>
      </c>
      <c r="P350" s="934">
        <f t="shared" si="15"/>
        <v>62484</v>
      </c>
    </row>
    <row r="351" spans="1:16" x14ac:dyDescent="0.2">
      <c r="A351" s="912" t="s">
        <v>1536</v>
      </c>
      <c r="B351" s="912" t="s">
        <v>1333</v>
      </c>
      <c r="C351" s="912" t="s">
        <v>80</v>
      </c>
      <c r="D351" s="912" t="s">
        <v>1537</v>
      </c>
      <c r="E351" s="934">
        <v>5207</v>
      </c>
      <c r="F351" s="926" t="s">
        <v>1805</v>
      </c>
      <c r="G351" s="928" t="s">
        <v>1806</v>
      </c>
      <c r="H351" s="926" t="s">
        <v>1175</v>
      </c>
      <c r="I351" s="912" t="s">
        <v>1540</v>
      </c>
      <c r="J351" s="912" t="s">
        <v>1541</v>
      </c>
      <c r="K351" s="935" t="s">
        <v>1542</v>
      </c>
      <c r="L351" s="934">
        <v>12</v>
      </c>
      <c r="M351" s="934">
        <f t="shared" si="14"/>
        <v>62484</v>
      </c>
      <c r="N351" s="934"/>
      <c r="O351" s="934">
        <v>12</v>
      </c>
      <c r="P351" s="934">
        <f t="shared" si="15"/>
        <v>62484</v>
      </c>
    </row>
    <row r="352" spans="1:16" x14ac:dyDescent="0.2">
      <c r="A352" s="912" t="s">
        <v>1536</v>
      </c>
      <c r="B352" s="912" t="s">
        <v>1333</v>
      </c>
      <c r="C352" s="912" t="s">
        <v>80</v>
      </c>
      <c r="D352" s="912" t="s">
        <v>1537</v>
      </c>
      <c r="E352" s="934">
        <v>5207</v>
      </c>
      <c r="F352" s="926" t="s">
        <v>1807</v>
      </c>
      <c r="G352" s="928" t="s">
        <v>1808</v>
      </c>
      <c r="H352" s="926" t="s">
        <v>1175</v>
      </c>
      <c r="I352" s="912" t="s">
        <v>1540</v>
      </c>
      <c r="J352" s="912" t="s">
        <v>1541</v>
      </c>
      <c r="K352" s="935" t="s">
        <v>1542</v>
      </c>
      <c r="L352" s="934">
        <v>12</v>
      </c>
      <c r="M352" s="934">
        <f t="shared" si="14"/>
        <v>62484</v>
      </c>
      <c r="N352" s="934"/>
      <c r="O352" s="934">
        <v>12</v>
      </c>
      <c r="P352" s="934">
        <f t="shared" si="15"/>
        <v>62484</v>
      </c>
    </row>
    <row r="353" spans="1:16" x14ac:dyDescent="0.2">
      <c r="A353" s="912" t="s">
        <v>1536</v>
      </c>
      <c r="B353" s="912" t="s">
        <v>1333</v>
      </c>
      <c r="C353" s="912" t="s">
        <v>80</v>
      </c>
      <c r="D353" s="912" t="s">
        <v>1537</v>
      </c>
      <c r="E353" s="934">
        <v>4000</v>
      </c>
      <c r="F353" s="926" t="s">
        <v>1809</v>
      </c>
      <c r="G353" s="926" t="s">
        <v>1810</v>
      </c>
      <c r="H353" s="926" t="s">
        <v>1175</v>
      </c>
      <c r="I353" s="912" t="s">
        <v>1541</v>
      </c>
      <c r="J353" s="912" t="s">
        <v>1541</v>
      </c>
      <c r="K353" s="935" t="s">
        <v>1542</v>
      </c>
      <c r="L353" s="934">
        <v>12</v>
      </c>
      <c r="M353" s="934">
        <f t="shared" si="14"/>
        <v>48000</v>
      </c>
      <c r="N353" s="934"/>
      <c r="O353" s="934">
        <v>12</v>
      </c>
      <c r="P353" s="934">
        <f t="shared" si="15"/>
        <v>48000</v>
      </c>
    </row>
    <row r="354" spans="1:16" x14ac:dyDescent="0.2">
      <c r="A354" s="912" t="s">
        <v>1536</v>
      </c>
      <c r="B354" s="912" t="s">
        <v>1333</v>
      </c>
      <c r="C354" s="912" t="s">
        <v>80</v>
      </c>
      <c r="D354" s="912" t="s">
        <v>1537</v>
      </c>
      <c r="E354" s="934">
        <v>4568</v>
      </c>
      <c r="F354" s="926" t="s">
        <v>1811</v>
      </c>
      <c r="G354" s="926" t="s">
        <v>1812</v>
      </c>
      <c r="H354" s="926" t="s">
        <v>1175</v>
      </c>
      <c r="I354" s="912" t="s">
        <v>1541</v>
      </c>
      <c r="J354" s="912" t="s">
        <v>1541</v>
      </c>
      <c r="K354" s="935" t="s">
        <v>1542</v>
      </c>
      <c r="L354" s="934">
        <v>12</v>
      </c>
      <c r="M354" s="934">
        <f t="shared" si="14"/>
        <v>54816</v>
      </c>
      <c r="N354" s="934"/>
      <c r="O354" s="934">
        <v>12</v>
      </c>
      <c r="P354" s="934">
        <f t="shared" si="15"/>
        <v>54816</v>
      </c>
    </row>
    <row r="355" spans="1:16" x14ac:dyDescent="0.2">
      <c r="A355" s="912" t="s">
        <v>1536</v>
      </c>
      <c r="B355" s="912" t="s">
        <v>1333</v>
      </c>
      <c r="C355" s="912" t="s">
        <v>80</v>
      </c>
      <c r="D355" s="912" t="s">
        <v>1537</v>
      </c>
      <c r="E355" s="934">
        <v>4500</v>
      </c>
      <c r="F355" s="926" t="s">
        <v>1813</v>
      </c>
      <c r="G355" s="926" t="s">
        <v>1814</v>
      </c>
      <c r="H355" s="926" t="s">
        <v>1175</v>
      </c>
      <c r="I355" s="912" t="s">
        <v>1541</v>
      </c>
      <c r="J355" s="912" t="s">
        <v>1541</v>
      </c>
      <c r="K355" s="935" t="s">
        <v>1542</v>
      </c>
      <c r="L355" s="934">
        <v>12</v>
      </c>
      <c r="M355" s="934">
        <f t="shared" si="14"/>
        <v>54000</v>
      </c>
      <c r="N355" s="934"/>
      <c r="O355" s="934">
        <v>12</v>
      </c>
      <c r="P355" s="934">
        <f t="shared" si="15"/>
        <v>54000</v>
      </c>
    </row>
    <row r="356" spans="1:16" x14ac:dyDescent="0.2">
      <c r="A356" s="912" t="s">
        <v>1536</v>
      </c>
      <c r="B356" s="912" t="s">
        <v>1333</v>
      </c>
      <c r="C356" s="912" t="s">
        <v>80</v>
      </c>
      <c r="D356" s="912" t="s">
        <v>1537</v>
      </c>
      <c r="E356" s="934">
        <v>4568</v>
      </c>
      <c r="F356" s="926" t="s">
        <v>1815</v>
      </c>
      <c r="G356" s="926" t="s">
        <v>1816</v>
      </c>
      <c r="H356" s="926" t="s">
        <v>1175</v>
      </c>
      <c r="I356" s="912" t="s">
        <v>1541</v>
      </c>
      <c r="J356" s="912" t="s">
        <v>1541</v>
      </c>
      <c r="K356" s="935" t="s">
        <v>1542</v>
      </c>
      <c r="L356" s="934">
        <v>12</v>
      </c>
      <c r="M356" s="934">
        <f t="shared" si="14"/>
        <v>54816</v>
      </c>
      <c r="N356" s="934"/>
      <c r="O356" s="934">
        <v>12</v>
      </c>
      <c r="P356" s="934">
        <f t="shared" si="15"/>
        <v>54816</v>
      </c>
    </row>
    <row r="357" spans="1:16" x14ac:dyDescent="0.2">
      <c r="A357" s="912" t="s">
        <v>1536</v>
      </c>
      <c r="B357" s="912" t="s">
        <v>1333</v>
      </c>
      <c r="C357" s="912" t="s">
        <v>80</v>
      </c>
      <c r="D357" s="912" t="s">
        <v>1537</v>
      </c>
      <c r="E357" s="934">
        <v>4500</v>
      </c>
      <c r="F357" s="926" t="s">
        <v>1817</v>
      </c>
      <c r="G357" s="926" t="s">
        <v>1818</v>
      </c>
      <c r="H357" s="926" t="s">
        <v>1175</v>
      </c>
      <c r="I357" s="912" t="s">
        <v>1541</v>
      </c>
      <c r="J357" s="912" t="s">
        <v>1541</v>
      </c>
      <c r="K357" s="935" t="s">
        <v>1542</v>
      </c>
      <c r="L357" s="934">
        <v>12</v>
      </c>
      <c r="M357" s="934">
        <f t="shared" si="14"/>
        <v>54000</v>
      </c>
      <c r="N357" s="934"/>
      <c r="O357" s="934">
        <v>12</v>
      </c>
      <c r="P357" s="934">
        <f t="shared" si="15"/>
        <v>54000</v>
      </c>
    </row>
    <row r="358" spans="1:16" x14ac:dyDescent="0.2">
      <c r="A358" s="912" t="s">
        <v>1536</v>
      </c>
      <c r="B358" s="912" t="s">
        <v>1333</v>
      </c>
      <c r="C358" s="912" t="s">
        <v>80</v>
      </c>
      <c r="D358" s="912" t="s">
        <v>1537</v>
      </c>
      <c r="E358" s="934">
        <v>4500</v>
      </c>
      <c r="F358" s="926"/>
      <c r="G358" s="926" t="s">
        <v>1565</v>
      </c>
      <c r="H358" s="926" t="s">
        <v>1175</v>
      </c>
      <c r="I358" s="912" t="s">
        <v>1541</v>
      </c>
      <c r="J358" s="912" t="s">
        <v>1541</v>
      </c>
      <c r="K358" s="935" t="s">
        <v>1542</v>
      </c>
      <c r="L358" s="934">
        <v>12</v>
      </c>
      <c r="M358" s="934">
        <f t="shared" si="14"/>
        <v>54000</v>
      </c>
      <c r="N358" s="934"/>
      <c r="O358" s="934">
        <v>12</v>
      </c>
      <c r="P358" s="934">
        <f t="shared" si="15"/>
        <v>54000</v>
      </c>
    </row>
    <row r="359" spans="1:16" x14ac:dyDescent="0.2">
      <c r="A359" s="912" t="s">
        <v>1536</v>
      </c>
      <c r="B359" s="912" t="s">
        <v>1333</v>
      </c>
      <c r="C359" s="912" t="s">
        <v>80</v>
      </c>
      <c r="D359" s="912" t="s">
        <v>1537</v>
      </c>
      <c r="E359" s="934">
        <v>3500</v>
      </c>
      <c r="F359" s="926" t="s">
        <v>1819</v>
      </c>
      <c r="G359" s="926" t="s">
        <v>1820</v>
      </c>
      <c r="H359" s="926" t="s">
        <v>1573</v>
      </c>
      <c r="I359" s="912" t="s">
        <v>1541</v>
      </c>
      <c r="J359" s="912" t="s">
        <v>1541</v>
      </c>
      <c r="K359" s="935" t="s">
        <v>1542</v>
      </c>
      <c r="L359" s="934">
        <v>12</v>
      </c>
      <c r="M359" s="934">
        <f t="shared" si="14"/>
        <v>42000</v>
      </c>
      <c r="N359" s="934"/>
      <c r="O359" s="934">
        <v>12</v>
      </c>
      <c r="P359" s="934">
        <f t="shared" si="15"/>
        <v>42000</v>
      </c>
    </row>
    <row r="360" spans="1:16" x14ac:dyDescent="0.2">
      <c r="A360" s="912" t="s">
        <v>1536</v>
      </c>
      <c r="B360" s="912" t="s">
        <v>1333</v>
      </c>
      <c r="C360" s="912" t="s">
        <v>80</v>
      </c>
      <c r="D360" s="912" t="s">
        <v>1537</v>
      </c>
      <c r="E360" s="934">
        <v>4500</v>
      </c>
      <c r="F360" s="926" t="s">
        <v>1821</v>
      </c>
      <c r="G360" s="926" t="s">
        <v>1822</v>
      </c>
      <c r="H360" s="926" t="s">
        <v>1573</v>
      </c>
      <c r="I360" s="912" t="s">
        <v>1541</v>
      </c>
      <c r="J360" s="912" t="s">
        <v>1541</v>
      </c>
      <c r="K360" s="935" t="s">
        <v>1542</v>
      </c>
      <c r="L360" s="934">
        <v>12</v>
      </c>
      <c r="M360" s="934">
        <f t="shared" si="14"/>
        <v>54000</v>
      </c>
      <c r="N360" s="934"/>
      <c r="O360" s="934">
        <v>12</v>
      </c>
      <c r="P360" s="934">
        <f t="shared" si="15"/>
        <v>54000</v>
      </c>
    </row>
    <row r="361" spans="1:16" x14ac:dyDescent="0.2">
      <c r="A361" s="912" t="s">
        <v>1536</v>
      </c>
      <c r="B361" s="912" t="s">
        <v>1333</v>
      </c>
      <c r="C361" s="912" t="s">
        <v>80</v>
      </c>
      <c r="D361" s="912" t="s">
        <v>1537</v>
      </c>
      <c r="E361" s="934">
        <v>4500</v>
      </c>
      <c r="F361" s="926" t="s">
        <v>1823</v>
      </c>
      <c r="G361" s="926" t="s">
        <v>1824</v>
      </c>
      <c r="H361" s="926" t="s">
        <v>1825</v>
      </c>
      <c r="I361" s="912" t="s">
        <v>1541</v>
      </c>
      <c r="J361" s="912" t="s">
        <v>1541</v>
      </c>
      <c r="K361" s="935" t="s">
        <v>1542</v>
      </c>
      <c r="L361" s="934">
        <v>12</v>
      </c>
      <c r="M361" s="934">
        <f t="shared" si="14"/>
        <v>54000</v>
      </c>
      <c r="N361" s="934"/>
      <c r="O361" s="934">
        <v>12</v>
      </c>
      <c r="P361" s="934">
        <f t="shared" si="15"/>
        <v>54000</v>
      </c>
    </row>
    <row r="362" spans="1:16" x14ac:dyDescent="0.2">
      <c r="A362" s="912" t="s">
        <v>1536</v>
      </c>
      <c r="B362" s="912" t="s">
        <v>1333</v>
      </c>
      <c r="C362" s="912" t="s">
        <v>80</v>
      </c>
      <c r="D362" s="912" t="s">
        <v>1537</v>
      </c>
      <c r="E362" s="934">
        <v>4568</v>
      </c>
      <c r="F362" s="926" t="s">
        <v>1826</v>
      </c>
      <c r="G362" s="926" t="s">
        <v>1827</v>
      </c>
      <c r="H362" s="926" t="s">
        <v>1582</v>
      </c>
      <c r="I362" s="912" t="s">
        <v>1541</v>
      </c>
      <c r="J362" s="912" t="s">
        <v>1541</v>
      </c>
      <c r="K362" s="935" t="s">
        <v>1542</v>
      </c>
      <c r="L362" s="934">
        <v>12</v>
      </c>
      <c r="M362" s="934">
        <f t="shared" si="14"/>
        <v>54816</v>
      </c>
      <c r="N362" s="934"/>
      <c r="O362" s="934">
        <v>12</v>
      </c>
      <c r="P362" s="934">
        <f t="shared" si="15"/>
        <v>54816</v>
      </c>
    </row>
    <row r="363" spans="1:16" x14ac:dyDescent="0.2">
      <c r="A363" s="912" t="s">
        <v>1536</v>
      </c>
      <c r="B363" s="912" t="s">
        <v>1333</v>
      </c>
      <c r="C363" s="912" t="s">
        <v>80</v>
      </c>
      <c r="D363" s="912" t="s">
        <v>1537</v>
      </c>
      <c r="E363" s="934">
        <v>2239</v>
      </c>
      <c r="F363" s="926" t="s">
        <v>1828</v>
      </c>
      <c r="G363" s="926" t="s">
        <v>1829</v>
      </c>
      <c r="H363" s="926" t="s">
        <v>1594</v>
      </c>
      <c r="I363" s="912" t="s">
        <v>1541</v>
      </c>
      <c r="J363" s="912" t="s">
        <v>1541</v>
      </c>
      <c r="K363" s="935" t="s">
        <v>1542</v>
      </c>
      <c r="L363" s="934">
        <v>12</v>
      </c>
      <c r="M363" s="934">
        <f t="shared" si="14"/>
        <v>26868</v>
      </c>
      <c r="N363" s="934"/>
      <c r="O363" s="934">
        <v>12</v>
      </c>
      <c r="P363" s="934">
        <f t="shared" si="15"/>
        <v>26868</v>
      </c>
    </row>
    <row r="364" spans="1:16" x14ac:dyDescent="0.2">
      <c r="A364" s="912" t="s">
        <v>1536</v>
      </c>
      <c r="B364" s="912" t="s">
        <v>1333</v>
      </c>
      <c r="C364" s="912" t="s">
        <v>80</v>
      </c>
      <c r="D364" s="912" t="s">
        <v>1537</v>
      </c>
      <c r="E364" s="934">
        <v>2000</v>
      </c>
      <c r="F364" s="926" t="s">
        <v>1830</v>
      </c>
      <c r="G364" s="926" t="s">
        <v>1831</v>
      </c>
      <c r="H364" s="926" t="s">
        <v>1594</v>
      </c>
      <c r="I364" s="912" t="s">
        <v>1541</v>
      </c>
      <c r="J364" s="912" t="s">
        <v>1541</v>
      </c>
      <c r="K364" s="935" t="s">
        <v>1542</v>
      </c>
      <c r="L364" s="934">
        <v>12</v>
      </c>
      <c r="M364" s="934">
        <f t="shared" si="14"/>
        <v>24000</v>
      </c>
      <c r="N364" s="934"/>
      <c r="O364" s="934">
        <v>12</v>
      </c>
      <c r="P364" s="934">
        <f t="shared" si="15"/>
        <v>24000</v>
      </c>
    </row>
    <row r="365" spans="1:16" x14ac:dyDescent="0.2">
      <c r="A365" s="912" t="s">
        <v>1536</v>
      </c>
      <c r="B365" s="912" t="s">
        <v>1333</v>
      </c>
      <c r="C365" s="912" t="s">
        <v>80</v>
      </c>
      <c r="D365" s="912" t="s">
        <v>1537</v>
      </c>
      <c r="E365" s="934">
        <v>2000</v>
      </c>
      <c r="F365" s="926" t="s">
        <v>1832</v>
      </c>
      <c r="G365" s="926" t="s">
        <v>1833</v>
      </c>
      <c r="H365" s="926" t="s">
        <v>1594</v>
      </c>
      <c r="I365" s="912" t="s">
        <v>1541</v>
      </c>
      <c r="J365" s="912" t="s">
        <v>1541</v>
      </c>
      <c r="K365" s="935" t="s">
        <v>1542</v>
      </c>
      <c r="L365" s="934">
        <v>12</v>
      </c>
      <c r="M365" s="934">
        <f t="shared" si="14"/>
        <v>24000</v>
      </c>
      <c r="N365" s="934"/>
      <c r="O365" s="934">
        <v>12</v>
      </c>
      <c r="P365" s="934">
        <f t="shared" si="15"/>
        <v>24000</v>
      </c>
    </row>
    <row r="366" spans="1:16" x14ac:dyDescent="0.2">
      <c r="A366" s="912" t="s">
        <v>1536</v>
      </c>
      <c r="B366" s="912" t="s">
        <v>1333</v>
      </c>
      <c r="C366" s="912" t="s">
        <v>80</v>
      </c>
      <c r="D366" s="912" t="s">
        <v>1537</v>
      </c>
      <c r="E366" s="934">
        <v>2000</v>
      </c>
      <c r="F366" s="926" t="s">
        <v>1834</v>
      </c>
      <c r="G366" s="926" t="s">
        <v>1835</v>
      </c>
      <c r="H366" s="926" t="s">
        <v>1594</v>
      </c>
      <c r="I366" s="912" t="s">
        <v>1541</v>
      </c>
      <c r="J366" s="912" t="s">
        <v>1541</v>
      </c>
      <c r="K366" s="935" t="s">
        <v>1542</v>
      </c>
      <c r="L366" s="934">
        <v>12</v>
      </c>
      <c r="M366" s="934">
        <f t="shared" si="14"/>
        <v>24000</v>
      </c>
      <c r="N366" s="934"/>
      <c r="O366" s="934">
        <v>12</v>
      </c>
      <c r="P366" s="934">
        <f t="shared" si="15"/>
        <v>24000</v>
      </c>
    </row>
    <row r="367" spans="1:16" x14ac:dyDescent="0.2">
      <c r="A367" s="912" t="s">
        <v>1536</v>
      </c>
      <c r="B367" s="912" t="s">
        <v>1333</v>
      </c>
      <c r="C367" s="912" t="s">
        <v>80</v>
      </c>
      <c r="D367" s="912" t="s">
        <v>1537</v>
      </c>
      <c r="E367" s="934">
        <v>2000</v>
      </c>
      <c r="F367" s="926" t="s">
        <v>1836</v>
      </c>
      <c r="G367" s="926" t="s">
        <v>1837</v>
      </c>
      <c r="H367" s="926" t="s">
        <v>1594</v>
      </c>
      <c r="I367" s="912" t="s">
        <v>1541</v>
      </c>
      <c r="J367" s="912" t="s">
        <v>1541</v>
      </c>
      <c r="K367" s="935" t="s">
        <v>1542</v>
      </c>
      <c r="L367" s="934">
        <v>12</v>
      </c>
      <c r="M367" s="934">
        <f t="shared" si="14"/>
        <v>24000</v>
      </c>
      <c r="N367" s="934"/>
      <c r="O367" s="934">
        <v>12</v>
      </c>
      <c r="P367" s="934">
        <f t="shared" si="15"/>
        <v>24000</v>
      </c>
    </row>
    <row r="368" spans="1:16" x14ac:dyDescent="0.2">
      <c r="A368" s="912" t="s">
        <v>1536</v>
      </c>
      <c r="B368" s="912" t="s">
        <v>1333</v>
      </c>
      <c r="C368" s="912" t="s">
        <v>80</v>
      </c>
      <c r="D368" s="912" t="s">
        <v>1537</v>
      </c>
      <c r="E368" s="934">
        <v>2000</v>
      </c>
      <c r="F368" s="926" t="s">
        <v>1838</v>
      </c>
      <c r="G368" s="926" t="s">
        <v>1839</v>
      </c>
      <c r="H368" s="926" t="s">
        <v>1594</v>
      </c>
      <c r="I368" s="912" t="s">
        <v>1541</v>
      </c>
      <c r="J368" s="912" t="s">
        <v>1541</v>
      </c>
      <c r="K368" s="935" t="s">
        <v>1542</v>
      </c>
      <c r="L368" s="934">
        <v>12</v>
      </c>
      <c r="M368" s="934">
        <f t="shared" si="14"/>
        <v>24000</v>
      </c>
      <c r="N368" s="934"/>
      <c r="O368" s="934">
        <v>12</v>
      </c>
      <c r="P368" s="934">
        <f t="shared" si="15"/>
        <v>24000</v>
      </c>
    </row>
    <row r="369" spans="1:16" x14ac:dyDescent="0.2">
      <c r="A369" s="912" t="s">
        <v>1536</v>
      </c>
      <c r="B369" s="912" t="s">
        <v>1333</v>
      </c>
      <c r="C369" s="912" t="s">
        <v>80</v>
      </c>
      <c r="D369" s="912" t="s">
        <v>1537</v>
      </c>
      <c r="E369" s="934">
        <v>2000</v>
      </c>
      <c r="F369" s="926" t="s">
        <v>1840</v>
      </c>
      <c r="G369" s="926" t="s">
        <v>1841</v>
      </c>
      <c r="H369" s="926" t="s">
        <v>1594</v>
      </c>
      <c r="I369" s="912" t="s">
        <v>1541</v>
      </c>
      <c r="J369" s="912" t="s">
        <v>1541</v>
      </c>
      <c r="K369" s="935" t="s">
        <v>1542</v>
      </c>
      <c r="L369" s="934">
        <v>12</v>
      </c>
      <c r="M369" s="934">
        <f t="shared" si="14"/>
        <v>24000</v>
      </c>
      <c r="N369" s="934"/>
      <c r="O369" s="934">
        <v>12</v>
      </c>
      <c r="P369" s="934">
        <f t="shared" si="15"/>
        <v>24000</v>
      </c>
    </row>
    <row r="370" spans="1:16" x14ac:dyDescent="0.2">
      <c r="A370" s="912" t="s">
        <v>1536</v>
      </c>
      <c r="B370" s="912" t="s">
        <v>1333</v>
      </c>
      <c r="C370" s="912" t="s">
        <v>80</v>
      </c>
      <c r="D370" s="912" t="s">
        <v>1537</v>
      </c>
      <c r="E370" s="934">
        <v>2000</v>
      </c>
      <c r="F370" s="926" t="s">
        <v>1842</v>
      </c>
      <c r="G370" s="926" t="s">
        <v>1843</v>
      </c>
      <c r="H370" s="926" t="s">
        <v>1594</v>
      </c>
      <c r="I370" s="912" t="s">
        <v>1541</v>
      </c>
      <c r="J370" s="912" t="s">
        <v>1541</v>
      </c>
      <c r="K370" s="935" t="s">
        <v>1542</v>
      </c>
      <c r="L370" s="934">
        <v>12</v>
      </c>
      <c r="M370" s="934">
        <f t="shared" si="14"/>
        <v>24000</v>
      </c>
      <c r="N370" s="934"/>
      <c r="O370" s="934">
        <v>12</v>
      </c>
      <c r="P370" s="934">
        <f t="shared" si="15"/>
        <v>24000</v>
      </c>
    </row>
    <row r="371" spans="1:16" x14ac:dyDescent="0.2">
      <c r="A371" s="912" t="s">
        <v>1536</v>
      </c>
      <c r="B371" s="912" t="s">
        <v>1333</v>
      </c>
      <c r="C371" s="912" t="s">
        <v>80</v>
      </c>
      <c r="D371" s="912" t="s">
        <v>1537</v>
      </c>
      <c r="E371" s="934">
        <v>2000</v>
      </c>
      <c r="F371" s="926" t="s">
        <v>1844</v>
      </c>
      <c r="G371" s="926" t="s">
        <v>1845</v>
      </c>
      <c r="H371" s="926" t="s">
        <v>1594</v>
      </c>
      <c r="I371" s="912" t="s">
        <v>1541</v>
      </c>
      <c r="J371" s="912" t="s">
        <v>1541</v>
      </c>
      <c r="K371" s="935" t="s">
        <v>1542</v>
      </c>
      <c r="L371" s="934">
        <v>12</v>
      </c>
      <c r="M371" s="934">
        <f t="shared" si="14"/>
        <v>24000</v>
      </c>
      <c r="N371" s="934"/>
      <c r="O371" s="934">
        <v>12</v>
      </c>
      <c r="P371" s="934">
        <f t="shared" si="15"/>
        <v>24000</v>
      </c>
    </row>
    <row r="372" spans="1:16" x14ac:dyDescent="0.2">
      <c r="A372" s="912" t="s">
        <v>1536</v>
      </c>
      <c r="B372" s="912" t="s">
        <v>1333</v>
      </c>
      <c r="C372" s="912" t="s">
        <v>80</v>
      </c>
      <c r="D372" s="912" t="s">
        <v>1537</v>
      </c>
      <c r="E372" s="934">
        <v>2000</v>
      </c>
      <c r="F372" s="926" t="s">
        <v>1846</v>
      </c>
      <c r="G372" s="926" t="s">
        <v>1847</v>
      </c>
      <c r="H372" s="926" t="s">
        <v>1594</v>
      </c>
      <c r="I372" s="912" t="s">
        <v>1541</v>
      </c>
      <c r="J372" s="912" t="s">
        <v>1541</v>
      </c>
      <c r="K372" s="935" t="s">
        <v>1542</v>
      </c>
      <c r="L372" s="934">
        <v>12</v>
      </c>
      <c r="M372" s="934">
        <f t="shared" si="14"/>
        <v>24000</v>
      </c>
      <c r="N372" s="934"/>
      <c r="O372" s="934">
        <v>12</v>
      </c>
      <c r="P372" s="934">
        <f t="shared" si="15"/>
        <v>24000</v>
      </c>
    </row>
    <row r="373" spans="1:16" x14ac:dyDescent="0.2">
      <c r="A373" s="912" t="s">
        <v>1536</v>
      </c>
      <c r="B373" s="912" t="s">
        <v>1333</v>
      </c>
      <c r="C373" s="912" t="s">
        <v>80</v>
      </c>
      <c r="D373" s="912" t="s">
        <v>1537</v>
      </c>
      <c r="E373" s="934">
        <v>2000</v>
      </c>
      <c r="F373" s="926" t="s">
        <v>1848</v>
      </c>
      <c r="G373" s="926" t="s">
        <v>1849</v>
      </c>
      <c r="H373" s="926" t="s">
        <v>1594</v>
      </c>
      <c r="I373" s="912" t="s">
        <v>1541</v>
      </c>
      <c r="J373" s="912" t="s">
        <v>1541</v>
      </c>
      <c r="K373" s="935" t="s">
        <v>1542</v>
      </c>
      <c r="L373" s="934">
        <v>12</v>
      </c>
      <c r="M373" s="934">
        <f t="shared" si="14"/>
        <v>24000</v>
      </c>
      <c r="N373" s="934"/>
      <c r="O373" s="934">
        <v>12</v>
      </c>
      <c r="P373" s="934">
        <f t="shared" si="15"/>
        <v>24000</v>
      </c>
    </row>
    <row r="374" spans="1:16" x14ac:dyDescent="0.2">
      <c r="A374" s="912" t="s">
        <v>1536</v>
      </c>
      <c r="B374" s="912" t="s">
        <v>1333</v>
      </c>
      <c r="C374" s="912" t="s">
        <v>80</v>
      </c>
      <c r="D374" s="912" t="s">
        <v>1537</v>
      </c>
      <c r="E374" s="934">
        <v>2000</v>
      </c>
      <c r="F374" s="926" t="s">
        <v>1850</v>
      </c>
      <c r="G374" s="926" t="s">
        <v>1851</v>
      </c>
      <c r="H374" s="926" t="s">
        <v>1594</v>
      </c>
      <c r="I374" s="912" t="s">
        <v>1541</v>
      </c>
      <c r="J374" s="912" t="s">
        <v>1541</v>
      </c>
      <c r="K374" s="935" t="s">
        <v>1542</v>
      </c>
      <c r="L374" s="934">
        <v>12</v>
      </c>
      <c r="M374" s="934">
        <f t="shared" si="14"/>
        <v>24000</v>
      </c>
      <c r="N374" s="934"/>
      <c r="O374" s="934">
        <v>12</v>
      </c>
      <c r="P374" s="934">
        <f t="shared" si="15"/>
        <v>24000</v>
      </c>
    </row>
    <row r="375" spans="1:16" x14ac:dyDescent="0.2">
      <c r="A375" s="912" t="s">
        <v>1536</v>
      </c>
      <c r="B375" s="912" t="s">
        <v>1333</v>
      </c>
      <c r="C375" s="912" t="s">
        <v>80</v>
      </c>
      <c r="D375" s="912" t="s">
        <v>1537</v>
      </c>
      <c r="E375" s="934">
        <v>2000</v>
      </c>
      <c r="F375" s="926" t="s">
        <v>1852</v>
      </c>
      <c r="G375" s="926" t="s">
        <v>1853</v>
      </c>
      <c r="H375" s="926" t="s">
        <v>1594</v>
      </c>
      <c r="I375" s="912" t="s">
        <v>1541</v>
      </c>
      <c r="J375" s="912" t="s">
        <v>1541</v>
      </c>
      <c r="K375" s="935" t="s">
        <v>1542</v>
      </c>
      <c r="L375" s="934">
        <v>12</v>
      </c>
      <c r="M375" s="934">
        <f t="shared" si="14"/>
        <v>24000</v>
      </c>
      <c r="N375" s="934"/>
      <c r="O375" s="934">
        <v>12</v>
      </c>
      <c r="P375" s="934">
        <f t="shared" si="15"/>
        <v>24000</v>
      </c>
    </row>
    <row r="376" spans="1:16" x14ac:dyDescent="0.2">
      <c r="A376" s="912" t="s">
        <v>1536</v>
      </c>
      <c r="B376" s="912" t="s">
        <v>1333</v>
      </c>
      <c r="C376" s="912" t="s">
        <v>80</v>
      </c>
      <c r="D376" s="912" t="s">
        <v>1537</v>
      </c>
      <c r="E376" s="934">
        <v>2000</v>
      </c>
      <c r="F376" s="926" t="s">
        <v>1854</v>
      </c>
      <c r="G376" s="926" t="s">
        <v>1855</v>
      </c>
      <c r="H376" s="926" t="s">
        <v>1594</v>
      </c>
      <c r="I376" s="912" t="s">
        <v>1541</v>
      </c>
      <c r="J376" s="912" t="s">
        <v>1541</v>
      </c>
      <c r="K376" s="935" t="s">
        <v>1542</v>
      </c>
      <c r="L376" s="934">
        <v>12</v>
      </c>
      <c r="M376" s="934">
        <f t="shared" si="14"/>
        <v>24000</v>
      </c>
      <c r="N376" s="934"/>
      <c r="O376" s="934">
        <v>12</v>
      </c>
      <c r="P376" s="934">
        <f t="shared" si="15"/>
        <v>24000</v>
      </c>
    </row>
    <row r="377" spans="1:16" x14ac:dyDescent="0.2">
      <c r="A377" s="912" t="s">
        <v>1536</v>
      </c>
      <c r="B377" s="912" t="s">
        <v>1333</v>
      </c>
      <c r="C377" s="912" t="s">
        <v>80</v>
      </c>
      <c r="D377" s="912" t="s">
        <v>1537</v>
      </c>
      <c r="E377" s="934">
        <v>2000</v>
      </c>
      <c r="F377" s="926" t="s">
        <v>1856</v>
      </c>
      <c r="G377" s="926" t="s">
        <v>1857</v>
      </c>
      <c r="H377" s="926" t="s">
        <v>1594</v>
      </c>
      <c r="I377" s="912" t="s">
        <v>1541</v>
      </c>
      <c r="J377" s="912" t="s">
        <v>1541</v>
      </c>
      <c r="K377" s="935" t="s">
        <v>1542</v>
      </c>
      <c r="L377" s="934">
        <v>12</v>
      </c>
      <c r="M377" s="934">
        <f t="shared" si="14"/>
        <v>24000</v>
      </c>
      <c r="N377" s="934"/>
      <c r="O377" s="934">
        <v>12</v>
      </c>
      <c r="P377" s="934">
        <f t="shared" si="15"/>
        <v>24000</v>
      </c>
    </row>
    <row r="378" spans="1:16" x14ac:dyDescent="0.2">
      <c r="A378" s="912" t="s">
        <v>1536</v>
      </c>
      <c r="B378" s="912" t="s">
        <v>1333</v>
      </c>
      <c r="C378" s="912" t="s">
        <v>80</v>
      </c>
      <c r="D378" s="912" t="s">
        <v>1537</v>
      </c>
      <c r="E378" s="934">
        <v>2000</v>
      </c>
      <c r="F378" s="926" t="s">
        <v>1858</v>
      </c>
      <c r="G378" s="926" t="s">
        <v>1859</v>
      </c>
      <c r="H378" s="926" t="s">
        <v>1594</v>
      </c>
      <c r="I378" s="912" t="s">
        <v>1541</v>
      </c>
      <c r="J378" s="912" t="s">
        <v>1541</v>
      </c>
      <c r="K378" s="935" t="s">
        <v>1542</v>
      </c>
      <c r="L378" s="934">
        <v>12</v>
      </c>
      <c r="M378" s="934">
        <f t="shared" si="14"/>
        <v>24000</v>
      </c>
      <c r="N378" s="934"/>
      <c r="O378" s="934">
        <v>12</v>
      </c>
      <c r="P378" s="934">
        <f t="shared" si="15"/>
        <v>24000</v>
      </c>
    </row>
    <row r="379" spans="1:16" x14ac:dyDescent="0.2">
      <c r="A379" s="912" t="s">
        <v>1536</v>
      </c>
      <c r="B379" s="912" t="s">
        <v>1333</v>
      </c>
      <c r="C379" s="912" t="s">
        <v>80</v>
      </c>
      <c r="D379" s="912" t="s">
        <v>1537</v>
      </c>
      <c r="E379" s="934">
        <v>2000</v>
      </c>
      <c r="F379" s="926" t="s">
        <v>1860</v>
      </c>
      <c r="G379" s="926" t="s">
        <v>1861</v>
      </c>
      <c r="H379" s="926" t="s">
        <v>1594</v>
      </c>
      <c r="I379" s="912" t="s">
        <v>1541</v>
      </c>
      <c r="J379" s="912" t="s">
        <v>1541</v>
      </c>
      <c r="K379" s="935" t="s">
        <v>1542</v>
      </c>
      <c r="L379" s="934">
        <v>12</v>
      </c>
      <c r="M379" s="934">
        <f t="shared" ref="M379:M442" si="16">+E379*12</f>
        <v>24000</v>
      </c>
      <c r="N379" s="934"/>
      <c r="O379" s="934">
        <v>12</v>
      </c>
      <c r="P379" s="934">
        <f t="shared" ref="P379:P442" si="17">+M379</f>
        <v>24000</v>
      </c>
    </row>
    <row r="380" spans="1:16" x14ac:dyDescent="0.2">
      <c r="A380" s="912" t="s">
        <v>1536</v>
      </c>
      <c r="B380" s="912" t="s">
        <v>1333</v>
      </c>
      <c r="C380" s="912" t="s">
        <v>80</v>
      </c>
      <c r="D380" s="912" t="s">
        <v>1537</v>
      </c>
      <c r="E380" s="934">
        <v>2000</v>
      </c>
      <c r="F380" s="926" t="s">
        <v>1862</v>
      </c>
      <c r="G380" s="926" t="s">
        <v>1863</v>
      </c>
      <c r="H380" s="926" t="s">
        <v>1594</v>
      </c>
      <c r="I380" s="912" t="s">
        <v>1541</v>
      </c>
      <c r="J380" s="912" t="s">
        <v>1541</v>
      </c>
      <c r="K380" s="935" t="s">
        <v>1542</v>
      </c>
      <c r="L380" s="934">
        <v>12</v>
      </c>
      <c r="M380" s="934">
        <f t="shared" si="16"/>
        <v>24000</v>
      </c>
      <c r="N380" s="934"/>
      <c r="O380" s="934">
        <v>12</v>
      </c>
      <c r="P380" s="934">
        <f t="shared" si="17"/>
        <v>24000</v>
      </c>
    </row>
    <row r="381" spans="1:16" x14ac:dyDescent="0.2">
      <c r="A381" s="912" t="s">
        <v>1536</v>
      </c>
      <c r="B381" s="912" t="s">
        <v>1333</v>
      </c>
      <c r="C381" s="912" t="s">
        <v>80</v>
      </c>
      <c r="D381" s="912" t="s">
        <v>1537</v>
      </c>
      <c r="E381" s="934">
        <v>2000</v>
      </c>
      <c r="F381" s="926" t="s">
        <v>1864</v>
      </c>
      <c r="G381" s="926" t="s">
        <v>1865</v>
      </c>
      <c r="H381" s="926" t="s">
        <v>1594</v>
      </c>
      <c r="I381" s="912" t="s">
        <v>1541</v>
      </c>
      <c r="J381" s="912" t="s">
        <v>1541</v>
      </c>
      <c r="K381" s="935" t="s">
        <v>1542</v>
      </c>
      <c r="L381" s="934">
        <v>12</v>
      </c>
      <c r="M381" s="934">
        <f t="shared" si="16"/>
        <v>24000</v>
      </c>
      <c r="N381" s="934"/>
      <c r="O381" s="934">
        <v>12</v>
      </c>
      <c r="P381" s="934">
        <f t="shared" si="17"/>
        <v>24000</v>
      </c>
    </row>
    <row r="382" spans="1:16" x14ac:dyDescent="0.2">
      <c r="A382" s="912" t="s">
        <v>1536</v>
      </c>
      <c r="B382" s="912" t="s">
        <v>1333</v>
      </c>
      <c r="C382" s="912" t="s">
        <v>80</v>
      </c>
      <c r="D382" s="912" t="s">
        <v>1537</v>
      </c>
      <c r="E382" s="934">
        <v>2000</v>
      </c>
      <c r="F382" s="926" t="s">
        <v>1866</v>
      </c>
      <c r="G382" s="926" t="s">
        <v>1867</v>
      </c>
      <c r="H382" s="926" t="s">
        <v>1594</v>
      </c>
      <c r="I382" s="912" t="s">
        <v>1541</v>
      </c>
      <c r="J382" s="912" t="s">
        <v>1541</v>
      </c>
      <c r="K382" s="935" t="s">
        <v>1542</v>
      </c>
      <c r="L382" s="934">
        <v>12</v>
      </c>
      <c r="M382" s="934">
        <f t="shared" si="16"/>
        <v>24000</v>
      </c>
      <c r="N382" s="934"/>
      <c r="O382" s="934">
        <v>12</v>
      </c>
      <c r="P382" s="934">
        <f t="shared" si="17"/>
        <v>24000</v>
      </c>
    </row>
    <row r="383" spans="1:16" x14ac:dyDescent="0.2">
      <c r="A383" s="912" t="s">
        <v>1536</v>
      </c>
      <c r="B383" s="912" t="s">
        <v>1333</v>
      </c>
      <c r="C383" s="912" t="s">
        <v>80</v>
      </c>
      <c r="D383" s="912" t="s">
        <v>1537</v>
      </c>
      <c r="E383" s="934">
        <v>2000</v>
      </c>
      <c r="F383" s="926" t="s">
        <v>1868</v>
      </c>
      <c r="G383" s="926" t="s">
        <v>1869</v>
      </c>
      <c r="H383" s="926" t="s">
        <v>1594</v>
      </c>
      <c r="I383" s="912" t="s">
        <v>1541</v>
      </c>
      <c r="J383" s="912" t="s">
        <v>1541</v>
      </c>
      <c r="K383" s="935" t="s">
        <v>1542</v>
      </c>
      <c r="L383" s="934">
        <v>12</v>
      </c>
      <c r="M383" s="934">
        <f t="shared" si="16"/>
        <v>24000</v>
      </c>
      <c r="N383" s="934"/>
      <c r="O383" s="934">
        <v>12</v>
      </c>
      <c r="P383" s="934">
        <f t="shared" si="17"/>
        <v>24000</v>
      </c>
    </row>
    <row r="384" spans="1:16" x14ac:dyDescent="0.2">
      <c r="A384" s="912" t="s">
        <v>1536</v>
      </c>
      <c r="B384" s="912" t="s">
        <v>1333</v>
      </c>
      <c r="C384" s="912" t="s">
        <v>80</v>
      </c>
      <c r="D384" s="912" t="s">
        <v>1537</v>
      </c>
      <c r="E384" s="934">
        <v>2000</v>
      </c>
      <c r="F384" s="926" t="s">
        <v>1870</v>
      </c>
      <c r="G384" s="926" t="s">
        <v>1871</v>
      </c>
      <c r="H384" s="926" t="s">
        <v>1594</v>
      </c>
      <c r="I384" s="912" t="s">
        <v>1541</v>
      </c>
      <c r="J384" s="912" t="s">
        <v>1541</v>
      </c>
      <c r="K384" s="935" t="s">
        <v>1542</v>
      </c>
      <c r="L384" s="934">
        <v>12</v>
      </c>
      <c r="M384" s="934">
        <f t="shared" si="16"/>
        <v>24000</v>
      </c>
      <c r="N384" s="934"/>
      <c r="O384" s="934">
        <v>12</v>
      </c>
      <c r="P384" s="934">
        <f t="shared" si="17"/>
        <v>24000</v>
      </c>
    </row>
    <row r="385" spans="1:16" x14ac:dyDescent="0.2">
      <c r="A385" s="912" t="s">
        <v>1536</v>
      </c>
      <c r="B385" s="912" t="s">
        <v>1333</v>
      </c>
      <c r="C385" s="912" t="s">
        <v>80</v>
      </c>
      <c r="D385" s="912" t="s">
        <v>1537</v>
      </c>
      <c r="E385" s="934">
        <v>2000</v>
      </c>
      <c r="F385" s="926" t="s">
        <v>1872</v>
      </c>
      <c r="G385" s="926" t="s">
        <v>1873</v>
      </c>
      <c r="H385" s="926" t="s">
        <v>1594</v>
      </c>
      <c r="I385" s="912" t="s">
        <v>1541</v>
      </c>
      <c r="J385" s="912" t="s">
        <v>1541</v>
      </c>
      <c r="K385" s="935" t="s">
        <v>1542</v>
      </c>
      <c r="L385" s="934">
        <v>12</v>
      </c>
      <c r="M385" s="934">
        <f t="shared" si="16"/>
        <v>24000</v>
      </c>
      <c r="N385" s="934"/>
      <c r="O385" s="934">
        <v>12</v>
      </c>
      <c r="P385" s="934">
        <f t="shared" si="17"/>
        <v>24000</v>
      </c>
    </row>
    <row r="386" spans="1:16" x14ac:dyDescent="0.2">
      <c r="A386" s="912" t="s">
        <v>1536</v>
      </c>
      <c r="B386" s="912" t="s">
        <v>1333</v>
      </c>
      <c r="C386" s="912" t="s">
        <v>80</v>
      </c>
      <c r="D386" s="912" t="s">
        <v>1537</v>
      </c>
      <c r="E386" s="934">
        <v>2000</v>
      </c>
      <c r="F386" s="926" t="s">
        <v>1874</v>
      </c>
      <c r="G386" s="926" t="s">
        <v>1875</v>
      </c>
      <c r="H386" s="926" t="s">
        <v>1594</v>
      </c>
      <c r="I386" s="912" t="s">
        <v>1541</v>
      </c>
      <c r="J386" s="912" t="s">
        <v>1541</v>
      </c>
      <c r="K386" s="935" t="s">
        <v>1542</v>
      </c>
      <c r="L386" s="934">
        <v>12</v>
      </c>
      <c r="M386" s="934">
        <f t="shared" si="16"/>
        <v>24000</v>
      </c>
      <c r="N386" s="934"/>
      <c r="O386" s="934">
        <v>12</v>
      </c>
      <c r="P386" s="934">
        <f t="shared" si="17"/>
        <v>24000</v>
      </c>
    </row>
    <row r="387" spans="1:16" x14ac:dyDescent="0.2">
      <c r="A387" s="912" t="s">
        <v>1536</v>
      </c>
      <c r="B387" s="912" t="s">
        <v>1333</v>
      </c>
      <c r="C387" s="912" t="s">
        <v>80</v>
      </c>
      <c r="D387" s="912" t="s">
        <v>1537</v>
      </c>
      <c r="E387" s="934">
        <v>2000</v>
      </c>
      <c r="F387" s="926"/>
      <c r="G387" s="926" t="s">
        <v>1565</v>
      </c>
      <c r="H387" s="926" t="s">
        <v>1594</v>
      </c>
      <c r="I387" s="912" t="s">
        <v>1541</v>
      </c>
      <c r="J387" s="912" t="s">
        <v>1541</v>
      </c>
      <c r="K387" s="935" t="s">
        <v>1542</v>
      </c>
      <c r="L387" s="934">
        <v>12</v>
      </c>
      <c r="M387" s="934">
        <f t="shared" si="16"/>
        <v>24000</v>
      </c>
      <c r="N387" s="934"/>
      <c r="O387" s="934">
        <v>12</v>
      </c>
      <c r="P387" s="934">
        <f t="shared" si="17"/>
        <v>24000</v>
      </c>
    </row>
    <row r="388" spans="1:16" x14ac:dyDescent="0.2">
      <c r="A388" s="912" t="s">
        <v>1536</v>
      </c>
      <c r="B388" s="912" t="s">
        <v>1333</v>
      </c>
      <c r="C388" s="912" t="s">
        <v>80</v>
      </c>
      <c r="D388" s="912" t="s">
        <v>1537</v>
      </c>
      <c r="E388" s="934">
        <v>1200</v>
      </c>
      <c r="F388" s="926" t="s">
        <v>1876</v>
      </c>
      <c r="G388" s="926" t="s">
        <v>1877</v>
      </c>
      <c r="H388" s="926" t="s">
        <v>1878</v>
      </c>
      <c r="I388" s="912" t="s">
        <v>1412</v>
      </c>
      <c r="J388" s="912" t="s">
        <v>1650</v>
      </c>
      <c r="K388" s="935" t="s">
        <v>1542</v>
      </c>
      <c r="L388" s="934">
        <v>12</v>
      </c>
      <c r="M388" s="934">
        <f t="shared" si="16"/>
        <v>14400</v>
      </c>
      <c r="N388" s="934"/>
      <c r="O388" s="934">
        <v>12</v>
      </c>
      <c r="P388" s="934">
        <f t="shared" si="17"/>
        <v>14400</v>
      </c>
    </row>
    <row r="389" spans="1:16" x14ac:dyDescent="0.2">
      <c r="A389" s="912" t="s">
        <v>1536</v>
      </c>
      <c r="B389" s="912" t="s">
        <v>1333</v>
      </c>
      <c r="C389" s="912" t="s">
        <v>80</v>
      </c>
      <c r="D389" s="912" t="s">
        <v>1537</v>
      </c>
      <c r="E389" s="934">
        <v>1200</v>
      </c>
      <c r="F389" s="926" t="s">
        <v>1879</v>
      </c>
      <c r="G389" s="926" t="s">
        <v>1880</v>
      </c>
      <c r="H389" s="926" t="s">
        <v>1878</v>
      </c>
      <c r="I389" s="912" t="s">
        <v>1412</v>
      </c>
      <c r="J389" s="912" t="s">
        <v>1650</v>
      </c>
      <c r="K389" s="935" t="s">
        <v>1542</v>
      </c>
      <c r="L389" s="934">
        <v>12</v>
      </c>
      <c r="M389" s="934">
        <f t="shared" si="16"/>
        <v>14400</v>
      </c>
      <c r="N389" s="934"/>
      <c r="O389" s="934">
        <v>12</v>
      </c>
      <c r="P389" s="934">
        <f t="shared" si="17"/>
        <v>14400</v>
      </c>
    </row>
    <row r="390" spans="1:16" x14ac:dyDescent="0.2">
      <c r="A390" s="912" t="s">
        <v>1536</v>
      </c>
      <c r="B390" s="912" t="s">
        <v>1333</v>
      </c>
      <c r="C390" s="912" t="s">
        <v>80</v>
      </c>
      <c r="D390" s="912" t="s">
        <v>1537</v>
      </c>
      <c r="E390" s="934">
        <v>1200</v>
      </c>
      <c r="F390" s="926" t="s">
        <v>1881</v>
      </c>
      <c r="G390" s="926" t="s">
        <v>1882</v>
      </c>
      <c r="H390" s="926" t="s">
        <v>1878</v>
      </c>
      <c r="I390" s="912" t="s">
        <v>1412</v>
      </c>
      <c r="J390" s="912" t="s">
        <v>1650</v>
      </c>
      <c r="K390" s="935" t="s">
        <v>1542</v>
      </c>
      <c r="L390" s="934">
        <v>12</v>
      </c>
      <c r="M390" s="934">
        <f t="shared" si="16"/>
        <v>14400</v>
      </c>
      <c r="N390" s="934"/>
      <c r="O390" s="934">
        <v>12</v>
      </c>
      <c r="P390" s="934">
        <f t="shared" si="17"/>
        <v>14400</v>
      </c>
    </row>
    <row r="391" spans="1:16" x14ac:dyDescent="0.2">
      <c r="A391" s="912" t="s">
        <v>1536</v>
      </c>
      <c r="B391" s="912" t="s">
        <v>1333</v>
      </c>
      <c r="C391" s="912" t="s">
        <v>80</v>
      </c>
      <c r="D391" s="912" t="s">
        <v>1537</v>
      </c>
      <c r="E391" s="934">
        <v>1200</v>
      </c>
      <c r="F391" s="926" t="s">
        <v>1883</v>
      </c>
      <c r="G391" s="926" t="s">
        <v>1884</v>
      </c>
      <c r="H391" s="926" t="s">
        <v>1885</v>
      </c>
      <c r="I391" s="912" t="s">
        <v>1412</v>
      </c>
      <c r="J391" s="912" t="s">
        <v>1650</v>
      </c>
      <c r="K391" s="935" t="s">
        <v>1542</v>
      </c>
      <c r="L391" s="934">
        <v>12</v>
      </c>
      <c r="M391" s="934">
        <f t="shared" si="16"/>
        <v>14400</v>
      </c>
      <c r="N391" s="934"/>
      <c r="O391" s="934">
        <v>12</v>
      </c>
      <c r="P391" s="934">
        <f t="shared" si="17"/>
        <v>14400</v>
      </c>
    </row>
    <row r="392" spans="1:16" x14ac:dyDescent="0.2">
      <c r="A392" s="912" t="s">
        <v>1536</v>
      </c>
      <c r="B392" s="912" t="s">
        <v>1333</v>
      </c>
      <c r="C392" s="912" t="s">
        <v>80</v>
      </c>
      <c r="D392" s="912" t="s">
        <v>1537</v>
      </c>
      <c r="E392" s="934">
        <v>1200</v>
      </c>
      <c r="F392" s="926" t="s">
        <v>1886</v>
      </c>
      <c r="G392" s="926" t="s">
        <v>1887</v>
      </c>
      <c r="H392" s="926" t="s">
        <v>1885</v>
      </c>
      <c r="I392" s="912" t="s">
        <v>1412</v>
      </c>
      <c r="J392" s="912" t="s">
        <v>1650</v>
      </c>
      <c r="K392" s="935" t="s">
        <v>1542</v>
      </c>
      <c r="L392" s="934">
        <v>12</v>
      </c>
      <c r="M392" s="934">
        <f t="shared" si="16"/>
        <v>14400</v>
      </c>
      <c r="N392" s="934"/>
      <c r="O392" s="934">
        <v>12</v>
      </c>
      <c r="P392" s="934">
        <f t="shared" si="17"/>
        <v>14400</v>
      </c>
    </row>
    <row r="393" spans="1:16" x14ac:dyDescent="0.2">
      <c r="A393" s="912" t="s">
        <v>1536</v>
      </c>
      <c r="B393" s="912" t="s">
        <v>1333</v>
      </c>
      <c r="C393" s="912" t="s">
        <v>80</v>
      </c>
      <c r="D393" s="912" t="s">
        <v>1537</v>
      </c>
      <c r="E393" s="934">
        <v>1200</v>
      </c>
      <c r="F393" s="926" t="s">
        <v>1888</v>
      </c>
      <c r="G393" s="926" t="s">
        <v>1889</v>
      </c>
      <c r="H393" s="926" t="s">
        <v>1890</v>
      </c>
      <c r="I393" s="912" t="s">
        <v>1412</v>
      </c>
      <c r="J393" s="912" t="s">
        <v>1650</v>
      </c>
      <c r="K393" s="935" t="s">
        <v>1542</v>
      </c>
      <c r="L393" s="934">
        <v>12</v>
      </c>
      <c r="M393" s="934">
        <f t="shared" si="16"/>
        <v>14400</v>
      </c>
      <c r="N393" s="934"/>
      <c r="O393" s="934">
        <v>12</v>
      </c>
      <c r="P393" s="934">
        <f t="shared" si="17"/>
        <v>14400</v>
      </c>
    </row>
    <row r="394" spans="1:16" x14ac:dyDescent="0.2">
      <c r="A394" s="912" t="s">
        <v>1536</v>
      </c>
      <c r="B394" s="912" t="s">
        <v>1333</v>
      </c>
      <c r="C394" s="912" t="s">
        <v>80</v>
      </c>
      <c r="D394" s="912" t="s">
        <v>1537</v>
      </c>
      <c r="E394" s="934">
        <v>1200</v>
      </c>
      <c r="F394" s="926" t="s">
        <v>1891</v>
      </c>
      <c r="G394" s="926" t="s">
        <v>1892</v>
      </c>
      <c r="H394" s="926" t="s">
        <v>1890</v>
      </c>
      <c r="I394" s="912" t="s">
        <v>1412</v>
      </c>
      <c r="J394" s="912" t="s">
        <v>1650</v>
      </c>
      <c r="K394" s="935" t="s">
        <v>1542</v>
      </c>
      <c r="L394" s="934">
        <v>12</v>
      </c>
      <c r="M394" s="934">
        <f t="shared" si="16"/>
        <v>14400</v>
      </c>
      <c r="N394" s="934"/>
      <c r="O394" s="934">
        <v>12</v>
      </c>
      <c r="P394" s="934">
        <f t="shared" si="17"/>
        <v>14400</v>
      </c>
    </row>
    <row r="395" spans="1:16" x14ac:dyDescent="0.2">
      <c r="A395" s="912" t="s">
        <v>1536</v>
      </c>
      <c r="B395" s="912" t="s">
        <v>1333</v>
      </c>
      <c r="C395" s="912" t="s">
        <v>80</v>
      </c>
      <c r="D395" s="912" t="s">
        <v>1537</v>
      </c>
      <c r="E395" s="934">
        <v>1200</v>
      </c>
      <c r="F395" s="926" t="s">
        <v>1893</v>
      </c>
      <c r="G395" s="926" t="s">
        <v>1894</v>
      </c>
      <c r="H395" s="926" t="s">
        <v>1715</v>
      </c>
      <c r="I395" s="912" t="s">
        <v>1412</v>
      </c>
      <c r="J395" s="912" t="s">
        <v>1650</v>
      </c>
      <c r="K395" s="935" t="s">
        <v>1542</v>
      </c>
      <c r="L395" s="934">
        <v>12</v>
      </c>
      <c r="M395" s="934">
        <f t="shared" si="16"/>
        <v>14400</v>
      </c>
      <c r="N395" s="934"/>
      <c r="O395" s="934">
        <v>12</v>
      </c>
      <c r="P395" s="934">
        <f t="shared" si="17"/>
        <v>14400</v>
      </c>
    </row>
    <row r="396" spans="1:16" x14ac:dyDescent="0.2">
      <c r="A396" s="912" t="s">
        <v>1536</v>
      </c>
      <c r="B396" s="912" t="s">
        <v>1333</v>
      </c>
      <c r="C396" s="912" t="s">
        <v>80</v>
      </c>
      <c r="D396" s="912" t="s">
        <v>1537</v>
      </c>
      <c r="E396" s="934">
        <v>930</v>
      </c>
      <c r="F396" s="926" t="s">
        <v>1895</v>
      </c>
      <c r="G396" s="926" t="s">
        <v>1896</v>
      </c>
      <c r="H396" s="926" t="s">
        <v>1897</v>
      </c>
      <c r="I396" s="912" t="s">
        <v>1412</v>
      </c>
      <c r="J396" s="912" t="s">
        <v>1650</v>
      </c>
      <c r="K396" s="935" t="s">
        <v>1542</v>
      </c>
      <c r="L396" s="934">
        <v>12</v>
      </c>
      <c r="M396" s="934">
        <f t="shared" si="16"/>
        <v>11160</v>
      </c>
      <c r="N396" s="934"/>
      <c r="O396" s="934">
        <v>12</v>
      </c>
      <c r="P396" s="934">
        <f t="shared" si="17"/>
        <v>11160</v>
      </c>
    </row>
    <row r="397" spans="1:16" x14ac:dyDescent="0.2">
      <c r="A397" s="912" t="s">
        <v>1536</v>
      </c>
      <c r="B397" s="912" t="s">
        <v>1333</v>
      </c>
      <c r="C397" s="912" t="s">
        <v>80</v>
      </c>
      <c r="D397" s="912" t="s">
        <v>1537</v>
      </c>
      <c r="E397" s="934">
        <v>930</v>
      </c>
      <c r="F397" s="926" t="s">
        <v>1898</v>
      </c>
      <c r="G397" s="926" t="s">
        <v>1899</v>
      </c>
      <c r="H397" s="926" t="s">
        <v>1897</v>
      </c>
      <c r="I397" s="912" t="s">
        <v>1412</v>
      </c>
      <c r="J397" s="912" t="s">
        <v>1650</v>
      </c>
      <c r="K397" s="935" t="s">
        <v>1542</v>
      </c>
      <c r="L397" s="934">
        <v>12</v>
      </c>
      <c r="M397" s="934">
        <f t="shared" si="16"/>
        <v>11160</v>
      </c>
      <c r="N397" s="934"/>
      <c r="O397" s="934">
        <v>12</v>
      </c>
      <c r="P397" s="934">
        <f t="shared" si="17"/>
        <v>11160</v>
      </c>
    </row>
    <row r="398" spans="1:16" x14ac:dyDescent="0.2">
      <c r="A398" s="912" t="s">
        <v>1536</v>
      </c>
      <c r="B398" s="912" t="s">
        <v>1333</v>
      </c>
      <c r="C398" s="912" t="s">
        <v>80</v>
      </c>
      <c r="D398" s="912" t="s">
        <v>1537</v>
      </c>
      <c r="E398" s="934">
        <v>930</v>
      </c>
      <c r="F398" s="926" t="s">
        <v>1900</v>
      </c>
      <c r="G398" s="926" t="s">
        <v>1901</v>
      </c>
      <c r="H398" s="926" t="s">
        <v>1897</v>
      </c>
      <c r="I398" s="912" t="s">
        <v>1412</v>
      </c>
      <c r="J398" s="912" t="s">
        <v>1650</v>
      </c>
      <c r="K398" s="935" t="s">
        <v>1542</v>
      </c>
      <c r="L398" s="934">
        <v>12</v>
      </c>
      <c r="M398" s="934">
        <f t="shared" si="16"/>
        <v>11160</v>
      </c>
      <c r="N398" s="934"/>
      <c r="O398" s="934">
        <v>12</v>
      </c>
      <c r="P398" s="934">
        <f t="shared" si="17"/>
        <v>11160</v>
      </c>
    </row>
    <row r="399" spans="1:16" x14ac:dyDescent="0.2">
      <c r="A399" s="912" t="s">
        <v>1536</v>
      </c>
      <c r="B399" s="912" t="s">
        <v>1333</v>
      </c>
      <c r="C399" s="912" t="s">
        <v>80</v>
      </c>
      <c r="D399" s="912" t="s">
        <v>1537</v>
      </c>
      <c r="E399" s="934">
        <v>930</v>
      </c>
      <c r="F399" s="926" t="s">
        <v>1902</v>
      </c>
      <c r="G399" s="926" t="s">
        <v>1903</v>
      </c>
      <c r="H399" s="926" t="s">
        <v>1897</v>
      </c>
      <c r="I399" s="912" t="s">
        <v>1412</v>
      </c>
      <c r="J399" s="912" t="s">
        <v>1650</v>
      </c>
      <c r="K399" s="935" t="s">
        <v>1542</v>
      </c>
      <c r="L399" s="934">
        <v>12</v>
      </c>
      <c r="M399" s="934">
        <f t="shared" si="16"/>
        <v>11160</v>
      </c>
      <c r="N399" s="934"/>
      <c r="O399" s="934">
        <v>12</v>
      </c>
      <c r="P399" s="934">
        <f t="shared" si="17"/>
        <v>11160</v>
      </c>
    </row>
    <row r="400" spans="1:16" x14ac:dyDescent="0.2">
      <c r="A400" s="912" t="s">
        <v>1536</v>
      </c>
      <c r="B400" s="912" t="s">
        <v>1333</v>
      </c>
      <c r="C400" s="912" t="s">
        <v>80</v>
      </c>
      <c r="D400" s="912" t="s">
        <v>1537</v>
      </c>
      <c r="E400" s="934">
        <v>930</v>
      </c>
      <c r="F400" s="926" t="s">
        <v>1904</v>
      </c>
      <c r="G400" s="926" t="s">
        <v>1905</v>
      </c>
      <c r="H400" s="926" t="s">
        <v>1897</v>
      </c>
      <c r="I400" s="912" t="s">
        <v>1412</v>
      </c>
      <c r="J400" s="912" t="s">
        <v>1650</v>
      </c>
      <c r="K400" s="935" t="s">
        <v>1542</v>
      </c>
      <c r="L400" s="934">
        <v>12</v>
      </c>
      <c r="M400" s="934">
        <f t="shared" si="16"/>
        <v>11160</v>
      </c>
      <c r="N400" s="934"/>
      <c r="O400" s="934">
        <v>12</v>
      </c>
      <c r="P400" s="934">
        <f t="shared" si="17"/>
        <v>11160</v>
      </c>
    </row>
    <row r="401" spans="1:16" x14ac:dyDescent="0.2">
      <c r="A401" s="912" t="s">
        <v>1536</v>
      </c>
      <c r="B401" s="912" t="s">
        <v>1333</v>
      </c>
      <c r="C401" s="912" t="s">
        <v>80</v>
      </c>
      <c r="D401" s="912" t="s">
        <v>1537</v>
      </c>
      <c r="E401" s="934">
        <v>1200</v>
      </c>
      <c r="F401" s="926" t="s">
        <v>1906</v>
      </c>
      <c r="G401" s="926" t="s">
        <v>1907</v>
      </c>
      <c r="H401" s="926" t="s">
        <v>1897</v>
      </c>
      <c r="I401" s="912" t="s">
        <v>1412</v>
      </c>
      <c r="J401" s="912" t="s">
        <v>1650</v>
      </c>
      <c r="K401" s="935" t="s">
        <v>1542</v>
      </c>
      <c r="L401" s="934">
        <v>12</v>
      </c>
      <c r="M401" s="934">
        <f t="shared" si="16"/>
        <v>14400</v>
      </c>
      <c r="N401" s="934"/>
      <c r="O401" s="934">
        <v>12</v>
      </c>
      <c r="P401" s="934">
        <f t="shared" si="17"/>
        <v>14400</v>
      </c>
    </row>
    <row r="402" spans="1:16" x14ac:dyDescent="0.2">
      <c r="A402" s="912" t="s">
        <v>1536</v>
      </c>
      <c r="B402" s="912" t="s">
        <v>1333</v>
      </c>
      <c r="C402" s="912" t="s">
        <v>80</v>
      </c>
      <c r="D402" s="912" t="s">
        <v>1537</v>
      </c>
      <c r="E402" s="934">
        <v>1200</v>
      </c>
      <c r="F402" s="926" t="s">
        <v>1908</v>
      </c>
      <c r="G402" s="926" t="s">
        <v>1909</v>
      </c>
      <c r="H402" s="926" t="s">
        <v>1028</v>
      </c>
      <c r="I402" s="912" t="s">
        <v>1412</v>
      </c>
      <c r="J402" s="912" t="s">
        <v>1650</v>
      </c>
      <c r="K402" s="935" t="s">
        <v>1542</v>
      </c>
      <c r="L402" s="934">
        <v>12</v>
      </c>
      <c r="M402" s="934">
        <f t="shared" si="16"/>
        <v>14400</v>
      </c>
      <c r="N402" s="934"/>
      <c r="O402" s="934">
        <v>12</v>
      </c>
      <c r="P402" s="934">
        <f t="shared" si="17"/>
        <v>14400</v>
      </c>
    </row>
    <row r="403" spans="1:16" x14ac:dyDescent="0.2">
      <c r="A403" s="912" t="s">
        <v>1536</v>
      </c>
      <c r="B403" s="912" t="s">
        <v>1333</v>
      </c>
      <c r="C403" s="912" t="s">
        <v>80</v>
      </c>
      <c r="D403" s="912" t="s">
        <v>1537</v>
      </c>
      <c r="E403" s="934">
        <v>1200</v>
      </c>
      <c r="F403" s="926" t="s">
        <v>1910</v>
      </c>
      <c r="G403" s="926" t="s">
        <v>1911</v>
      </c>
      <c r="H403" s="926" t="s">
        <v>1028</v>
      </c>
      <c r="I403" s="912" t="s">
        <v>1412</v>
      </c>
      <c r="J403" s="912" t="s">
        <v>1650</v>
      </c>
      <c r="K403" s="935" t="s">
        <v>1542</v>
      </c>
      <c r="L403" s="934">
        <v>12</v>
      </c>
      <c r="M403" s="934">
        <f t="shared" si="16"/>
        <v>14400</v>
      </c>
      <c r="N403" s="934"/>
      <c r="O403" s="934">
        <v>12</v>
      </c>
      <c r="P403" s="934">
        <f t="shared" si="17"/>
        <v>14400</v>
      </c>
    </row>
    <row r="404" spans="1:16" x14ac:dyDescent="0.2">
      <c r="A404" s="912" t="s">
        <v>1536</v>
      </c>
      <c r="B404" s="912" t="s">
        <v>1333</v>
      </c>
      <c r="C404" s="912" t="s">
        <v>80</v>
      </c>
      <c r="D404" s="912" t="s">
        <v>1537</v>
      </c>
      <c r="E404" s="934">
        <v>1200</v>
      </c>
      <c r="F404" s="926" t="s">
        <v>1912</v>
      </c>
      <c r="G404" s="926" t="s">
        <v>1913</v>
      </c>
      <c r="H404" s="926" t="s">
        <v>1028</v>
      </c>
      <c r="I404" s="912" t="s">
        <v>1412</v>
      </c>
      <c r="J404" s="912" t="s">
        <v>1650</v>
      </c>
      <c r="K404" s="935" t="s">
        <v>1542</v>
      </c>
      <c r="L404" s="934">
        <v>12</v>
      </c>
      <c r="M404" s="934">
        <f t="shared" si="16"/>
        <v>14400</v>
      </c>
      <c r="N404" s="934"/>
      <c r="O404" s="934">
        <v>12</v>
      </c>
      <c r="P404" s="934">
        <f t="shared" si="17"/>
        <v>14400</v>
      </c>
    </row>
    <row r="405" spans="1:16" x14ac:dyDescent="0.2">
      <c r="A405" s="912" t="s">
        <v>1536</v>
      </c>
      <c r="B405" s="912" t="s">
        <v>1333</v>
      </c>
      <c r="C405" s="912" t="s">
        <v>80</v>
      </c>
      <c r="D405" s="912" t="s">
        <v>1537</v>
      </c>
      <c r="E405" s="934">
        <v>1200</v>
      </c>
      <c r="F405" s="926" t="s">
        <v>1914</v>
      </c>
      <c r="G405" s="926" t="s">
        <v>1915</v>
      </c>
      <c r="H405" s="926" t="s">
        <v>1028</v>
      </c>
      <c r="I405" s="912" t="s">
        <v>1412</v>
      </c>
      <c r="J405" s="912" t="s">
        <v>1650</v>
      </c>
      <c r="K405" s="935" t="s">
        <v>1542</v>
      </c>
      <c r="L405" s="934">
        <v>12</v>
      </c>
      <c r="M405" s="934">
        <f t="shared" si="16"/>
        <v>14400</v>
      </c>
      <c r="N405" s="934"/>
      <c r="O405" s="934">
        <v>12</v>
      </c>
      <c r="P405" s="934">
        <f t="shared" si="17"/>
        <v>14400</v>
      </c>
    </row>
    <row r="406" spans="1:16" x14ac:dyDescent="0.2">
      <c r="A406" s="912" t="s">
        <v>1536</v>
      </c>
      <c r="B406" s="912" t="s">
        <v>1333</v>
      </c>
      <c r="C406" s="912" t="s">
        <v>80</v>
      </c>
      <c r="D406" s="912" t="s">
        <v>1537</v>
      </c>
      <c r="E406" s="934">
        <v>1200</v>
      </c>
      <c r="F406" s="926" t="s">
        <v>1916</v>
      </c>
      <c r="G406" s="926" t="s">
        <v>1917</v>
      </c>
      <c r="H406" s="926" t="s">
        <v>1028</v>
      </c>
      <c r="I406" s="912" t="s">
        <v>1412</v>
      </c>
      <c r="J406" s="912" t="s">
        <v>1650</v>
      </c>
      <c r="K406" s="935" t="s">
        <v>1542</v>
      </c>
      <c r="L406" s="934">
        <v>12</v>
      </c>
      <c r="M406" s="934">
        <f t="shared" si="16"/>
        <v>14400</v>
      </c>
      <c r="N406" s="934"/>
      <c r="O406" s="934">
        <v>12</v>
      </c>
      <c r="P406" s="934">
        <f t="shared" si="17"/>
        <v>14400</v>
      </c>
    </row>
    <row r="407" spans="1:16" x14ac:dyDescent="0.2">
      <c r="A407" s="912" t="s">
        <v>1536</v>
      </c>
      <c r="B407" s="912" t="s">
        <v>1333</v>
      </c>
      <c r="C407" s="912" t="s">
        <v>80</v>
      </c>
      <c r="D407" s="912" t="s">
        <v>1537</v>
      </c>
      <c r="E407" s="934">
        <v>1200</v>
      </c>
      <c r="F407" s="926" t="s">
        <v>1918</v>
      </c>
      <c r="G407" s="926" t="s">
        <v>1919</v>
      </c>
      <c r="H407" s="926" t="s">
        <v>1028</v>
      </c>
      <c r="I407" s="912" t="s">
        <v>1412</v>
      </c>
      <c r="J407" s="912" t="s">
        <v>1650</v>
      </c>
      <c r="K407" s="935" t="s">
        <v>1542</v>
      </c>
      <c r="L407" s="934">
        <v>12</v>
      </c>
      <c r="M407" s="934">
        <f t="shared" si="16"/>
        <v>14400</v>
      </c>
      <c r="N407" s="934"/>
      <c r="O407" s="934">
        <v>12</v>
      </c>
      <c r="P407" s="934">
        <f t="shared" si="17"/>
        <v>14400</v>
      </c>
    </row>
    <row r="408" spans="1:16" x14ac:dyDescent="0.2">
      <c r="A408" s="912" t="s">
        <v>1536</v>
      </c>
      <c r="B408" s="912" t="s">
        <v>1333</v>
      </c>
      <c r="C408" s="912" t="s">
        <v>80</v>
      </c>
      <c r="D408" s="912" t="s">
        <v>1537</v>
      </c>
      <c r="E408" s="934">
        <v>1200</v>
      </c>
      <c r="F408" s="926" t="s">
        <v>1920</v>
      </c>
      <c r="G408" s="926" t="s">
        <v>1921</v>
      </c>
      <c r="H408" s="926" t="s">
        <v>1028</v>
      </c>
      <c r="I408" s="912" t="s">
        <v>1412</v>
      </c>
      <c r="J408" s="912" t="s">
        <v>1650</v>
      </c>
      <c r="K408" s="935" t="s">
        <v>1542</v>
      </c>
      <c r="L408" s="934">
        <v>12</v>
      </c>
      <c r="M408" s="934">
        <f t="shared" si="16"/>
        <v>14400</v>
      </c>
      <c r="N408" s="934"/>
      <c r="O408" s="934">
        <v>12</v>
      </c>
      <c r="P408" s="934">
        <f t="shared" si="17"/>
        <v>14400</v>
      </c>
    </row>
    <row r="409" spans="1:16" x14ac:dyDescent="0.2">
      <c r="A409" s="912" t="s">
        <v>1536</v>
      </c>
      <c r="B409" s="912" t="s">
        <v>1333</v>
      </c>
      <c r="C409" s="912" t="s">
        <v>80</v>
      </c>
      <c r="D409" s="912" t="s">
        <v>1537</v>
      </c>
      <c r="E409" s="934">
        <v>1200</v>
      </c>
      <c r="F409" s="926" t="s">
        <v>1922</v>
      </c>
      <c r="G409" s="926" t="s">
        <v>1923</v>
      </c>
      <c r="H409" s="926" t="s">
        <v>1028</v>
      </c>
      <c r="I409" s="912" t="s">
        <v>1412</v>
      </c>
      <c r="J409" s="912" t="s">
        <v>1650</v>
      </c>
      <c r="K409" s="935" t="s">
        <v>1542</v>
      </c>
      <c r="L409" s="934">
        <v>12</v>
      </c>
      <c r="M409" s="934">
        <f t="shared" si="16"/>
        <v>14400</v>
      </c>
      <c r="N409" s="934"/>
      <c r="O409" s="934">
        <v>12</v>
      </c>
      <c r="P409" s="934">
        <f t="shared" si="17"/>
        <v>14400</v>
      </c>
    </row>
    <row r="410" spans="1:16" x14ac:dyDescent="0.2">
      <c r="A410" s="912" t="s">
        <v>1536</v>
      </c>
      <c r="B410" s="912" t="s">
        <v>1333</v>
      </c>
      <c r="C410" s="912" t="s">
        <v>80</v>
      </c>
      <c r="D410" s="912" t="s">
        <v>1537</v>
      </c>
      <c r="E410" s="934">
        <v>1200</v>
      </c>
      <c r="F410" s="926" t="s">
        <v>1924</v>
      </c>
      <c r="G410" s="926" t="s">
        <v>1925</v>
      </c>
      <c r="H410" s="926" t="s">
        <v>1028</v>
      </c>
      <c r="I410" s="912" t="s">
        <v>1412</v>
      </c>
      <c r="J410" s="912" t="s">
        <v>1650</v>
      </c>
      <c r="K410" s="935" t="s">
        <v>1542</v>
      </c>
      <c r="L410" s="934">
        <v>12</v>
      </c>
      <c r="M410" s="934">
        <f t="shared" si="16"/>
        <v>14400</v>
      </c>
      <c r="N410" s="934"/>
      <c r="O410" s="934">
        <v>12</v>
      </c>
      <c r="P410" s="934">
        <f t="shared" si="17"/>
        <v>14400</v>
      </c>
    </row>
    <row r="411" spans="1:16" x14ac:dyDescent="0.2">
      <c r="A411" s="912" t="s">
        <v>1536</v>
      </c>
      <c r="B411" s="912" t="s">
        <v>1333</v>
      </c>
      <c r="C411" s="912" t="s">
        <v>80</v>
      </c>
      <c r="D411" s="912" t="s">
        <v>1537</v>
      </c>
      <c r="E411" s="934">
        <v>1724</v>
      </c>
      <c r="F411" s="926" t="s">
        <v>1926</v>
      </c>
      <c r="G411" s="926" t="s">
        <v>1927</v>
      </c>
      <c r="H411" s="926" t="s">
        <v>1028</v>
      </c>
      <c r="I411" s="912" t="s">
        <v>1412</v>
      </c>
      <c r="J411" s="912" t="s">
        <v>1650</v>
      </c>
      <c r="K411" s="935" t="s">
        <v>1542</v>
      </c>
      <c r="L411" s="934">
        <v>12</v>
      </c>
      <c r="M411" s="934">
        <f t="shared" si="16"/>
        <v>20688</v>
      </c>
      <c r="N411" s="934"/>
      <c r="O411" s="934">
        <v>12</v>
      </c>
      <c r="P411" s="934">
        <f t="shared" si="17"/>
        <v>20688</v>
      </c>
    </row>
    <row r="412" spans="1:16" x14ac:dyDescent="0.2">
      <c r="A412" s="912" t="s">
        <v>1536</v>
      </c>
      <c r="B412" s="912" t="s">
        <v>1333</v>
      </c>
      <c r="C412" s="912" t="s">
        <v>80</v>
      </c>
      <c r="D412" s="912" t="s">
        <v>1537</v>
      </c>
      <c r="E412" s="934">
        <v>1200</v>
      </c>
      <c r="F412" s="926" t="s">
        <v>1928</v>
      </c>
      <c r="G412" s="926" t="s">
        <v>1929</v>
      </c>
      <c r="H412" s="926" t="s">
        <v>1028</v>
      </c>
      <c r="I412" s="912" t="s">
        <v>1412</v>
      </c>
      <c r="J412" s="912" t="s">
        <v>1650</v>
      </c>
      <c r="K412" s="935" t="s">
        <v>1542</v>
      </c>
      <c r="L412" s="934">
        <v>12</v>
      </c>
      <c r="M412" s="934">
        <f t="shared" si="16"/>
        <v>14400</v>
      </c>
      <c r="N412" s="934"/>
      <c r="O412" s="934">
        <v>12</v>
      </c>
      <c r="P412" s="934">
        <f t="shared" si="17"/>
        <v>14400</v>
      </c>
    </row>
    <row r="413" spans="1:16" x14ac:dyDescent="0.2">
      <c r="A413" s="912" t="s">
        <v>1536</v>
      </c>
      <c r="B413" s="912" t="s">
        <v>1333</v>
      </c>
      <c r="C413" s="912" t="s">
        <v>80</v>
      </c>
      <c r="D413" s="912" t="s">
        <v>1537</v>
      </c>
      <c r="E413" s="934">
        <v>1724</v>
      </c>
      <c r="F413" s="926" t="s">
        <v>1930</v>
      </c>
      <c r="G413" s="926" t="s">
        <v>1931</v>
      </c>
      <c r="H413" s="926" t="s">
        <v>1028</v>
      </c>
      <c r="I413" s="912" t="s">
        <v>1412</v>
      </c>
      <c r="J413" s="912" t="s">
        <v>1650</v>
      </c>
      <c r="K413" s="935" t="s">
        <v>1542</v>
      </c>
      <c r="L413" s="934">
        <v>12</v>
      </c>
      <c r="M413" s="934">
        <f t="shared" si="16"/>
        <v>20688</v>
      </c>
      <c r="N413" s="934"/>
      <c r="O413" s="934">
        <v>12</v>
      </c>
      <c r="P413" s="934">
        <f t="shared" si="17"/>
        <v>20688</v>
      </c>
    </row>
    <row r="414" spans="1:16" x14ac:dyDescent="0.2">
      <c r="A414" s="912" t="s">
        <v>1536</v>
      </c>
      <c r="B414" s="912" t="s">
        <v>1333</v>
      </c>
      <c r="C414" s="912" t="s">
        <v>80</v>
      </c>
      <c r="D414" s="912" t="s">
        <v>1537</v>
      </c>
      <c r="E414" s="934">
        <v>1200</v>
      </c>
      <c r="F414" s="926" t="s">
        <v>1932</v>
      </c>
      <c r="G414" s="926" t="s">
        <v>1933</v>
      </c>
      <c r="H414" s="926" t="s">
        <v>1028</v>
      </c>
      <c r="I414" s="912" t="s">
        <v>1412</v>
      </c>
      <c r="J414" s="912" t="s">
        <v>1650</v>
      </c>
      <c r="K414" s="935" t="s">
        <v>1542</v>
      </c>
      <c r="L414" s="934">
        <v>12</v>
      </c>
      <c r="M414" s="934">
        <f t="shared" si="16"/>
        <v>14400</v>
      </c>
      <c r="N414" s="934"/>
      <c r="O414" s="934">
        <v>12</v>
      </c>
      <c r="P414" s="934">
        <f t="shared" si="17"/>
        <v>14400</v>
      </c>
    </row>
    <row r="415" spans="1:16" x14ac:dyDescent="0.2">
      <c r="A415" s="912" t="s">
        <v>1536</v>
      </c>
      <c r="B415" s="912" t="s">
        <v>1333</v>
      </c>
      <c r="C415" s="912" t="s">
        <v>80</v>
      </c>
      <c r="D415" s="912" t="s">
        <v>1537</v>
      </c>
      <c r="E415" s="934">
        <v>1200</v>
      </c>
      <c r="F415" s="926" t="s">
        <v>1934</v>
      </c>
      <c r="G415" s="926" t="s">
        <v>1935</v>
      </c>
      <c r="H415" s="926" t="s">
        <v>1028</v>
      </c>
      <c r="I415" s="912" t="s">
        <v>1412</v>
      </c>
      <c r="J415" s="912" t="s">
        <v>1650</v>
      </c>
      <c r="K415" s="935" t="s">
        <v>1542</v>
      </c>
      <c r="L415" s="934">
        <v>12</v>
      </c>
      <c r="M415" s="934">
        <f t="shared" si="16"/>
        <v>14400</v>
      </c>
      <c r="N415" s="934"/>
      <c r="O415" s="934">
        <v>12</v>
      </c>
      <c r="P415" s="934">
        <f t="shared" si="17"/>
        <v>14400</v>
      </c>
    </row>
    <row r="416" spans="1:16" x14ac:dyDescent="0.2">
      <c r="A416" s="912" t="s">
        <v>1536</v>
      </c>
      <c r="B416" s="912" t="s">
        <v>1333</v>
      </c>
      <c r="C416" s="912" t="s">
        <v>80</v>
      </c>
      <c r="D416" s="912" t="s">
        <v>1537</v>
      </c>
      <c r="E416" s="934">
        <v>1200</v>
      </c>
      <c r="F416" s="926" t="s">
        <v>1936</v>
      </c>
      <c r="G416" s="926" t="s">
        <v>1937</v>
      </c>
      <c r="H416" s="926" t="s">
        <v>1028</v>
      </c>
      <c r="I416" s="912" t="s">
        <v>1412</v>
      </c>
      <c r="J416" s="912" t="s">
        <v>1650</v>
      </c>
      <c r="K416" s="935" t="s">
        <v>1542</v>
      </c>
      <c r="L416" s="934">
        <v>12</v>
      </c>
      <c r="M416" s="934">
        <f t="shared" si="16"/>
        <v>14400</v>
      </c>
      <c r="N416" s="934"/>
      <c r="O416" s="934">
        <v>12</v>
      </c>
      <c r="P416" s="934">
        <f t="shared" si="17"/>
        <v>14400</v>
      </c>
    </row>
    <row r="417" spans="1:16" x14ac:dyDescent="0.2">
      <c r="A417" s="912" t="s">
        <v>1536</v>
      </c>
      <c r="B417" s="912" t="s">
        <v>1333</v>
      </c>
      <c r="C417" s="912" t="s">
        <v>80</v>
      </c>
      <c r="D417" s="912" t="s">
        <v>1537</v>
      </c>
      <c r="E417" s="934">
        <v>1200</v>
      </c>
      <c r="F417" s="926" t="s">
        <v>1938</v>
      </c>
      <c r="G417" s="926" t="s">
        <v>1939</v>
      </c>
      <c r="H417" s="926" t="s">
        <v>1028</v>
      </c>
      <c r="I417" s="912" t="s">
        <v>1412</v>
      </c>
      <c r="J417" s="912" t="s">
        <v>1650</v>
      </c>
      <c r="K417" s="935" t="s">
        <v>1542</v>
      </c>
      <c r="L417" s="934">
        <v>12</v>
      </c>
      <c r="M417" s="934">
        <f t="shared" si="16"/>
        <v>14400</v>
      </c>
      <c r="N417" s="934"/>
      <c r="O417" s="934">
        <v>12</v>
      </c>
      <c r="P417" s="934">
        <f t="shared" si="17"/>
        <v>14400</v>
      </c>
    </row>
    <row r="418" spans="1:16" x14ac:dyDescent="0.2">
      <c r="A418" s="912" t="s">
        <v>1536</v>
      </c>
      <c r="B418" s="912" t="s">
        <v>1333</v>
      </c>
      <c r="C418" s="912" t="s">
        <v>80</v>
      </c>
      <c r="D418" s="912" t="s">
        <v>1537</v>
      </c>
      <c r="E418" s="934">
        <v>1200</v>
      </c>
      <c r="F418" s="926" t="s">
        <v>1940</v>
      </c>
      <c r="G418" s="926" t="s">
        <v>1941</v>
      </c>
      <c r="H418" s="926" t="s">
        <v>1028</v>
      </c>
      <c r="I418" s="912" t="s">
        <v>1412</v>
      </c>
      <c r="J418" s="912" t="s">
        <v>1650</v>
      </c>
      <c r="K418" s="935" t="s">
        <v>1542</v>
      </c>
      <c r="L418" s="934">
        <v>12</v>
      </c>
      <c r="M418" s="934">
        <f t="shared" si="16"/>
        <v>14400</v>
      </c>
      <c r="N418" s="934"/>
      <c r="O418" s="934">
        <v>12</v>
      </c>
      <c r="P418" s="934">
        <f t="shared" si="17"/>
        <v>14400</v>
      </c>
    </row>
    <row r="419" spans="1:16" x14ac:dyDescent="0.2">
      <c r="A419" s="912" t="s">
        <v>1536</v>
      </c>
      <c r="B419" s="912" t="s">
        <v>1333</v>
      </c>
      <c r="C419" s="912" t="s">
        <v>80</v>
      </c>
      <c r="D419" s="912" t="s">
        <v>1537</v>
      </c>
      <c r="E419" s="934">
        <v>1200</v>
      </c>
      <c r="F419" s="926" t="s">
        <v>1942</v>
      </c>
      <c r="G419" s="926" t="s">
        <v>1943</v>
      </c>
      <c r="H419" s="926" t="s">
        <v>1028</v>
      </c>
      <c r="I419" s="912" t="s">
        <v>1412</v>
      </c>
      <c r="J419" s="912" t="s">
        <v>1650</v>
      </c>
      <c r="K419" s="935" t="s">
        <v>1542</v>
      </c>
      <c r="L419" s="934">
        <v>12</v>
      </c>
      <c r="M419" s="934">
        <f t="shared" si="16"/>
        <v>14400</v>
      </c>
      <c r="N419" s="934"/>
      <c r="O419" s="934">
        <v>12</v>
      </c>
      <c r="P419" s="934">
        <f t="shared" si="17"/>
        <v>14400</v>
      </c>
    </row>
    <row r="420" spans="1:16" x14ac:dyDescent="0.2">
      <c r="A420" s="912" t="s">
        <v>1536</v>
      </c>
      <c r="B420" s="912" t="s">
        <v>1333</v>
      </c>
      <c r="C420" s="912" t="s">
        <v>80</v>
      </c>
      <c r="D420" s="912" t="s">
        <v>1537</v>
      </c>
      <c r="E420" s="934">
        <v>1200</v>
      </c>
      <c r="F420" s="926" t="s">
        <v>1944</v>
      </c>
      <c r="G420" s="926" t="s">
        <v>1945</v>
      </c>
      <c r="H420" s="926" t="s">
        <v>1028</v>
      </c>
      <c r="I420" s="912" t="s">
        <v>1412</v>
      </c>
      <c r="J420" s="912" t="s">
        <v>1650</v>
      </c>
      <c r="K420" s="935" t="s">
        <v>1542</v>
      </c>
      <c r="L420" s="934">
        <v>12</v>
      </c>
      <c r="M420" s="934">
        <f t="shared" si="16"/>
        <v>14400</v>
      </c>
      <c r="N420" s="934"/>
      <c r="O420" s="934">
        <v>12</v>
      </c>
      <c r="P420" s="934">
        <f t="shared" si="17"/>
        <v>14400</v>
      </c>
    </row>
    <row r="421" spans="1:16" x14ac:dyDescent="0.2">
      <c r="A421" s="912" t="s">
        <v>1536</v>
      </c>
      <c r="B421" s="912" t="s">
        <v>1333</v>
      </c>
      <c r="C421" s="912" t="s">
        <v>80</v>
      </c>
      <c r="D421" s="912" t="s">
        <v>1537</v>
      </c>
      <c r="E421" s="934">
        <v>1200</v>
      </c>
      <c r="F421" s="926" t="s">
        <v>1946</v>
      </c>
      <c r="G421" s="926" t="s">
        <v>1947</v>
      </c>
      <c r="H421" s="926" t="s">
        <v>1028</v>
      </c>
      <c r="I421" s="912" t="s">
        <v>1412</v>
      </c>
      <c r="J421" s="912" t="s">
        <v>1650</v>
      </c>
      <c r="K421" s="935" t="s">
        <v>1542</v>
      </c>
      <c r="L421" s="934">
        <v>12</v>
      </c>
      <c r="M421" s="934">
        <f t="shared" si="16"/>
        <v>14400</v>
      </c>
      <c r="N421" s="934"/>
      <c r="O421" s="934">
        <v>12</v>
      </c>
      <c r="P421" s="934">
        <f t="shared" si="17"/>
        <v>14400</v>
      </c>
    </row>
    <row r="422" spans="1:16" x14ac:dyDescent="0.2">
      <c r="A422" s="912" t="s">
        <v>1536</v>
      </c>
      <c r="B422" s="912" t="s">
        <v>1333</v>
      </c>
      <c r="C422" s="912" t="s">
        <v>80</v>
      </c>
      <c r="D422" s="912" t="s">
        <v>1537</v>
      </c>
      <c r="E422" s="934">
        <v>1200</v>
      </c>
      <c r="F422" s="926" t="s">
        <v>1948</v>
      </c>
      <c r="G422" s="926" t="s">
        <v>1949</v>
      </c>
      <c r="H422" s="926" t="s">
        <v>1028</v>
      </c>
      <c r="I422" s="912" t="s">
        <v>1412</v>
      </c>
      <c r="J422" s="912" t="s">
        <v>1650</v>
      </c>
      <c r="K422" s="935" t="s">
        <v>1542</v>
      </c>
      <c r="L422" s="934">
        <v>12</v>
      </c>
      <c r="M422" s="934">
        <f t="shared" si="16"/>
        <v>14400</v>
      </c>
      <c r="N422" s="934"/>
      <c r="O422" s="934">
        <v>12</v>
      </c>
      <c r="P422" s="934">
        <f t="shared" si="17"/>
        <v>14400</v>
      </c>
    </row>
    <row r="423" spans="1:16" x14ac:dyDescent="0.2">
      <c r="A423" s="912" t="s">
        <v>1536</v>
      </c>
      <c r="B423" s="912" t="s">
        <v>1333</v>
      </c>
      <c r="C423" s="912" t="s">
        <v>80</v>
      </c>
      <c r="D423" s="912" t="s">
        <v>1537</v>
      </c>
      <c r="E423" s="934">
        <v>1200</v>
      </c>
      <c r="F423" s="926" t="s">
        <v>1950</v>
      </c>
      <c r="G423" s="926" t="s">
        <v>1951</v>
      </c>
      <c r="H423" s="926" t="s">
        <v>1028</v>
      </c>
      <c r="I423" s="912" t="s">
        <v>1412</v>
      </c>
      <c r="J423" s="912" t="s">
        <v>1650</v>
      </c>
      <c r="K423" s="935" t="s">
        <v>1542</v>
      </c>
      <c r="L423" s="934">
        <v>12</v>
      </c>
      <c r="M423" s="934">
        <f t="shared" si="16"/>
        <v>14400</v>
      </c>
      <c r="N423" s="934"/>
      <c r="O423" s="934">
        <v>12</v>
      </c>
      <c r="P423" s="934">
        <f t="shared" si="17"/>
        <v>14400</v>
      </c>
    </row>
    <row r="424" spans="1:16" x14ac:dyDescent="0.2">
      <c r="A424" s="912" t="s">
        <v>1536</v>
      </c>
      <c r="B424" s="912" t="s">
        <v>1333</v>
      </c>
      <c r="C424" s="912" t="s">
        <v>80</v>
      </c>
      <c r="D424" s="912" t="s">
        <v>1537</v>
      </c>
      <c r="E424" s="934">
        <v>1200</v>
      </c>
      <c r="F424" s="926" t="s">
        <v>1952</v>
      </c>
      <c r="G424" s="926" t="s">
        <v>1953</v>
      </c>
      <c r="H424" s="926" t="s">
        <v>1028</v>
      </c>
      <c r="I424" s="912" t="s">
        <v>1412</v>
      </c>
      <c r="J424" s="912" t="s">
        <v>1650</v>
      </c>
      <c r="K424" s="935" t="s">
        <v>1542</v>
      </c>
      <c r="L424" s="934">
        <v>12</v>
      </c>
      <c r="M424" s="934">
        <f t="shared" si="16"/>
        <v>14400</v>
      </c>
      <c r="N424" s="934"/>
      <c r="O424" s="934">
        <v>12</v>
      </c>
      <c r="P424" s="934">
        <f t="shared" si="17"/>
        <v>14400</v>
      </c>
    </row>
    <row r="425" spans="1:16" x14ac:dyDescent="0.2">
      <c r="A425" s="912" t="s">
        <v>1536</v>
      </c>
      <c r="B425" s="912" t="s">
        <v>1333</v>
      </c>
      <c r="C425" s="912" t="s">
        <v>80</v>
      </c>
      <c r="D425" s="912" t="s">
        <v>1537</v>
      </c>
      <c r="E425" s="934">
        <v>1200</v>
      </c>
      <c r="F425" s="926" t="s">
        <v>1954</v>
      </c>
      <c r="G425" s="926" t="s">
        <v>1955</v>
      </c>
      <c r="H425" s="926" t="s">
        <v>1956</v>
      </c>
      <c r="I425" s="912" t="s">
        <v>1412</v>
      </c>
      <c r="J425" s="912" t="s">
        <v>1650</v>
      </c>
      <c r="K425" s="935" t="s">
        <v>1542</v>
      </c>
      <c r="L425" s="934">
        <v>12</v>
      </c>
      <c r="M425" s="934">
        <f t="shared" si="16"/>
        <v>14400</v>
      </c>
      <c r="N425" s="934"/>
      <c r="O425" s="934">
        <v>12</v>
      </c>
      <c r="P425" s="934">
        <f t="shared" si="17"/>
        <v>14400</v>
      </c>
    </row>
    <row r="426" spans="1:16" x14ac:dyDescent="0.2">
      <c r="A426" s="912" t="s">
        <v>1536</v>
      </c>
      <c r="B426" s="912" t="s">
        <v>1333</v>
      </c>
      <c r="C426" s="912" t="s">
        <v>80</v>
      </c>
      <c r="D426" s="912" t="s">
        <v>1537</v>
      </c>
      <c r="E426" s="934">
        <v>1200</v>
      </c>
      <c r="F426" s="926" t="s">
        <v>1957</v>
      </c>
      <c r="G426" s="926" t="s">
        <v>1958</v>
      </c>
      <c r="H426" s="926" t="s">
        <v>1959</v>
      </c>
      <c r="I426" s="912" t="s">
        <v>1412</v>
      </c>
      <c r="J426" s="912" t="s">
        <v>1650</v>
      </c>
      <c r="K426" s="935" t="s">
        <v>1542</v>
      </c>
      <c r="L426" s="934">
        <v>12</v>
      </c>
      <c r="M426" s="934">
        <f t="shared" si="16"/>
        <v>14400</v>
      </c>
      <c r="N426" s="934"/>
      <c r="O426" s="934">
        <v>12</v>
      </c>
      <c r="P426" s="934">
        <f t="shared" si="17"/>
        <v>14400</v>
      </c>
    </row>
    <row r="427" spans="1:16" x14ac:dyDescent="0.2">
      <c r="A427" s="912" t="s">
        <v>1536</v>
      </c>
      <c r="B427" s="912" t="s">
        <v>1333</v>
      </c>
      <c r="C427" s="912" t="s">
        <v>80</v>
      </c>
      <c r="D427" s="912" t="s">
        <v>1537</v>
      </c>
      <c r="E427" s="934">
        <v>1200</v>
      </c>
      <c r="F427" s="926" t="s">
        <v>1960</v>
      </c>
      <c r="G427" s="926" t="s">
        <v>1961</v>
      </c>
      <c r="H427" s="926" t="s">
        <v>1959</v>
      </c>
      <c r="I427" s="912" t="s">
        <v>1412</v>
      </c>
      <c r="J427" s="912" t="s">
        <v>1650</v>
      </c>
      <c r="K427" s="935" t="s">
        <v>1542</v>
      </c>
      <c r="L427" s="934">
        <v>12</v>
      </c>
      <c r="M427" s="934">
        <f t="shared" si="16"/>
        <v>14400</v>
      </c>
      <c r="N427" s="934"/>
      <c r="O427" s="934">
        <v>12</v>
      </c>
      <c r="P427" s="934">
        <f t="shared" si="17"/>
        <v>14400</v>
      </c>
    </row>
    <row r="428" spans="1:16" x14ac:dyDescent="0.2">
      <c r="A428" s="912" t="s">
        <v>1536</v>
      </c>
      <c r="B428" s="912" t="s">
        <v>1333</v>
      </c>
      <c r="C428" s="912" t="s">
        <v>80</v>
      </c>
      <c r="D428" s="912" t="s">
        <v>1537</v>
      </c>
      <c r="E428" s="934">
        <v>1200</v>
      </c>
      <c r="F428" s="926" t="s">
        <v>1962</v>
      </c>
      <c r="G428" s="926" t="s">
        <v>1963</v>
      </c>
      <c r="H428" s="926" t="s">
        <v>1959</v>
      </c>
      <c r="I428" s="912" t="s">
        <v>1412</v>
      </c>
      <c r="J428" s="912" t="s">
        <v>1650</v>
      </c>
      <c r="K428" s="935" t="s">
        <v>1542</v>
      </c>
      <c r="L428" s="934">
        <v>12</v>
      </c>
      <c r="M428" s="934">
        <f t="shared" si="16"/>
        <v>14400</v>
      </c>
      <c r="N428" s="934"/>
      <c r="O428" s="934">
        <v>12</v>
      </c>
      <c r="P428" s="934">
        <f t="shared" si="17"/>
        <v>14400</v>
      </c>
    </row>
    <row r="429" spans="1:16" x14ac:dyDescent="0.2">
      <c r="A429" s="912" t="s">
        <v>1536</v>
      </c>
      <c r="B429" s="912" t="s">
        <v>1333</v>
      </c>
      <c r="C429" s="912" t="s">
        <v>80</v>
      </c>
      <c r="D429" s="912" t="s">
        <v>1537</v>
      </c>
      <c r="E429" s="934">
        <v>930</v>
      </c>
      <c r="F429" s="926" t="s">
        <v>1964</v>
      </c>
      <c r="G429" s="926" t="s">
        <v>1965</v>
      </c>
      <c r="H429" s="926" t="s">
        <v>1966</v>
      </c>
      <c r="I429" s="912" t="s">
        <v>1020</v>
      </c>
      <c r="J429" s="912" t="s">
        <v>1784</v>
      </c>
      <c r="K429" s="935" t="s">
        <v>1542</v>
      </c>
      <c r="L429" s="934">
        <v>12</v>
      </c>
      <c r="M429" s="934">
        <f t="shared" si="16"/>
        <v>11160</v>
      </c>
      <c r="N429" s="934"/>
      <c r="O429" s="934">
        <v>12</v>
      </c>
      <c r="P429" s="934">
        <f t="shared" si="17"/>
        <v>11160</v>
      </c>
    </row>
    <row r="430" spans="1:16" x14ac:dyDescent="0.2">
      <c r="A430" s="912" t="s">
        <v>1536</v>
      </c>
      <c r="B430" s="912" t="s">
        <v>1333</v>
      </c>
      <c r="C430" s="912" t="s">
        <v>80</v>
      </c>
      <c r="D430" s="912" t="s">
        <v>1537</v>
      </c>
      <c r="E430" s="934">
        <v>1100</v>
      </c>
      <c r="F430" s="926" t="s">
        <v>1967</v>
      </c>
      <c r="G430" s="926" t="s">
        <v>1968</v>
      </c>
      <c r="H430" s="926" t="s">
        <v>1969</v>
      </c>
      <c r="I430" s="912" t="s">
        <v>1020</v>
      </c>
      <c r="J430" s="912" t="s">
        <v>1784</v>
      </c>
      <c r="K430" s="935" t="s">
        <v>1542</v>
      </c>
      <c r="L430" s="934">
        <v>12</v>
      </c>
      <c r="M430" s="934">
        <f t="shared" si="16"/>
        <v>13200</v>
      </c>
      <c r="N430" s="934"/>
      <c r="O430" s="934">
        <v>12</v>
      </c>
      <c r="P430" s="934">
        <f t="shared" si="17"/>
        <v>13200</v>
      </c>
    </row>
    <row r="431" spans="1:16" x14ac:dyDescent="0.2">
      <c r="A431" s="912" t="s">
        <v>1536</v>
      </c>
      <c r="B431" s="912" t="s">
        <v>1333</v>
      </c>
      <c r="C431" s="912" t="s">
        <v>80</v>
      </c>
      <c r="D431" s="912" t="s">
        <v>1537</v>
      </c>
      <c r="E431" s="934">
        <v>930</v>
      </c>
      <c r="F431" s="926" t="s">
        <v>1970</v>
      </c>
      <c r="G431" s="926" t="s">
        <v>1971</v>
      </c>
      <c r="H431" s="926" t="s">
        <v>1969</v>
      </c>
      <c r="I431" s="912" t="s">
        <v>1020</v>
      </c>
      <c r="J431" s="912" t="s">
        <v>1784</v>
      </c>
      <c r="K431" s="935" t="s">
        <v>1542</v>
      </c>
      <c r="L431" s="934">
        <v>12</v>
      </c>
      <c r="M431" s="934">
        <f t="shared" si="16"/>
        <v>11160</v>
      </c>
      <c r="N431" s="934"/>
      <c r="O431" s="934">
        <v>12</v>
      </c>
      <c r="P431" s="934">
        <f t="shared" si="17"/>
        <v>11160</v>
      </c>
    </row>
    <row r="432" spans="1:16" x14ac:dyDescent="0.2">
      <c r="A432" s="912" t="s">
        <v>1536</v>
      </c>
      <c r="B432" s="912" t="s">
        <v>1333</v>
      </c>
      <c r="C432" s="912" t="s">
        <v>80</v>
      </c>
      <c r="D432" s="912" t="s">
        <v>1537</v>
      </c>
      <c r="E432" s="934">
        <v>930</v>
      </c>
      <c r="F432" s="926" t="s">
        <v>1972</v>
      </c>
      <c r="G432" s="926" t="s">
        <v>1973</v>
      </c>
      <c r="H432" s="926" t="s">
        <v>1969</v>
      </c>
      <c r="I432" s="912" t="s">
        <v>1020</v>
      </c>
      <c r="J432" s="912" t="s">
        <v>1784</v>
      </c>
      <c r="K432" s="935" t="s">
        <v>1542</v>
      </c>
      <c r="L432" s="934">
        <v>12</v>
      </c>
      <c r="M432" s="934">
        <f t="shared" si="16"/>
        <v>11160</v>
      </c>
      <c r="N432" s="934"/>
      <c r="O432" s="934">
        <v>12</v>
      </c>
      <c r="P432" s="934">
        <f t="shared" si="17"/>
        <v>11160</v>
      </c>
    </row>
    <row r="433" spans="1:16" x14ac:dyDescent="0.2">
      <c r="A433" s="912" t="s">
        <v>1536</v>
      </c>
      <c r="B433" s="912" t="s">
        <v>1333</v>
      </c>
      <c r="C433" s="912" t="s">
        <v>80</v>
      </c>
      <c r="D433" s="912" t="s">
        <v>1537</v>
      </c>
      <c r="E433" s="934">
        <v>1200</v>
      </c>
      <c r="F433" s="926" t="s">
        <v>1974</v>
      </c>
      <c r="G433" s="926" t="s">
        <v>1975</v>
      </c>
      <c r="H433" s="926" t="s">
        <v>1976</v>
      </c>
      <c r="I433" s="912" t="s">
        <v>1020</v>
      </c>
      <c r="J433" s="912" t="s">
        <v>1784</v>
      </c>
      <c r="K433" s="935" t="s">
        <v>1542</v>
      </c>
      <c r="L433" s="934">
        <v>12</v>
      </c>
      <c r="M433" s="934">
        <f t="shared" si="16"/>
        <v>14400</v>
      </c>
      <c r="N433" s="934"/>
      <c r="O433" s="934">
        <v>12</v>
      </c>
      <c r="P433" s="934">
        <f t="shared" si="17"/>
        <v>14400</v>
      </c>
    </row>
    <row r="434" spans="1:16" x14ac:dyDescent="0.2">
      <c r="A434" s="912" t="s">
        <v>1536</v>
      </c>
      <c r="B434" s="912" t="s">
        <v>1333</v>
      </c>
      <c r="C434" s="912" t="s">
        <v>80</v>
      </c>
      <c r="D434" s="912" t="s">
        <v>1537</v>
      </c>
      <c r="E434" s="934">
        <v>930</v>
      </c>
      <c r="F434" s="926" t="s">
        <v>1977</v>
      </c>
      <c r="G434" s="926" t="s">
        <v>1978</v>
      </c>
      <c r="H434" s="926" t="s">
        <v>1979</v>
      </c>
      <c r="I434" s="912" t="s">
        <v>1020</v>
      </c>
      <c r="J434" s="912" t="s">
        <v>1784</v>
      </c>
      <c r="K434" s="935" t="s">
        <v>1542</v>
      </c>
      <c r="L434" s="934">
        <v>12</v>
      </c>
      <c r="M434" s="934">
        <f t="shared" si="16"/>
        <v>11160</v>
      </c>
      <c r="N434" s="934"/>
      <c r="O434" s="934">
        <v>12</v>
      </c>
      <c r="P434" s="934">
        <f t="shared" si="17"/>
        <v>11160</v>
      </c>
    </row>
    <row r="435" spans="1:16" x14ac:dyDescent="0.2">
      <c r="A435" s="912" t="s">
        <v>1536</v>
      </c>
      <c r="B435" s="912" t="s">
        <v>1333</v>
      </c>
      <c r="C435" s="912" t="s">
        <v>80</v>
      </c>
      <c r="D435" s="912" t="s">
        <v>1537</v>
      </c>
      <c r="E435" s="934">
        <v>1100</v>
      </c>
      <c r="F435" s="926" t="s">
        <v>1980</v>
      </c>
      <c r="G435" s="926" t="s">
        <v>1981</v>
      </c>
      <c r="H435" s="926" t="s">
        <v>1979</v>
      </c>
      <c r="I435" s="912" t="s">
        <v>1020</v>
      </c>
      <c r="J435" s="912" t="s">
        <v>1784</v>
      </c>
      <c r="K435" s="935" t="s">
        <v>1542</v>
      </c>
      <c r="L435" s="934">
        <v>12</v>
      </c>
      <c r="M435" s="934">
        <f t="shared" si="16"/>
        <v>13200</v>
      </c>
      <c r="N435" s="934"/>
      <c r="O435" s="934">
        <v>12</v>
      </c>
      <c r="P435" s="934">
        <f t="shared" si="17"/>
        <v>13200</v>
      </c>
    </row>
    <row r="436" spans="1:16" x14ac:dyDescent="0.2">
      <c r="A436" s="912" t="s">
        <v>1536</v>
      </c>
      <c r="B436" s="912" t="s">
        <v>1333</v>
      </c>
      <c r="C436" s="912" t="s">
        <v>80</v>
      </c>
      <c r="D436" s="912" t="s">
        <v>1537</v>
      </c>
      <c r="E436" s="934">
        <v>1200</v>
      </c>
      <c r="F436" s="926" t="s">
        <v>1982</v>
      </c>
      <c r="G436" s="926" t="s">
        <v>1983</v>
      </c>
      <c r="H436" s="926" t="s">
        <v>1979</v>
      </c>
      <c r="I436" s="912" t="s">
        <v>1020</v>
      </c>
      <c r="J436" s="912" t="s">
        <v>1784</v>
      </c>
      <c r="K436" s="935" t="s">
        <v>1542</v>
      </c>
      <c r="L436" s="934">
        <v>12</v>
      </c>
      <c r="M436" s="934">
        <f t="shared" si="16"/>
        <v>14400</v>
      </c>
      <c r="N436" s="934"/>
      <c r="O436" s="934">
        <v>12</v>
      </c>
      <c r="P436" s="934">
        <f t="shared" si="17"/>
        <v>14400</v>
      </c>
    </row>
    <row r="437" spans="1:16" x14ac:dyDescent="0.2">
      <c r="A437" s="912" t="s">
        <v>1536</v>
      </c>
      <c r="B437" s="912" t="s">
        <v>1333</v>
      </c>
      <c r="C437" s="912" t="s">
        <v>80</v>
      </c>
      <c r="D437" s="912" t="s">
        <v>1537</v>
      </c>
      <c r="E437" s="934">
        <v>930</v>
      </c>
      <c r="F437" s="926" t="s">
        <v>1984</v>
      </c>
      <c r="G437" s="926" t="s">
        <v>1985</v>
      </c>
      <c r="H437" s="926" t="s">
        <v>1979</v>
      </c>
      <c r="I437" s="912" t="s">
        <v>1020</v>
      </c>
      <c r="J437" s="912" t="s">
        <v>1784</v>
      </c>
      <c r="K437" s="935" t="s">
        <v>1542</v>
      </c>
      <c r="L437" s="934">
        <v>12</v>
      </c>
      <c r="M437" s="934">
        <f t="shared" si="16"/>
        <v>11160</v>
      </c>
      <c r="N437" s="934"/>
      <c r="O437" s="934">
        <v>12</v>
      </c>
      <c r="P437" s="934">
        <f t="shared" si="17"/>
        <v>11160</v>
      </c>
    </row>
    <row r="438" spans="1:16" x14ac:dyDescent="0.2">
      <c r="A438" s="912" t="s">
        <v>1536</v>
      </c>
      <c r="B438" s="912" t="s">
        <v>1333</v>
      </c>
      <c r="C438" s="912" t="s">
        <v>80</v>
      </c>
      <c r="D438" s="912" t="s">
        <v>1537</v>
      </c>
      <c r="E438" s="934">
        <v>1100</v>
      </c>
      <c r="F438" s="926" t="s">
        <v>1986</v>
      </c>
      <c r="G438" s="926" t="s">
        <v>1987</v>
      </c>
      <c r="H438" s="926" t="s">
        <v>1979</v>
      </c>
      <c r="I438" s="912" t="s">
        <v>1020</v>
      </c>
      <c r="J438" s="912" t="s">
        <v>1784</v>
      </c>
      <c r="K438" s="935" t="s">
        <v>1542</v>
      </c>
      <c r="L438" s="934">
        <v>12</v>
      </c>
      <c r="M438" s="934">
        <f t="shared" si="16"/>
        <v>13200</v>
      </c>
      <c r="N438" s="934"/>
      <c r="O438" s="934">
        <v>12</v>
      </c>
      <c r="P438" s="934">
        <f t="shared" si="17"/>
        <v>13200</v>
      </c>
    </row>
    <row r="439" spans="1:16" x14ac:dyDescent="0.2">
      <c r="A439" s="912" t="s">
        <v>1536</v>
      </c>
      <c r="B439" s="912" t="s">
        <v>1333</v>
      </c>
      <c r="C439" s="912" t="s">
        <v>80</v>
      </c>
      <c r="D439" s="912" t="s">
        <v>1537</v>
      </c>
      <c r="E439" s="934">
        <v>1100</v>
      </c>
      <c r="F439" s="926" t="s">
        <v>1988</v>
      </c>
      <c r="G439" s="926" t="s">
        <v>1989</v>
      </c>
      <c r="H439" s="926" t="s">
        <v>1979</v>
      </c>
      <c r="I439" s="912" t="s">
        <v>1020</v>
      </c>
      <c r="J439" s="912" t="s">
        <v>1784</v>
      </c>
      <c r="K439" s="935" t="s">
        <v>1542</v>
      </c>
      <c r="L439" s="934">
        <v>12</v>
      </c>
      <c r="M439" s="934">
        <f t="shared" si="16"/>
        <v>13200</v>
      </c>
      <c r="N439" s="934"/>
      <c r="O439" s="934">
        <v>12</v>
      </c>
      <c r="P439" s="934">
        <f t="shared" si="17"/>
        <v>13200</v>
      </c>
    </row>
    <row r="440" spans="1:16" x14ac:dyDescent="0.2">
      <c r="A440" s="912" t="s">
        <v>1536</v>
      </c>
      <c r="B440" s="912" t="s">
        <v>1333</v>
      </c>
      <c r="C440" s="912" t="s">
        <v>80</v>
      </c>
      <c r="D440" s="912" t="s">
        <v>1537</v>
      </c>
      <c r="E440" s="934">
        <v>1100</v>
      </c>
      <c r="F440" s="926" t="s">
        <v>1990</v>
      </c>
      <c r="G440" s="926" t="s">
        <v>1991</v>
      </c>
      <c r="H440" s="926" t="s">
        <v>1979</v>
      </c>
      <c r="I440" s="912" t="s">
        <v>1020</v>
      </c>
      <c r="J440" s="912" t="s">
        <v>1784</v>
      </c>
      <c r="K440" s="935" t="s">
        <v>1542</v>
      </c>
      <c r="L440" s="934">
        <v>12</v>
      </c>
      <c r="M440" s="934">
        <f t="shared" si="16"/>
        <v>13200</v>
      </c>
      <c r="N440" s="934"/>
      <c r="O440" s="934">
        <v>12</v>
      </c>
      <c r="P440" s="934">
        <f t="shared" si="17"/>
        <v>13200</v>
      </c>
    </row>
    <row r="441" spans="1:16" x14ac:dyDescent="0.2">
      <c r="A441" s="912" t="s">
        <v>1536</v>
      </c>
      <c r="B441" s="912" t="s">
        <v>1333</v>
      </c>
      <c r="C441" s="912" t="s">
        <v>80</v>
      </c>
      <c r="D441" s="912" t="s">
        <v>1537</v>
      </c>
      <c r="E441" s="934">
        <v>930</v>
      </c>
      <c r="F441" s="926" t="s">
        <v>1992</v>
      </c>
      <c r="G441" s="926" t="s">
        <v>1993</v>
      </c>
      <c r="H441" s="926" t="s">
        <v>1979</v>
      </c>
      <c r="I441" s="912" t="s">
        <v>1020</v>
      </c>
      <c r="J441" s="912" t="s">
        <v>1784</v>
      </c>
      <c r="K441" s="935" t="s">
        <v>1542</v>
      </c>
      <c r="L441" s="934">
        <v>12</v>
      </c>
      <c r="M441" s="934">
        <f t="shared" si="16"/>
        <v>11160</v>
      </c>
      <c r="N441" s="934"/>
      <c r="O441" s="934">
        <v>12</v>
      </c>
      <c r="P441" s="934">
        <f t="shared" si="17"/>
        <v>11160</v>
      </c>
    </row>
    <row r="442" spans="1:16" x14ac:dyDescent="0.2">
      <c r="A442" s="912" t="s">
        <v>1536</v>
      </c>
      <c r="B442" s="912" t="s">
        <v>1333</v>
      </c>
      <c r="C442" s="912" t="s">
        <v>80</v>
      </c>
      <c r="D442" s="912" t="s">
        <v>1537</v>
      </c>
      <c r="E442" s="934">
        <v>1100</v>
      </c>
      <c r="F442" s="926" t="s">
        <v>1994</v>
      </c>
      <c r="G442" s="926" t="s">
        <v>1995</v>
      </c>
      <c r="H442" s="926" t="s">
        <v>1979</v>
      </c>
      <c r="I442" s="912" t="s">
        <v>1020</v>
      </c>
      <c r="J442" s="912" t="s">
        <v>1784</v>
      </c>
      <c r="K442" s="935" t="s">
        <v>1542</v>
      </c>
      <c r="L442" s="934">
        <v>12</v>
      </c>
      <c r="M442" s="934">
        <f t="shared" si="16"/>
        <v>13200</v>
      </c>
      <c r="N442" s="934"/>
      <c r="O442" s="934">
        <v>12</v>
      </c>
      <c r="P442" s="934">
        <f t="shared" si="17"/>
        <v>13200</v>
      </c>
    </row>
    <row r="443" spans="1:16" x14ac:dyDescent="0.2">
      <c r="A443" s="912" t="s">
        <v>1536</v>
      </c>
      <c r="B443" s="912" t="s">
        <v>1333</v>
      </c>
      <c r="C443" s="912" t="s">
        <v>80</v>
      </c>
      <c r="D443" s="912" t="s">
        <v>1537</v>
      </c>
      <c r="E443" s="934">
        <v>1100</v>
      </c>
      <c r="F443" s="926" t="s">
        <v>1996</v>
      </c>
      <c r="G443" s="926" t="s">
        <v>1997</v>
      </c>
      <c r="H443" s="926" t="s">
        <v>1979</v>
      </c>
      <c r="I443" s="912" t="s">
        <v>1020</v>
      </c>
      <c r="J443" s="912" t="s">
        <v>1784</v>
      </c>
      <c r="K443" s="935" t="s">
        <v>1542</v>
      </c>
      <c r="L443" s="934">
        <v>12</v>
      </c>
      <c r="M443" s="934">
        <f t="shared" ref="M443:M506" si="18">+E443*12</f>
        <v>13200</v>
      </c>
      <c r="N443" s="934"/>
      <c r="O443" s="934">
        <v>12</v>
      </c>
      <c r="P443" s="934">
        <f t="shared" ref="P443:P506" si="19">+M443</f>
        <v>13200</v>
      </c>
    </row>
    <row r="444" spans="1:16" x14ac:dyDescent="0.2">
      <c r="A444" s="912" t="s">
        <v>1536</v>
      </c>
      <c r="B444" s="912" t="s">
        <v>1333</v>
      </c>
      <c r="C444" s="912" t="s">
        <v>80</v>
      </c>
      <c r="D444" s="912" t="s">
        <v>1537</v>
      </c>
      <c r="E444" s="934">
        <v>1100</v>
      </c>
      <c r="F444" s="926" t="s">
        <v>1998</v>
      </c>
      <c r="G444" s="926" t="s">
        <v>1999</v>
      </c>
      <c r="H444" s="926" t="s">
        <v>1979</v>
      </c>
      <c r="I444" s="912" t="s">
        <v>1020</v>
      </c>
      <c r="J444" s="912" t="s">
        <v>1784</v>
      </c>
      <c r="K444" s="935" t="s">
        <v>1542</v>
      </c>
      <c r="L444" s="934">
        <v>12</v>
      </c>
      <c r="M444" s="934">
        <f t="shared" si="18"/>
        <v>13200</v>
      </c>
      <c r="N444" s="934"/>
      <c r="O444" s="934">
        <v>12</v>
      </c>
      <c r="P444" s="934">
        <f t="shared" si="19"/>
        <v>13200</v>
      </c>
    </row>
    <row r="445" spans="1:16" x14ac:dyDescent="0.2">
      <c r="A445" s="912" t="s">
        <v>1536</v>
      </c>
      <c r="B445" s="912" t="s">
        <v>1333</v>
      </c>
      <c r="C445" s="912" t="s">
        <v>80</v>
      </c>
      <c r="D445" s="912" t="s">
        <v>1537</v>
      </c>
      <c r="E445" s="934">
        <v>930</v>
      </c>
      <c r="F445" s="926" t="s">
        <v>2000</v>
      </c>
      <c r="G445" s="926" t="s">
        <v>2001</v>
      </c>
      <c r="H445" s="926" t="s">
        <v>1979</v>
      </c>
      <c r="I445" s="912" t="s">
        <v>1020</v>
      </c>
      <c r="J445" s="912" t="s">
        <v>1784</v>
      </c>
      <c r="K445" s="935" t="s">
        <v>1542</v>
      </c>
      <c r="L445" s="934">
        <v>12</v>
      </c>
      <c r="M445" s="934">
        <f t="shared" si="18"/>
        <v>11160</v>
      </c>
      <c r="N445" s="934"/>
      <c r="O445" s="934">
        <v>12</v>
      </c>
      <c r="P445" s="934">
        <f t="shared" si="19"/>
        <v>11160</v>
      </c>
    </row>
    <row r="446" spans="1:16" x14ac:dyDescent="0.2">
      <c r="A446" s="912" t="s">
        <v>1536</v>
      </c>
      <c r="B446" s="912" t="s">
        <v>1333</v>
      </c>
      <c r="C446" s="912" t="s">
        <v>80</v>
      </c>
      <c r="D446" s="912" t="s">
        <v>1537</v>
      </c>
      <c r="E446" s="934">
        <v>1100</v>
      </c>
      <c r="F446" s="926" t="s">
        <v>2002</v>
      </c>
      <c r="G446" s="926" t="s">
        <v>2003</v>
      </c>
      <c r="H446" s="926" t="s">
        <v>1979</v>
      </c>
      <c r="I446" s="912" t="s">
        <v>1020</v>
      </c>
      <c r="J446" s="912" t="s">
        <v>1784</v>
      </c>
      <c r="K446" s="935" t="s">
        <v>1542</v>
      </c>
      <c r="L446" s="934">
        <v>12</v>
      </c>
      <c r="M446" s="934">
        <f t="shared" si="18"/>
        <v>13200</v>
      </c>
      <c r="N446" s="934"/>
      <c r="O446" s="934">
        <v>12</v>
      </c>
      <c r="P446" s="934">
        <f t="shared" si="19"/>
        <v>13200</v>
      </c>
    </row>
    <row r="447" spans="1:16" x14ac:dyDescent="0.2">
      <c r="A447" s="912" t="s">
        <v>1536</v>
      </c>
      <c r="B447" s="912" t="s">
        <v>1333</v>
      </c>
      <c r="C447" s="912" t="s">
        <v>80</v>
      </c>
      <c r="D447" s="912" t="s">
        <v>1537</v>
      </c>
      <c r="E447" s="934">
        <v>930</v>
      </c>
      <c r="F447" s="926" t="s">
        <v>2004</v>
      </c>
      <c r="G447" s="926" t="s">
        <v>2005</v>
      </c>
      <c r="H447" s="926" t="s">
        <v>1979</v>
      </c>
      <c r="I447" s="912" t="s">
        <v>1020</v>
      </c>
      <c r="J447" s="912" t="s">
        <v>1784</v>
      </c>
      <c r="K447" s="935" t="s">
        <v>1542</v>
      </c>
      <c r="L447" s="934">
        <v>12</v>
      </c>
      <c r="M447" s="934">
        <f t="shared" si="18"/>
        <v>11160</v>
      </c>
      <c r="N447" s="934"/>
      <c r="O447" s="934">
        <v>12</v>
      </c>
      <c r="P447" s="934">
        <f t="shared" si="19"/>
        <v>11160</v>
      </c>
    </row>
    <row r="448" spans="1:16" x14ac:dyDescent="0.2">
      <c r="A448" s="912" t="s">
        <v>1536</v>
      </c>
      <c r="B448" s="912" t="s">
        <v>1333</v>
      </c>
      <c r="C448" s="912" t="s">
        <v>80</v>
      </c>
      <c r="D448" s="912" t="s">
        <v>1537</v>
      </c>
      <c r="E448" s="934">
        <v>1100</v>
      </c>
      <c r="F448" s="926" t="s">
        <v>2006</v>
      </c>
      <c r="G448" s="926" t="s">
        <v>2007</v>
      </c>
      <c r="H448" s="926" t="s">
        <v>1979</v>
      </c>
      <c r="I448" s="912" t="s">
        <v>1020</v>
      </c>
      <c r="J448" s="912" t="s">
        <v>1784</v>
      </c>
      <c r="K448" s="935" t="s">
        <v>1542</v>
      </c>
      <c r="L448" s="934">
        <v>12</v>
      </c>
      <c r="M448" s="934">
        <f t="shared" si="18"/>
        <v>13200</v>
      </c>
      <c r="N448" s="934"/>
      <c r="O448" s="934">
        <v>12</v>
      </c>
      <c r="P448" s="934">
        <f t="shared" si="19"/>
        <v>13200</v>
      </c>
    </row>
    <row r="449" spans="1:16" x14ac:dyDescent="0.2">
      <c r="A449" s="912" t="s">
        <v>1536</v>
      </c>
      <c r="B449" s="912" t="s">
        <v>1333</v>
      </c>
      <c r="C449" s="912" t="s">
        <v>80</v>
      </c>
      <c r="D449" s="912" t="s">
        <v>1537</v>
      </c>
      <c r="E449" s="934">
        <v>930</v>
      </c>
      <c r="F449" s="926" t="s">
        <v>2008</v>
      </c>
      <c r="G449" s="926" t="s">
        <v>2009</v>
      </c>
      <c r="H449" s="926" t="s">
        <v>1979</v>
      </c>
      <c r="I449" s="912" t="s">
        <v>1020</v>
      </c>
      <c r="J449" s="912" t="s">
        <v>1784</v>
      </c>
      <c r="K449" s="935" t="s">
        <v>1542</v>
      </c>
      <c r="L449" s="934">
        <v>12</v>
      </c>
      <c r="M449" s="934">
        <f t="shared" si="18"/>
        <v>11160</v>
      </c>
      <c r="N449" s="934"/>
      <c r="O449" s="934">
        <v>12</v>
      </c>
      <c r="P449" s="934">
        <f t="shared" si="19"/>
        <v>11160</v>
      </c>
    </row>
    <row r="450" spans="1:16" x14ac:dyDescent="0.2">
      <c r="A450" s="912" t="s">
        <v>1536</v>
      </c>
      <c r="B450" s="912" t="s">
        <v>1333</v>
      </c>
      <c r="C450" s="912" t="s">
        <v>80</v>
      </c>
      <c r="D450" s="912" t="s">
        <v>1537</v>
      </c>
      <c r="E450" s="934">
        <v>1100</v>
      </c>
      <c r="F450" s="926" t="s">
        <v>2010</v>
      </c>
      <c r="G450" s="926" t="s">
        <v>2011</v>
      </c>
      <c r="H450" s="926" t="s">
        <v>1979</v>
      </c>
      <c r="I450" s="912" t="s">
        <v>1020</v>
      </c>
      <c r="J450" s="912" t="s">
        <v>1784</v>
      </c>
      <c r="K450" s="935" t="s">
        <v>1542</v>
      </c>
      <c r="L450" s="934">
        <v>12</v>
      </c>
      <c r="M450" s="934">
        <f t="shared" si="18"/>
        <v>13200</v>
      </c>
      <c r="N450" s="934"/>
      <c r="O450" s="934">
        <v>12</v>
      </c>
      <c r="P450" s="934">
        <f t="shared" si="19"/>
        <v>13200</v>
      </c>
    </row>
    <row r="451" spans="1:16" x14ac:dyDescent="0.2">
      <c r="A451" s="912" t="s">
        <v>1536</v>
      </c>
      <c r="B451" s="912" t="s">
        <v>1333</v>
      </c>
      <c r="C451" s="912" t="s">
        <v>80</v>
      </c>
      <c r="D451" s="912" t="s">
        <v>1537</v>
      </c>
      <c r="E451" s="934">
        <v>1100</v>
      </c>
      <c r="F451" s="926" t="s">
        <v>2012</v>
      </c>
      <c r="G451" s="926" t="s">
        <v>2013</v>
      </c>
      <c r="H451" s="926" t="s">
        <v>1979</v>
      </c>
      <c r="I451" s="912" t="s">
        <v>1020</v>
      </c>
      <c r="J451" s="912" t="s">
        <v>1784</v>
      </c>
      <c r="K451" s="935" t="s">
        <v>1542</v>
      </c>
      <c r="L451" s="934">
        <v>12</v>
      </c>
      <c r="M451" s="934">
        <f t="shared" si="18"/>
        <v>13200</v>
      </c>
      <c r="N451" s="934"/>
      <c r="O451" s="934">
        <v>12</v>
      </c>
      <c r="P451" s="934">
        <f t="shared" si="19"/>
        <v>13200</v>
      </c>
    </row>
    <row r="452" spans="1:16" x14ac:dyDescent="0.2">
      <c r="A452" s="912" t="s">
        <v>1536</v>
      </c>
      <c r="B452" s="912" t="s">
        <v>1333</v>
      </c>
      <c r="C452" s="912" t="s">
        <v>80</v>
      </c>
      <c r="D452" s="912" t="s">
        <v>1537</v>
      </c>
      <c r="E452" s="934">
        <v>1100</v>
      </c>
      <c r="F452" s="926" t="s">
        <v>2014</v>
      </c>
      <c r="G452" s="926" t="s">
        <v>2015</v>
      </c>
      <c r="H452" s="926" t="s">
        <v>1979</v>
      </c>
      <c r="I452" s="912" t="s">
        <v>1020</v>
      </c>
      <c r="J452" s="912" t="s">
        <v>1784</v>
      </c>
      <c r="K452" s="935" t="s">
        <v>1542</v>
      </c>
      <c r="L452" s="934">
        <v>12</v>
      </c>
      <c r="M452" s="934">
        <f t="shared" si="18"/>
        <v>13200</v>
      </c>
      <c r="N452" s="934"/>
      <c r="O452" s="934">
        <v>12</v>
      </c>
      <c r="P452" s="934">
        <f t="shared" si="19"/>
        <v>13200</v>
      </c>
    </row>
    <row r="453" spans="1:16" x14ac:dyDescent="0.2">
      <c r="A453" s="912" t="s">
        <v>1536</v>
      </c>
      <c r="B453" s="912" t="s">
        <v>1333</v>
      </c>
      <c r="C453" s="912" t="s">
        <v>80</v>
      </c>
      <c r="D453" s="912" t="s">
        <v>1537</v>
      </c>
      <c r="E453" s="934">
        <v>930</v>
      </c>
      <c r="F453" s="926" t="s">
        <v>2016</v>
      </c>
      <c r="G453" s="926" t="s">
        <v>2017</v>
      </c>
      <c r="H453" s="926" t="s">
        <v>1979</v>
      </c>
      <c r="I453" s="912" t="s">
        <v>1020</v>
      </c>
      <c r="J453" s="912" t="s">
        <v>1784</v>
      </c>
      <c r="K453" s="935" t="s">
        <v>1542</v>
      </c>
      <c r="L453" s="934">
        <v>12</v>
      </c>
      <c r="M453" s="934">
        <f t="shared" si="18"/>
        <v>11160</v>
      </c>
      <c r="N453" s="934"/>
      <c r="O453" s="934">
        <v>12</v>
      </c>
      <c r="P453" s="934">
        <f t="shared" si="19"/>
        <v>11160</v>
      </c>
    </row>
    <row r="454" spans="1:16" x14ac:dyDescent="0.2">
      <c r="A454" s="912" t="s">
        <v>1536</v>
      </c>
      <c r="B454" s="912" t="s">
        <v>1333</v>
      </c>
      <c r="C454" s="912" t="s">
        <v>80</v>
      </c>
      <c r="D454" s="912" t="s">
        <v>1537</v>
      </c>
      <c r="E454" s="934">
        <v>930</v>
      </c>
      <c r="F454" s="926" t="s">
        <v>2018</v>
      </c>
      <c r="G454" s="926" t="s">
        <v>2019</v>
      </c>
      <c r="H454" s="926" t="s">
        <v>1979</v>
      </c>
      <c r="I454" s="912" t="s">
        <v>1020</v>
      </c>
      <c r="J454" s="912" t="s">
        <v>1784</v>
      </c>
      <c r="K454" s="935" t="s">
        <v>1542</v>
      </c>
      <c r="L454" s="934">
        <v>12</v>
      </c>
      <c r="M454" s="934">
        <f t="shared" si="18"/>
        <v>11160</v>
      </c>
      <c r="N454" s="934"/>
      <c r="O454" s="934">
        <v>12</v>
      </c>
      <c r="P454" s="934">
        <f t="shared" si="19"/>
        <v>11160</v>
      </c>
    </row>
    <row r="455" spans="1:16" x14ac:dyDescent="0.2">
      <c r="A455" s="912" t="s">
        <v>1536</v>
      </c>
      <c r="B455" s="912" t="s">
        <v>1333</v>
      </c>
      <c r="C455" s="912" t="s">
        <v>80</v>
      </c>
      <c r="D455" s="912" t="s">
        <v>1537</v>
      </c>
      <c r="E455" s="934">
        <v>1100</v>
      </c>
      <c r="F455" s="926" t="s">
        <v>2020</v>
      </c>
      <c r="G455" s="926" t="s">
        <v>2021</v>
      </c>
      <c r="H455" s="926" t="s">
        <v>1979</v>
      </c>
      <c r="I455" s="912" t="s">
        <v>1020</v>
      </c>
      <c r="J455" s="912" t="s">
        <v>1784</v>
      </c>
      <c r="K455" s="935" t="s">
        <v>1542</v>
      </c>
      <c r="L455" s="934">
        <v>12</v>
      </c>
      <c r="M455" s="934">
        <f t="shared" si="18"/>
        <v>13200</v>
      </c>
      <c r="N455" s="934"/>
      <c r="O455" s="934">
        <v>12</v>
      </c>
      <c r="P455" s="934">
        <f t="shared" si="19"/>
        <v>13200</v>
      </c>
    </row>
    <row r="456" spans="1:16" x14ac:dyDescent="0.2">
      <c r="A456" s="912" t="s">
        <v>1536</v>
      </c>
      <c r="B456" s="912" t="s">
        <v>1333</v>
      </c>
      <c r="C456" s="912" t="s">
        <v>80</v>
      </c>
      <c r="D456" s="912" t="s">
        <v>1537</v>
      </c>
      <c r="E456" s="934">
        <v>930</v>
      </c>
      <c r="F456" s="926" t="s">
        <v>2022</v>
      </c>
      <c r="G456" s="926" t="s">
        <v>2023</v>
      </c>
      <c r="H456" s="926" t="s">
        <v>1979</v>
      </c>
      <c r="I456" s="912" t="s">
        <v>1020</v>
      </c>
      <c r="J456" s="912" t="s">
        <v>1784</v>
      </c>
      <c r="K456" s="935" t="s">
        <v>1542</v>
      </c>
      <c r="L456" s="934">
        <v>12</v>
      </c>
      <c r="M456" s="934">
        <f t="shared" si="18"/>
        <v>11160</v>
      </c>
      <c r="N456" s="934"/>
      <c r="O456" s="934">
        <v>12</v>
      </c>
      <c r="P456" s="934">
        <f t="shared" si="19"/>
        <v>11160</v>
      </c>
    </row>
    <row r="457" spans="1:16" x14ac:dyDescent="0.2">
      <c r="A457" s="912" t="s">
        <v>1536</v>
      </c>
      <c r="B457" s="912" t="s">
        <v>1333</v>
      </c>
      <c r="C457" s="912" t="s">
        <v>80</v>
      </c>
      <c r="D457" s="912" t="s">
        <v>1537</v>
      </c>
      <c r="E457" s="934">
        <v>1100</v>
      </c>
      <c r="F457" s="926" t="s">
        <v>2024</v>
      </c>
      <c r="G457" s="926" t="s">
        <v>2025</v>
      </c>
      <c r="H457" s="926" t="s">
        <v>1979</v>
      </c>
      <c r="I457" s="912" t="s">
        <v>1020</v>
      </c>
      <c r="J457" s="912" t="s">
        <v>1784</v>
      </c>
      <c r="K457" s="935" t="s">
        <v>1542</v>
      </c>
      <c r="L457" s="934">
        <v>12</v>
      </c>
      <c r="M457" s="934">
        <f t="shared" si="18"/>
        <v>13200</v>
      </c>
      <c r="N457" s="934"/>
      <c r="O457" s="934">
        <v>12</v>
      </c>
      <c r="P457" s="934">
        <f t="shared" si="19"/>
        <v>13200</v>
      </c>
    </row>
    <row r="458" spans="1:16" x14ac:dyDescent="0.2">
      <c r="A458" s="912" t="s">
        <v>1536</v>
      </c>
      <c r="B458" s="912" t="s">
        <v>1333</v>
      </c>
      <c r="C458" s="912" t="s">
        <v>80</v>
      </c>
      <c r="D458" s="912" t="s">
        <v>1537</v>
      </c>
      <c r="E458" s="934">
        <v>1100</v>
      </c>
      <c r="F458" s="926" t="s">
        <v>2026</v>
      </c>
      <c r="G458" s="926" t="s">
        <v>2027</v>
      </c>
      <c r="H458" s="926" t="s">
        <v>1979</v>
      </c>
      <c r="I458" s="912" t="s">
        <v>1020</v>
      </c>
      <c r="J458" s="912" t="s">
        <v>1784</v>
      </c>
      <c r="K458" s="935" t="s">
        <v>1542</v>
      </c>
      <c r="L458" s="934">
        <v>12</v>
      </c>
      <c r="M458" s="934">
        <f t="shared" si="18"/>
        <v>13200</v>
      </c>
      <c r="N458" s="934"/>
      <c r="O458" s="934">
        <v>12</v>
      </c>
      <c r="P458" s="934">
        <f t="shared" si="19"/>
        <v>13200</v>
      </c>
    </row>
    <row r="459" spans="1:16" x14ac:dyDescent="0.2">
      <c r="A459" s="912" t="s">
        <v>1536</v>
      </c>
      <c r="B459" s="912" t="s">
        <v>1333</v>
      </c>
      <c r="C459" s="912" t="s">
        <v>80</v>
      </c>
      <c r="D459" s="912" t="s">
        <v>1537</v>
      </c>
      <c r="E459" s="934">
        <v>930</v>
      </c>
      <c r="F459" s="926" t="s">
        <v>2028</v>
      </c>
      <c r="G459" s="926" t="s">
        <v>2029</v>
      </c>
      <c r="H459" s="926" t="s">
        <v>1979</v>
      </c>
      <c r="I459" s="912" t="s">
        <v>1020</v>
      </c>
      <c r="J459" s="912" t="s">
        <v>1784</v>
      </c>
      <c r="K459" s="935" t="s">
        <v>1542</v>
      </c>
      <c r="L459" s="934">
        <v>12</v>
      </c>
      <c r="M459" s="934">
        <f t="shared" si="18"/>
        <v>11160</v>
      </c>
      <c r="N459" s="934"/>
      <c r="O459" s="934">
        <v>12</v>
      </c>
      <c r="P459" s="934">
        <f t="shared" si="19"/>
        <v>11160</v>
      </c>
    </row>
    <row r="460" spans="1:16" x14ac:dyDescent="0.2">
      <c r="A460" s="912" t="s">
        <v>1536</v>
      </c>
      <c r="B460" s="912" t="s">
        <v>1333</v>
      </c>
      <c r="C460" s="912" t="s">
        <v>80</v>
      </c>
      <c r="D460" s="912" t="s">
        <v>1537</v>
      </c>
      <c r="E460" s="934">
        <v>1100</v>
      </c>
      <c r="F460" s="926" t="s">
        <v>2030</v>
      </c>
      <c r="G460" s="926" t="s">
        <v>2031</v>
      </c>
      <c r="H460" s="926" t="s">
        <v>1979</v>
      </c>
      <c r="I460" s="912" t="s">
        <v>1020</v>
      </c>
      <c r="J460" s="912" t="s">
        <v>1784</v>
      </c>
      <c r="K460" s="935" t="s">
        <v>1542</v>
      </c>
      <c r="L460" s="934">
        <v>12</v>
      </c>
      <c r="M460" s="934">
        <f t="shared" si="18"/>
        <v>13200</v>
      </c>
      <c r="N460" s="934"/>
      <c r="O460" s="934">
        <v>12</v>
      </c>
      <c r="P460" s="934">
        <f t="shared" si="19"/>
        <v>13200</v>
      </c>
    </row>
    <row r="461" spans="1:16" x14ac:dyDescent="0.2">
      <c r="A461" s="912" t="s">
        <v>1536</v>
      </c>
      <c r="B461" s="912" t="s">
        <v>1333</v>
      </c>
      <c r="C461" s="912" t="s">
        <v>80</v>
      </c>
      <c r="D461" s="912" t="s">
        <v>1537</v>
      </c>
      <c r="E461" s="934">
        <v>930</v>
      </c>
      <c r="F461" s="926" t="s">
        <v>2032</v>
      </c>
      <c r="G461" s="926" t="s">
        <v>2033</v>
      </c>
      <c r="H461" s="926" t="s">
        <v>1979</v>
      </c>
      <c r="I461" s="912" t="s">
        <v>1020</v>
      </c>
      <c r="J461" s="912" t="s">
        <v>1784</v>
      </c>
      <c r="K461" s="935" t="s">
        <v>1542</v>
      </c>
      <c r="L461" s="934">
        <v>12</v>
      </c>
      <c r="M461" s="934">
        <f t="shared" si="18"/>
        <v>11160</v>
      </c>
      <c r="N461" s="934"/>
      <c r="O461" s="934">
        <v>12</v>
      </c>
      <c r="P461" s="934">
        <f t="shared" si="19"/>
        <v>11160</v>
      </c>
    </row>
    <row r="462" spans="1:16" x14ac:dyDescent="0.2">
      <c r="A462" s="912" t="s">
        <v>1536</v>
      </c>
      <c r="B462" s="912" t="s">
        <v>1333</v>
      </c>
      <c r="C462" s="912" t="s">
        <v>80</v>
      </c>
      <c r="D462" s="912" t="s">
        <v>1537</v>
      </c>
      <c r="E462" s="934">
        <v>930</v>
      </c>
      <c r="F462" s="926" t="s">
        <v>2034</v>
      </c>
      <c r="G462" s="926" t="s">
        <v>2035</v>
      </c>
      <c r="H462" s="926" t="s">
        <v>1979</v>
      </c>
      <c r="I462" s="912" t="s">
        <v>1020</v>
      </c>
      <c r="J462" s="912" t="s">
        <v>1784</v>
      </c>
      <c r="K462" s="935" t="s">
        <v>1542</v>
      </c>
      <c r="L462" s="934">
        <v>12</v>
      </c>
      <c r="M462" s="934">
        <f t="shared" si="18"/>
        <v>11160</v>
      </c>
      <c r="N462" s="934"/>
      <c r="O462" s="934">
        <v>12</v>
      </c>
      <c r="P462" s="934">
        <f t="shared" si="19"/>
        <v>11160</v>
      </c>
    </row>
    <row r="463" spans="1:16" x14ac:dyDescent="0.2">
      <c r="A463" s="912" t="s">
        <v>1536</v>
      </c>
      <c r="B463" s="912" t="s">
        <v>1333</v>
      </c>
      <c r="C463" s="912" t="s">
        <v>80</v>
      </c>
      <c r="D463" s="912" t="s">
        <v>1537</v>
      </c>
      <c r="E463" s="934">
        <v>1100</v>
      </c>
      <c r="F463" s="926" t="s">
        <v>2036</v>
      </c>
      <c r="G463" s="926" t="s">
        <v>2037</v>
      </c>
      <c r="H463" s="926" t="s">
        <v>1979</v>
      </c>
      <c r="I463" s="912" t="s">
        <v>1020</v>
      </c>
      <c r="J463" s="912" t="s">
        <v>1784</v>
      </c>
      <c r="K463" s="935" t="s">
        <v>1542</v>
      </c>
      <c r="L463" s="934">
        <v>12</v>
      </c>
      <c r="M463" s="934">
        <f t="shared" si="18"/>
        <v>13200</v>
      </c>
      <c r="N463" s="934"/>
      <c r="O463" s="934">
        <v>12</v>
      </c>
      <c r="P463" s="934">
        <f t="shared" si="19"/>
        <v>13200</v>
      </c>
    </row>
    <row r="464" spans="1:16" x14ac:dyDescent="0.2">
      <c r="A464" s="912" t="s">
        <v>1536</v>
      </c>
      <c r="B464" s="912" t="s">
        <v>1333</v>
      </c>
      <c r="C464" s="912" t="s">
        <v>80</v>
      </c>
      <c r="D464" s="912" t="s">
        <v>1537</v>
      </c>
      <c r="E464" s="934">
        <v>930</v>
      </c>
      <c r="F464" s="926" t="s">
        <v>2038</v>
      </c>
      <c r="G464" s="926" t="s">
        <v>2039</v>
      </c>
      <c r="H464" s="926" t="s">
        <v>1979</v>
      </c>
      <c r="I464" s="912" t="s">
        <v>1020</v>
      </c>
      <c r="J464" s="912" t="s">
        <v>1784</v>
      </c>
      <c r="K464" s="935" t="s">
        <v>1542</v>
      </c>
      <c r="L464" s="934">
        <v>12</v>
      </c>
      <c r="M464" s="934">
        <f t="shared" si="18"/>
        <v>11160</v>
      </c>
      <c r="N464" s="934"/>
      <c r="O464" s="934">
        <v>12</v>
      </c>
      <c r="P464" s="934">
        <f t="shared" si="19"/>
        <v>11160</v>
      </c>
    </row>
    <row r="465" spans="1:16" x14ac:dyDescent="0.2">
      <c r="A465" s="912" t="s">
        <v>1536</v>
      </c>
      <c r="B465" s="912" t="s">
        <v>1333</v>
      </c>
      <c r="C465" s="912" t="s">
        <v>80</v>
      </c>
      <c r="D465" s="912" t="s">
        <v>1537</v>
      </c>
      <c r="E465" s="934">
        <v>1100</v>
      </c>
      <c r="F465" s="926" t="s">
        <v>2040</v>
      </c>
      <c r="G465" s="926" t="s">
        <v>2041</v>
      </c>
      <c r="H465" s="926" t="s">
        <v>1979</v>
      </c>
      <c r="I465" s="912" t="s">
        <v>1020</v>
      </c>
      <c r="J465" s="912" t="s">
        <v>1784</v>
      </c>
      <c r="K465" s="935" t="s">
        <v>1542</v>
      </c>
      <c r="L465" s="934">
        <v>12</v>
      </c>
      <c r="M465" s="934">
        <f t="shared" si="18"/>
        <v>13200</v>
      </c>
      <c r="N465" s="934"/>
      <c r="O465" s="934">
        <v>12</v>
      </c>
      <c r="P465" s="934">
        <f t="shared" si="19"/>
        <v>13200</v>
      </c>
    </row>
    <row r="466" spans="1:16" x14ac:dyDescent="0.2">
      <c r="A466" s="912" t="s">
        <v>1536</v>
      </c>
      <c r="B466" s="912" t="s">
        <v>1333</v>
      </c>
      <c r="C466" s="912" t="s">
        <v>80</v>
      </c>
      <c r="D466" s="912" t="s">
        <v>1537</v>
      </c>
      <c r="E466" s="934">
        <v>1100</v>
      </c>
      <c r="F466" s="926" t="s">
        <v>2042</v>
      </c>
      <c r="G466" s="926" t="s">
        <v>2043</v>
      </c>
      <c r="H466" s="926" t="s">
        <v>1979</v>
      </c>
      <c r="I466" s="912" t="s">
        <v>1020</v>
      </c>
      <c r="J466" s="912" t="s">
        <v>1784</v>
      </c>
      <c r="K466" s="935" t="s">
        <v>1542</v>
      </c>
      <c r="L466" s="934">
        <v>12</v>
      </c>
      <c r="M466" s="934">
        <f t="shared" si="18"/>
        <v>13200</v>
      </c>
      <c r="N466" s="934"/>
      <c r="O466" s="934">
        <v>12</v>
      </c>
      <c r="P466" s="934">
        <f t="shared" si="19"/>
        <v>13200</v>
      </c>
    </row>
    <row r="467" spans="1:16" x14ac:dyDescent="0.2">
      <c r="A467" s="912" t="s">
        <v>1536</v>
      </c>
      <c r="B467" s="912" t="s">
        <v>1333</v>
      </c>
      <c r="C467" s="912" t="s">
        <v>80</v>
      </c>
      <c r="D467" s="912" t="s">
        <v>1537</v>
      </c>
      <c r="E467" s="934">
        <v>1100</v>
      </c>
      <c r="F467" s="926" t="s">
        <v>2044</v>
      </c>
      <c r="G467" s="926" t="s">
        <v>2045</v>
      </c>
      <c r="H467" s="926" t="s">
        <v>1979</v>
      </c>
      <c r="I467" s="912" t="s">
        <v>1020</v>
      </c>
      <c r="J467" s="912" t="s">
        <v>1784</v>
      </c>
      <c r="K467" s="935" t="s">
        <v>1542</v>
      </c>
      <c r="L467" s="934">
        <v>12</v>
      </c>
      <c r="M467" s="934">
        <f t="shared" si="18"/>
        <v>13200</v>
      </c>
      <c r="N467" s="934"/>
      <c r="O467" s="934">
        <v>12</v>
      </c>
      <c r="P467" s="934">
        <f t="shared" si="19"/>
        <v>13200</v>
      </c>
    </row>
    <row r="468" spans="1:16" x14ac:dyDescent="0.2">
      <c r="A468" s="912" t="s">
        <v>1536</v>
      </c>
      <c r="B468" s="912" t="s">
        <v>1333</v>
      </c>
      <c r="C468" s="912" t="s">
        <v>80</v>
      </c>
      <c r="D468" s="912" t="s">
        <v>1537</v>
      </c>
      <c r="E468" s="934">
        <v>930</v>
      </c>
      <c r="F468" s="926" t="s">
        <v>2046</v>
      </c>
      <c r="G468" s="926" t="s">
        <v>2047</v>
      </c>
      <c r="H468" s="926" t="s">
        <v>1979</v>
      </c>
      <c r="I468" s="912" t="s">
        <v>1020</v>
      </c>
      <c r="J468" s="912" t="s">
        <v>1784</v>
      </c>
      <c r="K468" s="935" t="s">
        <v>1542</v>
      </c>
      <c r="L468" s="934">
        <v>12</v>
      </c>
      <c r="M468" s="934">
        <f t="shared" si="18"/>
        <v>11160</v>
      </c>
      <c r="N468" s="934"/>
      <c r="O468" s="934">
        <v>12</v>
      </c>
      <c r="P468" s="934">
        <f t="shared" si="19"/>
        <v>11160</v>
      </c>
    </row>
    <row r="469" spans="1:16" x14ac:dyDescent="0.2">
      <c r="A469" s="912" t="s">
        <v>1536</v>
      </c>
      <c r="B469" s="912" t="s">
        <v>1333</v>
      </c>
      <c r="C469" s="912" t="s">
        <v>80</v>
      </c>
      <c r="D469" s="912" t="s">
        <v>1679</v>
      </c>
      <c r="E469" s="934">
        <v>10000</v>
      </c>
      <c r="F469" s="926" t="s">
        <v>2048</v>
      </c>
      <c r="G469" s="926" t="s">
        <v>2049</v>
      </c>
      <c r="H469" s="926" t="s">
        <v>2050</v>
      </c>
      <c r="I469" s="912" t="s">
        <v>1541</v>
      </c>
      <c r="J469" s="912" t="s">
        <v>2051</v>
      </c>
      <c r="K469" s="935"/>
      <c r="L469" s="934">
        <v>12</v>
      </c>
      <c r="M469" s="934">
        <f t="shared" si="18"/>
        <v>120000</v>
      </c>
      <c r="N469" s="934"/>
      <c r="O469" s="934">
        <v>12</v>
      </c>
      <c r="P469" s="934">
        <f t="shared" si="19"/>
        <v>120000</v>
      </c>
    </row>
    <row r="470" spans="1:16" x14ac:dyDescent="0.2">
      <c r="A470" s="912" t="s">
        <v>1536</v>
      </c>
      <c r="B470" s="912" t="s">
        <v>1333</v>
      </c>
      <c r="C470" s="912" t="s">
        <v>80</v>
      </c>
      <c r="D470" s="912" t="s">
        <v>1679</v>
      </c>
      <c r="E470" s="934">
        <v>1500</v>
      </c>
      <c r="F470" s="926"/>
      <c r="G470" s="926" t="s">
        <v>1565</v>
      </c>
      <c r="H470" s="926" t="s">
        <v>1391</v>
      </c>
      <c r="I470" s="912" t="s">
        <v>940</v>
      </c>
      <c r="J470" s="912" t="s">
        <v>1313</v>
      </c>
      <c r="K470" s="935" t="s">
        <v>1542</v>
      </c>
      <c r="L470" s="934">
        <v>12</v>
      </c>
      <c r="M470" s="934">
        <f t="shared" si="18"/>
        <v>18000</v>
      </c>
      <c r="N470" s="934"/>
      <c r="O470" s="934">
        <v>12</v>
      </c>
      <c r="P470" s="934">
        <f t="shared" si="19"/>
        <v>18000</v>
      </c>
    </row>
    <row r="471" spans="1:16" x14ac:dyDescent="0.2">
      <c r="A471" s="912" t="s">
        <v>1536</v>
      </c>
      <c r="B471" s="912" t="s">
        <v>1333</v>
      </c>
      <c r="C471" s="912" t="s">
        <v>80</v>
      </c>
      <c r="D471" s="912" t="s">
        <v>1679</v>
      </c>
      <c r="E471" s="934">
        <v>1200</v>
      </c>
      <c r="F471" s="926" t="s">
        <v>2052</v>
      </c>
      <c r="G471" s="926" t="s">
        <v>2053</v>
      </c>
      <c r="H471" s="926" t="s">
        <v>982</v>
      </c>
      <c r="I471" s="912" t="s">
        <v>1412</v>
      </c>
      <c r="J471" s="912" t="s">
        <v>982</v>
      </c>
      <c r="K471" s="935" t="s">
        <v>1542</v>
      </c>
      <c r="L471" s="934">
        <v>12</v>
      </c>
      <c r="M471" s="934">
        <f t="shared" si="18"/>
        <v>14400</v>
      </c>
      <c r="N471" s="934"/>
      <c r="O471" s="934">
        <v>12</v>
      </c>
      <c r="P471" s="934">
        <f t="shared" si="19"/>
        <v>14400</v>
      </c>
    </row>
    <row r="472" spans="1:16" x14ac:dyDescent="0.2">
      <c r="A472" s="912" t="s">
        <v>1536</v>
      </c>
      <c r="B472" s="912" t="s">
        <v>1333</v>
      </c>
      <c r="C472" s="912" t="s">
        <v>80</v>
      </c>
      <c r="D472" s="912" t="s">
        <v>1679</v>
      </c>
      <c r="E472" s="934">
        <v>1200</v>
      </c>
      <c r="F472" s="926" t="s">
        <v>2054</v>
      </c>
      <c r="G472" s="926" t="s">
        <v>2055</v>
      </c>
      <c r="H472" s="926" t="s">
        <v>982</v>
      </c>
      <c r="I472" s="912" t="s">
        <v>1412</v>
      </c>
      <c r="J472" s="912" t="s">
        <v>982</v>
      </c>
      <c r="K472" s="935" t="s">
        <v>1542</v>
      </c>
      <c r="L472" s="934">
        <v>12</v>
      </c>
      <c r="M472" s="934">
        <f t="shared" si="18"/>
        <v>14400</v>
      </c>
      <c r="N472" s="934"/>
      <c r="O472" s="934">
        <v>12</v>
      </c>
      <c r="P472" s="934">
        <f t="shared" si="19"/>
        <v>14400</v>
      </c>
    </row>
    <row r="473" spans="1:16" x14ac:dyDescent="0.2">
      <c r="A473" s="912" t="s">
        <v>1536</v>
      </c>
      <c r="B473" s="912" t="s">
        <v>1333</v>
      </c>
      <c r="C473" s="912" t="s">
        <v>80</v>
      </c>
      <c r="D473" s="912" t="s">
        <v>1679</v>
      </c>
      <c r="E473" s="934">
        <v>1400</v>
      </c>
      <c r="F473" s="926" t="s">
        <v>2056</v>
      </c>
      <c r="G473" s="926" t="s">
        <v>2057</v>
      </c>
      <c r="H473" s="926" t="s">
        <v>982</v>
      </c>
      <c r="I473" s="912" t="s">
        <v>1412</v>
      </c>
      <c r="J473" s="912" t="s">
        <v>982</v>
      </c>
      <c r="K473" s="935" t="s">
        <v>1542</v>
      </c>
      <c r="L473" s="934">
        <v>12</v>
      </c>
      <c r="M473" s="934">
        <f t="shared" si="18"/>
        <v>16800</v>
      </c>
      <c r="N473" s="934"/>
      <c r="O473" s="934">
        <v>12</v>
      </c>
      <c r="P473" s="934">
        <f t="shared" si="19"/>
        <v>16800</v>
      </c>
    </row>
    <row r="474" spans="1:16" x14ac:dyDescent="0.2">
      <c r="A474" s="912" t="s">
        <v>1536</v>
      </c>
      <c r="B474" s="912" t="s">
        <v>1333</v>
      </c>
      <c r="C474" s="912" t="s">
        <v>80</v>
      </c>
      <c r="D474" s="912" t="s">
        <v>1679</v>
      </c>
      <c r="E474" s="934">
        <v>1200</v>
      </c>
      <c r="F474" s="926" t="s">
        <v>2058</v>
      </c>
      <c r="G474" s="926" t="s">
        <v>2059</v>
      </c>
      <c r="H474" s="926" t="s">
        <v>982</v>
      </c>
      <c r="I474" s="912" t="s">
        <v>1412</v>
      </c>
      <c r="J474" s="912" t="s">
        <v>982</v>
      </c>
      <c r="K474" s="935" t="s">
        <v>1542</v>
      </c>
      <c r="L474" s="934">
        <v>12</v>
      </c>
      <c r="M474" s="934">
        <f t="shared" si="18"/>
        <v>14400</v>
      </c>
      <c r="N474" s="934"/>
      <c r="O474" s="934">
        <v>12</v>
      </c>
      <c r="P474" s="934">
        <f t="shared" si="19"/>
        <v>14400</v>
      </c>
    </row>
    <row r="475" spans="1:16" x14ac:dyDescent="0.2">
      <c r="A475" s="912" t="s">
        <v>1536</v>
      </c>
      <c r="B475" s="912" t="s">
        <v>1333</v>
      </c>
      <c r="C475" s="912" t="s">
        <v>80</v>
      </c>
      <c r="D475" s="912" t="s">
        <v>1679</v>
      </c>
      <c r="E475" s="934">
        <v>930</v>
      </c>
      <c r="F475" s="926" t="s">
        <v>2060</v>
      </c>
      <c r="G475" s="926" t="s">
        <v>2061</v>
      </c>
      <c r="H475" s="926" t="s">
        <v>982</v>
      </c>
      <c r="I475" s="912" t="s">
        <v>1412</v>
      </c>
      <c r="J475" s="912" t="s">
        <v>982</v>
      </c>
      <c r="K475" s="935" t="s">
        <v>1542</v>
      </c>
      <c r="L475" s="934">
        <v>12</v>
      </c>
      <c r="M475" s="934">
        <f t="shared" si="18"/>
        <v>11160</v>
      </c>
      <c r="N475" s="934"/>
      <c r="O475" s="934">
        <v>12</v>
      </c>
      <c r="P475" s="934">
        <f t="shared" si="19"/>
        <v>11160</v>
      </c>
    </row>
    <row r="476" spans="1:16" x14ac:dyDescent="0.2">
      <c r="A476" s="912" t="s">
        <v>1536</v>
      </c>
      <c r="B476" s="912" t="s">
        <v>1333</v>
      </c>
      <c r="C476" s="912" t="s">
        <v>80</v>
      </c>
      <c r="D476" s="912" t="s">
        <v>1679</v>
      </c>
      <c r="E476" s="934">
        <v>1200</v>
      </c>
      <c r="F476" s="926" t="s">
        <v>2062</v>
      </c>
      <c r="G476" s="926" t="s">
        <v>2063</v>
      </c>
      <c r="H476" s="926" t="s">
        <v>982</v>
      </c>
      <c r="I476" s="912" t="s">
        <v>1412</v>
      </c>
      <c r="J476" s="912" t="s">
        <v>982</v>
      </c>
      <c r="K476" s="935" t="s">
        <v>1542</v>
      </c>
      <c r="L476" s="934">
        <v>12</v>
      </c>
      <c r="M476" s="934">
        <f t="shared" si="18"/>
        <v>14400</v>
      </c>
      <c r="N476" s="934"/>
      <c r="O476" s="934">
        <v>12</v>
      </c>
      <c r="P476" s="934">
        <f t="shared" si="19"/>
        <v>14400</v>
      </c>
    </row>
    <row r="477" spans="1:16" x14ac:dyDescent="0.2">
      <c r="A477" s="912" t="s">
        <v>1536</v>
      </c>
      <c r="B477" s="912" t="s">
        <v>1333</v>
      </c>
      <c r="C477" s="912" t="s">
        <v>80</v>
      </c>
      <c r="D477" s="912" t="s">
        <v>1679</v>
      </c>
      <c r="E477" s="934">
        <v>930</v>
      </c>
      <c r="F477" s="926" t="s">
        <v>2064</v>
      </c>
      <c r="G477" s="926" t="s">
        <v>2065</v>
      </c>
      <c r="H477" s="926" t="s">
        <v>982</v>
      </c>
      <c r="I477" s="912" t="s">
        <v>1412</v>
      </c>
      <c r="J477" s="912" t="s">
        <v>982</v>
      </c>
      <c r="K477" s="935" t="s">
        <v>1542</v>
      </c>
      <c r="L477" s="934">
        <v>12</v>
      </c>
      <c r="M477" s="934">
        <f t="shared" si="18"/>
        <v>11160</v>
      </c>
      <c r="N477" s="934"/>
      <c r="O477" s="934">
        <v>12</v>
      </c>
      <c r="P477" s="934">
        <f t="shared" si="19"/>
        <v>11160</v>
      </c>
    </row>
    <row r="478" spans="1:16" x14ac:dyDescent="0.2">
      <c r="A478" s="912" t="s">
        <v>1536</v>
      </c>
      <c r="B478" s="912" t="s">
        <v>1333</v>
      </c>
      <c r="C478" s="912" t="s">
        <v>80</v>
      </c>
      <c r="D478" s="912" t="s">
        <v>1679</v>
      </c>
      <c r="E478" s="934">
        <v>930</v>
      </c>
      <c r="F478" s="926" t="s">
        <v>2066</v>
      </c>
      <c r="G478" s="926" t="s">
        <v>2067</v>
      </c>
      <c r="H478" s="926" t="s">
        <v>982</v>
      </c>
      <c r="I478" s="912" t="s">
        <v>1412</v>
      </c>
      <c r="J478" s="912" t="s">
        <v>982</v>
      </c>
      <c r="K478" s="935" t="s">
        <v>1542</v>
      </c>
      <c r="L478" s="934">
        <v>12</v>
      </c>
      <c r="M478" s="934">
        <f t="shared" si="18"/>
        <v>11160</v>
      </c>
      <c r="N478" s="934"/>
      <c r="O478" s="934">
        <v>12</v>
      </c>
      <c r="P478" s="934">
        <f t="shared" si="19"/>
        <v>11160</v>
      </c>
    </row>
    <row r="479" spans="1:16" x14ac:dyDescent="0.2">
      <c r="A479" s="912" t="s">
        <v>1536</v>
      </c>
      <c r="B479" s="912" t="s">
        <v>1333</v>
      </c>
      <c r="C479" s="912" t="s">
        <v>80</v>
      </c>
      <c r="D479" s="912" t="s">
        <v>1679</v>
      </c>
      <c r="E479" s="934">
        <v>1200</v>
      </c>
      <c r="F479" s="926" t="s">
        <v>2068</v>
      </c>
      <c r="G479" s="926" t="s">
        <v>2069</v>
      </c>
      <c r="H479" s="926" t="s">
        <v>982</v>
      </c>
      <c r="I479" s="912" t="s">
        <v>1412</v>
      </c>
      <c r="J479" s="912" t="s">
        <v>982</v>
      </c>
      <c r="K479" s="935" t="s">
        <v>1542</v>
      </c>
      <c r="L479" s="934">
        <v>12</v>
      </c>
      <c r="M479" s="934">
        <f t="shared" si="18"/>
        <v>14400</v>
      </c>
      <c r="N479" s="934"/>
      <c r="O479" s="934">
        <v>12</v>
      </c>
      <c r="P479" s="934">
        <f t="shared" si="19"/>
        <v>14400</v>
      </c>
    </row>
    <row r="480" spans="1:16" x14ac:dyDescent="0.2">
      <c r="A480" s="912" t="s">
        <v>1536</v>
      </c>
      <c r="B480" s="912" t="s">
        <v>1333</v>
      </c>
      <c r="C480" s="912" t="s">
        <v>80</v>
      </c>
      <c r="D480" s="912" t="s">
        <v>1679</v>
      </c>
      <c r="E480" s="934">
        <v>1200</v>
      </c>
      <c r="F480" s="926" t="s">
        <v>2070</v>
      </c>
      <c r="G480" s="926" t="s">
        <v>2071</v>
      </c>
      <c r="H480" s="926" t="s">
        <v>982</v>
      </c>
      <c r="I480" s="912" t="s">
        <v>1412</v>
      </c>
      <c r="J480" s="912" t="s">
        <v>982</v>
      </c>
      <c r="K480" s="935" t="s">
        <v>1542</v>
      </c>
      <c r="L480" s="934">
        <v>12</v>
      </c>
      <c r="M480" s="934">
        <f t="shared" si="18"/>
        <v>14400</v>
      </c>
      <c r="N480" s="934"/>
      <c r="O480" s="934">
        <v>12</v>
      </c>
      <c r="P480" s="934">
        <f t="shared" si="19"/>
        <v>14400</v>
      </c>
    </row>
    <row r="481" spans="1:16" x14ac:dyDescent="0.2">
      <c r="A481" s="912" t="s">
        <v>1536</v>
      </c>
      <c r="B481" s="912" t="s">
        <v>1333</v>
      </c>
      <c r="C481" s="912" t="s">
        <v>80</v>
      </c>
      <c r="D481" s="912" t="s">
        <v>1679</v>
      </c>
      <c r="E481" s="934">
        <v>1200</v>
      </c>
      <c r="F481" s="926" t="s">
        <v>2072</v>
      </c>
      <c r="G481" s="926" t="s">
        <v>2073</v>
      </c>
      <c r="H481" s="926" t="s">
        <v>982</v>
      </c>
      <c r="I481" s="912" t="s">
        <v>1412</v>
      </c>
      <c r="J481" s="912" t="s">
        <v>982</v>
      </c>
      <c r="K481" s="935" t="s">
        <v>1542</v>
      </c>
      <c r="L481" s="934">
        <v>12</v>
      </c>
      <c r="M481" s="934">
        <f t="shared" si="18"/>
        <v>14400</v>
      </c>
      <c r="N481" s="934"/>
      <c r="O481" s="934">
        <v>12</v>
      </c>
      <c r="P481" s="934">
        <f t="shared" si="19"/>
        <v>14400</v>
      </c>
    </row>
    <row r="482" spans="1:16" x14ac:dyDescent="0.2">
      <c r="A482" s="912" t="s">
        <v>1536</v>
      </c>
      <c r="B482" s="912" t="s">
        <v>1333</v>
      </c>
      <c r="C482" s="912" t="s">
        <v>80</v>
      </c>
      <c r="D482" s="912" t="s">
        <v>1679</v>
      </c>
      <c r="E482" s="934">
        <v>1800</v>
      </c>
      <c r="F482" s="926" t="s">
        <v>2074</v>
      </c>
      <c r="G482" s="926" t="s">
        <v>2075</v>
      </c>
      <c r="H482" s="926" t="s">
        <v>982</v>
      </c>
      <c r="I482" s="912" t="s">
        <v>1412</v>
      </c>
      <c r="J482" s="912" t="s">
        <v>982</v>
      </c>
      <c r="K482" s="935" t="s">
        <v>1542</v>
      </c>
      <c r="L482" s="934">
        <v>12</v>
      </c>
      <c r="M482" s="934">
        <f t="shared" si="18"/>
        <v>21600</v>
      </c>
      <c r="N482" s="934"/>
      <c r="O482" s="934">
        <v>12</v>
      </c>
      <c r="P482" s="934">
        <f t="shared" si="19"/>
        <v>21600</v>
      </c>
    </row>
    <row r="483" spans="1:16" x14ac:dyDescent="0.2">
      <c r="A483" s="912" t="s">
        <v>1536</v>
      </c>
      <c r="B483" s="912" t="s">
        <v>1333</v>
      </c>
      <c r="C483" s="912" t="s">
        <v>80</v>
      </c>
      <c r="D483" s="912" t="s">
        <v>1679</v>
      </c>
      <c r="E483" s="934">
        <v>1200</v>
      </c>
      <c r="F483" s="926" t="s">
        <v>2076</v>
      </c>
      <c r="G483" s="926" t="s">
        <v>2077</v>
      </c>
      <c r="H483" s="926" t="s">
        <v>982</v>
      </c>
      <c r="I483" s="912" t="s">
        <v>1412</v>
      </c>
      <c r="J483" s="912" t="s">
        <v>982</v>
      </c>
      <c r="K483" s="935" t="s">
        <v>1542</v>
      </c>
      <c r="L483" s="934">
        <v>12</v>
      </c>
      <c r="M483" s="934">
        <f t="shared" si="18"/>
        <v>14400</v>
      </c>
      <c r="N483" s="934"/>
      <c r="O483" s="934">
        <v>12</v>
      </c>
      <c r="P483" s="934">
        <f t="shared" si="19"/>
        <v>14400</v>
      </c>
    </row>
    <row r="484" spans="1:16" x14ac:dyDescent="0.2">
      <c r="A484" s="912" t="s">
        <v>1536</v>
      </c>
      <c r="B484" s="912" t="s">
        <v>1333</v>
      </c>
      <c r="C484" s="912" t="s">
        <v>80</v>
      </c>
      <c r="D484" s="912" t="s">
        <v>1679</v>
      </c>
      <c r="E484" s="934">
        <v>1200</v>
      </c>
      <c r="F484" s="926" t="s">
        <v>2078</v>
      </c>
      <c r="G484" s="926" t="s">
        <v>2079</v>
      </c>
      <c r="H484" s="926" t="s">
        <v>982</v>
      </c>
      <c r="I484" s="912" t="s">
        <v>1412</v>
      </c>
      <c r="J484" s="912" t="s">
        <v>982</v>
      </c>
      <c r="K484" s="935" t="s">
        <v>1542</v>
      </c>
      <c r="L484" s="934">
        <v>12</v>
      </c>
      <c r="M484" s="934">
        <f t="shared" si="18"/>
        <v>14400</v>
      </c>
      <c r="N484" s="934"/>
      <c r="O484" s="934">
        <v>12</v>
      </c>
      <c r="P484" s="934">
        <f t="shared" si="19"/>
        <v>14400</v>
      </c>
    </row>
    <row r="485" spans="1:16" x14ac:dyDescent="0.2">
      <c r="A485" s="912" t="s">
        <v>1536</v>
      </c>
      <c r="B485" s="912" t="s">
        <v>1333</v>
      </c>
      <c r="C485" s="912" t="s">
        <v>80</v>
      </c>
      <c r="D485" s="912" t="s">
        <v>1679</v>
      </c>
      <c r="E485" s="934">
        <v>1200</v>
      </c>
      <c r="F485" s="926" t="s">
        <v>2080</v>
      </c>
      <c r="G485" s="926" t="s">
        <v>2081</v>
      </c>
      <c r="H485" s="926" t="s">
        <v>982</v>
      </c>
      <c r="I485" s="912" t="s">
        <v>1412</v>
      </c>
      <c r="J485" s="912" t="s">
        <v>982</v>
      </c>
      <c r="K485" s="935" t="s">
        <v>1542</v>
      </c>
      <c r="L485" s="934">
        <v>12</v>
      </c>
      <c r="M485" s="934">
        <f t="shared" si="18"/>
        <v>14400</v>
      </c>
      <c r="N485" s="934"/>
      <c r="O485" s="934">
        <v>12</v>
      </c>
      <c r="P485" s="934">
        <f t="shared" si="19"/>
        <v>14400</v>
      </c>
    </row>
    <row r="486" spans="1:16" x14ac:dyDescent="0.2">
      <c r="A486" s="912" t="s">
        <v>1536</v>
      </c>
      <c r="B486" s="912" t="s">
        <v>1333</v>
      </c>
      <c r="C486" s="912" t="s">
        <v>80</v>
      </c>
      <c r="D486" s="912" t="s">
        <v>1679</v>
      </c>
      <c r="E486" s="934">
        <v>930</v>
      </c>
      <c r="F486" s="926" t="s">
        <v>2082</v>
      </c>
      <c r="G486" s="926" t="s">
        <v>2083</v>
      </c>
      <c r="H486" s="926" t="s">
        <v>982</v>
      </c>
      <c r="I486" s="912" t="s">
        <v>1412</v>
      </c>
      <c r="J486" s="912" t="s">
        <v>982</v>
      </c>
      <c r="K486" s="935" t="s">
        <v>1542</v>
      </c>
      <c r="L486" s="934">
        <v>12</v>
      </c>
      <c r="M486" s="934">
        <f t="shared" si="18"/>
        <v>11160</v>
      </c>
      <c r="N486" s="934"/>
      <c r="O486" s="934">
        <v>12</v>
      </c>
      <c r="P486" s="934">
        <f t="shared" si="19"/>
        <v>11160</v>
      </c>
    </row>
    <row r="487" spans="1:16" x14ac:dyDescent="0.2">
      <c r="A487" s="912" t="s">
        <v>1536</v>
      </c>
      <c r="B487" s="912" t="s">
        <v>1333</v>
      </c>
      <c r="C487" s="912" t="s">
        <v>80</v>
      </c>
      <c r="D487" s="912" t="s">
        <v>1679</v>
      </c>
      <c r="E487" s="934">
        <v>1200</v>
      </c>
      <c r="F487" s="926" t="s">
        <v>2084</v>
      </c>
      <c r="G487" s="926" t="s">
        <v>2085</v>
      </c>
      <c r="H487" s="926" t="s">
        <v>982</v>
      </c>
      <c r="I487" s="912" t="s">
        <v>1412</v>
      </c>
      <c r="J487" s="912" t="s">
        <v>982</v>
      </c>
      <c r="K487" s="935" t="s">
        <v>1542</v>
      </c>
      <c r="L487" s="934">
        <v>12</v>
      </c>
      <c r="M487" s="934">
        <f t="shared" si="18"/>
        <v>14400</v>
      </c>
      <c r="N487" s="934"/>
      <c r="O487" s="934">
        <v>12</v>
      </c>
      <c r="P487" s="934">
        <f t="shared" si="19"/>
        <v>14400</v>
      </c>
    </row>
    <row r="488" spans="1:16" x14ac:dyDescent="0.2">
      <c r="A488" s="912" t="s">
        <v>1536</v>
      </c>
      <c r="B488" s="912" t="s">
        <v>1333</v>
      </c>
      <c r="C488" s="912" t="s">
        <v>80</v>
      </c>
      <c r="D488" s="912" t="s">
        <v>1679</v>
      </c>
      <c r="E488" s="934">
        <v>1200</v>
      </c>
      <c r="F488" s="926" t="s">
        <v>2086</v>
      </c>
      <c r="G488" s="926" t="s">
        <v>2087</v>
      </c>
      <c r="H488" s="926" t="s">
        <v>982</v>
      </c>
      <c r="I488" s="912" t="s">
        <v>1412</v>
      </c>
      <c r="J488" s="912" t="s">
        <v>982</v>
      </c>
      <c r="K488" s="935" t="s">
        <v>1542</v>
      </c>
      <c r="L488" s="934">
        <v>12</v>
      </c>
      <c r="M488" s="934">
        <f t="shared" si="18"/>
        <v>14400</v>
      </c>
      <c r="N488" s="934"/>
      <c r="O488" s="934">
        <v>12</v>
      </c>
      <c r="P488" s="934">
        <f t="shared" si="19"/>
        <v>14400</v>
      </c>
    </row>
    <row r="489" spans="1:16" x14ac:dyDescent="0.2">
      <c r="A489" s="912" t="s">
        <v>1536</v>
      </c>
      <c r="B489" s="912" t="s">
        <v>1333</v>
      </c>
      <c r="C489" s="912" t="s">
        <v>80</v>
      </c>
      <c r="D489" s="912" t="s">
        <v>1679</v>
      </c>
      <c r="E489" s="934">
        <v>1200</v>
      </c>
      <c r="F489" s="926" t="s">
        <v>2088</v>
      </c>
      <c r="G489" s="926" t="s">
        <v>2089</v>
      </c>
      <c r="H489" s="926" t="s">
        <v>982</v>
      </c>
      <c r="I489" s="912" t="s">
        <v>1412</v>
      </c>
      <c r="J489" s="912" t="s">
        <v>982</v>
      </c>
      <c r="K489" s="935" t="s">
        <v>1542</v>
      </c>
      <c r="L489" s="934">
        <v>12</v>
      </c>
      <c r="M489" s="934">
        <f t="shared" si="18"/>
        <v>14400</v>
      </c>
      <c r="N489" s="934"/>
      <c r="O489" s="934">
        <v>12</v>
      </c>
      <c r="P489" s="934">
        <f t="shared" si="19"/>
        <v>14400</v>
      </c>
    </row>
    <row r="490" spans="1:16" x14ac:dyDescent="0.2">
      <c r="A490" s="912" t="s">
        <v>1536</v>
      </c>
      <c r="B490" s="912" t="s">
        <v>1333</v>
      </c>
      <c r="C490" s="912" t="s">
        <v>80</v>
      </c>
      <c r="D490" s="912" t="s">
        <v>1679</v>
      </c>
      <c r="E490" s="934">
        <v>930</v>
      </c>
      <c r="F490" s="926" t="s">
        <v>2090</v>
      </c>
      <c r="G490" s="926" t="s">
        <v>2091</v>
      </c>
      <c r="H490" s="926" t="s">
        <v>982</v>
      </c>
      <c r="I490" s="912" t="s">
        <v>1412</v>
      </c>
      <c r="J490" s="912" t="s">
        <v>982</v>
      </c>
      <c r="K490" s="935" t="s">
        <v>1542</v>
      </c>
      <c r="L490" s="934">
        <v>12</v>
      </c>
      <c r="M490" s="934">
        <f t="shared" si="18"/>
        <v>11160</v>
      </c>
      <c r="N490" s="934"/>
      <c r="O490" s="934">
        <v>12</v>
      </c>
      <c r="P490" s="934">
        <f t="shared" si="19"/>
        <v>11160</v>
      </c>
    </row>
    <row r="491" spans="1:16" x14ac:dyDescent="0.2">
      <c r="A491" s="912" t="s">
        <v>1536</v>
      </c>
      <c r="B491" s="912" t="s">
        <v>1333</v>
      </c>
      <c r="C491" s="912" t="s">
        <v>80</v>
      </c>
      <c r="D491" s="912" t="s">
        <v>1679</v>
      </c>
      <c r="E491" s="934">
        <v>930</v>
      </c>
      <c r="F491" s="926" t="s">
        <v>2092</v>
      </c>
      <c r="G491" s="926" t="s">
        <v>2093</v>
      </c>
      <c r="H491" s="926" t="s">
        <v>982</v>
      </c>
      <c r="I491" s="912" t="s">
        <v>1412</v>
      </c>
      <c r="J491" s="912" t="s">
        <v>982</v>
      </c>
      <c r="K491" s="935" t="s">
        <v>1542</v>
      </c>
      <c r="L491" s="934">
        <v>12</v>
      </c>
      <c r="M491" s="934">
        <f t="shared" si="18"/>
        <v>11160</v>
      </c>
      <c r="N491" s="934"/>
      <c r="O491" s="934">
        <v>12</v>
      </c>
      <c r="P491" s="934">
        <f t="shared" si="19"/>
        <v>11160</v>
      </c>
    </row>
    <row r="492" spans="1:16" x14ac:dyDescent="0.2">
      <c r="A492" s="912" t="s">
        <v>1536</v>
      </c>
      <c r="B492" s="912" t="s">
        <v>1333</v>
      </c>
      <c r="C492" s="912" t="s">
        <v>80</v>
      </c>
      <c r="D492" s="912" t="s">
        <v>1679</v>
      </c>
      <c r="E492" s="934">
        <v>1200</v>
      </c>
      <c r="F492" s="926" t="s">
        <v>2094</v>
      </c>
      <c r="G492" s="926" t="s">
        <v>2095</v>
      </c>
      <c r="H492" s="926" t="s">
        <v>982</v>
      </c>
      <c r="I492" s="912" t="s">
        <v>1412</v>
      </c>
      <c r="J492" s="912" t="s">
        <v>982</v>
      </c>
      <c r="K492" s="935" t="s">
        <v>1542</v>
      </c>
      <c r="L492" s="934">
        <v>12</v>
      </c>
      <c r="M492" s="934">
        <f t="shared" si="18"/>
        <v>14400</v>
      </c>
      <c r="N492" s="934"/>
      <c r="O492" s="934">
        <v>12</v>
      </c>
      <c r="P492" s="934">
        <f t="shared" si="19"/>
        <v>14400</v>
      </c>
    </row>
    <row r="493" spans="1:16" x14ac:dyDescent="0.2">
      <c r="A493" s="912" t="s">
        <v>1536</v>
      </c>
      <c r="B493" s="912" t="s">
        <v>1333</v>
      </c>
      <c r="C493" s="912" t="s">
        <v>80</v>
      </c>
      <c r="D493" s="912" t="s">
        <v>1679</v>
      </c>
      <c r="E493" s="934">
        <v>1200</v>
      </c>
      <c r="F493" s="926" t="s">
        <v>2096</v>
      </c>
      <c r="G493" s="926" t="s">
        <v>2097</v>
      </c>
      <c r="H493" s="926" t="s">
        <v>982</v>
      </c>
      <c r="I493" s="912" t="s">
        <v>1412</v>
      </c>
      <c r="J493" s="912" t="s">
        <v>982</v>
      </c>
      <c r="K493" s="935" t="s">
        <v>1542</v>
      </c>
      <c r="L493" s="934">
        <v>12</v>
      </c>
      <c r="M493" s="934">
        <f t="shared" si="18"/>
        <v>14400</v>
      </c>
      <c r="N493" s="934"/>
      <c r="O493" s="934">
        <v>12</v>
      </c>
      <c r="P493" s="934">
        <f t="shared" si="19"/>
        <v>14400</v>
      </c>
    </row>
    <row r="494" spans="1:16" x14ac:dyDescent="0.2">
      <c r="A494" s="912" t="s">
        <v>1536</v>
      </c>
      <c r="B494" s="912" t="s">
        <v>1333</v>
      </c>
      <c r="C494" s="912" t="s">
        <v>80</v>
      </c>
      <c r="D494" s="912" t="s">
        <v>1679</v>
      </c>
      <c r="E494" s="934">
        <v>1500</v>
      </c>
      <c r="F494" s="926" t="s">
        <v>2098</v>
      </c>
      <c r="G494" s="926" t="s">
        <v>2099</v>
      </c>
      <c r="H494" s="926" t="s">
        <v>1770</v>
      </c>
      <c r="I494" s="912" t="s">
        <v>1412</v>
      </c>
      <c r="J494" s="912" t="s">
        <v>982</v>
      </c>
      <c r="K494" s="935" t="s">
        <v>1542</v>
      </c>
      <c r="L494" s="934">
        <v>12</v>
      </c>
      <c r="M494" s="934">
        <f t="shared" si="18"/>
        <v>18000</v>
      </c>
      <c r="N494" s="934"/>
      <c r="O494" s="934">
        <v>12</v>
      </c>
      <c r="P494" s="934">
        <f t="shared" si="19"/>
        <v>18000</v>
      </c>
    </row>
    <row r="495" spans="1:16" x14ac:dyDescent="0.2">
      <c r="A495" s="912" t="s">
        <v>1536</v>
      </c>
      <c r="B495" s="912" t="s">
        <v>1333</v>
      </c>
      <c r="C495" s="912" t="s">
        <v>80</v>
      </c>
      <c r="D495" s="912" t="s">
        <v>1679</v>
      </c>
      <c r="E495" s="934">
        <v>1200</v>
      </c>
      <c r="F495" s="926" t="s">
        <v>2100</v>
      </c>
      <c r="G495" s="926" t="s">
        <v>2101</v>
      </c>
      <c r="H495" s="926" t="s">
        <v>1720</v>
      </c>
      <c r="I495" s="912" t="s">
        <v>1412</v>
      </c>
      <c r="J495" s="912" t="s">
        <v>982</v>
      </c>
      <c r="K495" s="935" t="s">
        <v>1542</v>
      </c>
      <c r="L495" s="934">
        <v>12</v>
      </c>
      <c r="M495" s="934">
        <f t="shared" si="18"/>
        <v>14400</v>
      </c>
      <c r="N495" s="934"/>
      <c r="O495" s="934">
        <v>12</v>
      </c>
      <c r="P495" s="934">
        <f t="shared" si="19"/>
        <v>14400</v>
      </c>
    </row>
    <row r="496" spans="1:16" x14ac:dyDescent="0.2">
      <c r="A496" s="912" t="s">
        <v>1536</v>
      </c>
      <c r="B496" s="912" t="s">
        <v>1333</v>
      </c>
      <c r="C496" s="912" t="s">
        <v>80</v>
      </c>
      <c r="D496" s="912" t="s">
        <v>1679</v>
      </c>
      <c r="E496" s="934">
        <v>1200</v>
      </c>
      <c r="F496" s="926" t="s">
        <v>2102</v>
      </c>
      <c r="G496" s="926" t="s">
        <v>2103</v>
      </c>
      <c r="H496" s="926" t="s">
        <v>1720</v>
      </c>
      <c r="I496" s="912" t="s">
        <v>1412</v>
      </c>
      <c r="J496" s="912" t="s">
        <v>982</v>
      </c>
      <c r="K496" s="935" t="s">
        <v>1542</v>
      </c>
      <c r="L496" s="934">
        <v>12</v>
      </c>
      <c r="M496" s="934">
        <f t="shared" si="18"/>
        <v>14400</v>
      </c>
      <c r="N496" s="934"/>
      <c r="O496" s="934">
        <v>12</v>
      </c>
      <c r="P496" s="934">
        <f t="shared" si="19"/>
        <v>14400</v>
      </c>
    </row>
    <row r="497" spans="1:16" x14ac:dyDescent="0.2">
      <c r="A497" s="912" t="s">
        <v>1536</v>
      </c>
      <c r="B497" s="912" t="s">
        <v>1333</v>
      </c>
      <c r="C497" s="912" t="s">
        <v>80</v>
      </c>
      <c r="D497" s="912" t="s">
        <v>1679</v>
      </c>
      <c r="E497" s="934">
        <v>1200</v>
      </c>
      <c r="F497" s="926" t="s">
        <v>2104</v>
      </c>
      <c r="G497" s="926" t="s">
        <v>2105</v>
      </c>
      <c r="H497" s="926" t="s">
        <v>1756</v>
      </c>
      <c r="I497" s="912" t="s">
        <v>1412</v>
      </c>
      <c r="J497" s="912" t="s">
        <v>982</v>
      </c>
      <c r="K497" s="935" t="s">
        <v>1542</v>
      </c>
      <c r="L497" s="934">
        <v>12</v>
      </c>
      <c r="M497" s="934">
        <f t="shared" si="18"/>
        <v>14400</v>
      </c>
      <c r="N497" s="934"/>
      <c r="O497" s="934">
        <v>12</v>
      </c>
      <c r="P497" s="934">
        <f t="shared" si="19"/>
        <v>14400</v>
      </c>
    </row>
    <row r="498" spans="1:16" x14ac:dyDescent="0.2">
      <c r="A498" s="912" t="s">
        <v>1536</v>
      </c>
      <c r="B498" s="912" t="s">
        <v>1333</v>
      </c>
      <c r="C498" s="912" t="s">
        <v>80</v>
      </c>
      <c r="D498" s="912" t="s">
        <v>1679</v>
      </c>
      <c r="E498" s="934">
        <v>1200</v>
      </c>
      <c r="F498" s="926" t="s">
        <v>2106</v>
      </c>
      <c r="G498" s="926" t="s">
        <v>2107</v>
      </c>
      <c r="H498" s="926" t="s">
        <v>1756</v>
      </c>
      <c r="I498" s="912" t="s">
        <v>1412</v>
      </c>
      <c r="J498" s="912" t="s">
        <v>982</v>
      </c>
      <c r="K498" s="935" t="s">
        <v>1542</v>
      </c>
      <c r="L498" s="934">
        <v>12</v>
      </c>
      <c r="M498" s="934">
        <f t="shared" si="18"/>
        <v>14400</v>
      </c>
      <c r="N498" s="934"/>
      <c r="O498" s="934">
        <v>12</v>
      </c>
      <c r="P498" s="934">
        <f t="shared" si="19"/>
        <v>14400</v>
      </c>
    </row>
    <row r="499" spans="1:16" x14ac:dyDescent="0.2">
      <c r="A499" s="912" t="s">
        <v>1536</v>
      </c>
      <c r="B499" s="912" t="s">
        <v>1333</v>
      </c>
      <c r="C499" s="912" t="s">
        <v>80</v>
      </c>
      <c r="D499" s="912" t="s">
        <v>1679</v>
      </c>
      <c r="E499" s="934">
        <v>1200</v>
      </c>
      <c r="F499" s="926" t="s">
        <v>2108</v>
      </c>
      <c r="G499" s="926" t="s">
        <v>2109</v>
      </c>
      <c r="H499" s="926" t="s">
        <v>1756</v>
      </c>
      <c r="I499" s="912" t="s">
        <v>1412</v>
      </c>
      <c r="J499" s="912" t="s">
        <v>982</v>
      </c>
      <c r="K499" s="935" t="s">
        <v>1542</v>
      </c>
      <c r="L499" s="934">
        <v>12</v>
      </c>
      <c r="M499" s="934">
        <f t="shared" si="18"/>
        <v>14400</v>
      </c>
      <c r="N499" s="934"/>
      <c r="O499" s="934">
        <v>12</v>
      </c>
      <c r="P499" s="934">
        <f t="shared" si="19"/>
        <v>14400</v>
      </c>
    </row>
    <row r="500" spans="1:16" x14ac:dyDescent="0.2">
      <c r="A500" s="912" t="s">
        <v>1536</v>
      </c>
      <c r="B500" s="912" t="s">
        <v>1333</v>
      </c>
      <c r="C500" s="912" t="s">
        <v>80</v>
      </c>
      <c r="D500" s="912" t="s">
        <v>1679</v>
      </c>
      <c r="E500" s="934">
        <v>1200</v>
      </c>
      <c r="F500" s="926" t="s">
        <v>2110</v>
      </c>
      <c r="G500" s="926" t="s">
        <v>2111</v>
      </c>
      <c r="H500" s="926" t="s">
        <v>1756</v>
      </c>
      <c r="I500" s="912" t="s">
        <v>1412</v>
      </c>
      <c r="J500" s="912" t="s">
        <v>982</v>
      </c>
      <c r="K500" s="935" t="s">
        <v>1542</v>
      </c>
      <c r="L500" s="934">
        <v>12</v>
      </c>
      <c r="M500" s="934">
        <f t="shared" si="18"/>
        <v>14400</v>
      </c>
      <c r="N500" s="934"/>
      <c r="O500" s="934">
        <v>12</v>
      </c>
      <c r="P500" s="934">
        <f t="shared" si="19"/>
        <v>14400</v>
      </c>
    </row>
    <row r="501" spans="1:16" x14ac:dyDescent="0.2">
      <c r="A501" s="912" t="s">
        <v>1536</v>
      </c>
      <c r="B501" s="912" t="s">
        <v>1333</v>
      </c>
      <c r="C501" s="912" t="s">
        <v>80</v>
      </c>
      <c r="D501" s="912" t="s">
        <v>1679</v>
      </c>
      <c r="E501" s="934">
        <v>1200</v>
      </c>
      <c r="F501" s="926" t="s">
        <v>2112</v>
      </c>
      <c r="G501" s="926" t="s">
        <v>2113</v>
      </c>
      <c r="H501" s="926" t="s">
        <v>1756</v>
      </c>
      <c r="I501" s="912" t="s">
        <v>1412</v>
      </c>
      <c r="J501" s="912" t="s">
        <v>982</v>
      </c>
      <c r="K501" s="935" t="s">
        <v>1542</v>
      </c>
      <c r="L501" s="934">
        <v>12</v>
      </c>
      <c r="M501" s="934">
        <f t="shared" si="18"/>
        <v>14400</v>
      </c>
      <c r="N501" s="934"/>
      <c r="O501" s="934">
        <v>12</v>
      </c>
      <c r="P501" s="934">
        <f t="shared" si="19"/>
        <v>14400</v>
      </c>
    </row>
    <row r="502" spans="1:16" x14ac:dyDescent="0.2">
      <c r="A502" s="912" t="s">
        <v>1536</v>
      </c>
      <c r="B502" s="912" t="s">
        <v>1333</v>
      </c>
      <c r="C502" s="912" t="s">
        <v>80</v>
      </c>
      <c r="D502" s="912" t="s">
        <v>1679</v>
      </c>
      <c r="E502" s="934">
        <v>1200</v>
      </c>
      <c r="F502" s="926" t="s">
        <v>2114</v>
      </c>
      <c r="G502" s="926" t="s">
        <v>2115</v>
      </c>
      <c r="H502" s="926" t="s">
        <v>1756</v>
      </c>
      <c r="I502" s="912" t="s">
        <v>1412</v>
      </c>
      <c r="J502" s="912" t="s">
        <v>982</v>
      </c>
      <c r="K502" s="935" t="s">
        <v>1542</v>
      </c>
      <c r="L502" s="934">
        <v>12</v>
      </c>
      <c r="M502" s="934">
        <f t="shared" si="18"/>
        <v>14400</v>
      </c>
      <c r="N502" s="934"/>
      <c r="O502" s="934">
        <v>12</v>
      </c>
      <c r="P502" s="934">
        <f t="shared" si="19"/>
        <v>14400</v>
      </c>
    </row>
    <row r="503" spans="1:16" x14ac:dyDescent="0.2">
      <c r="A503" s="912" t="s">
        <v>1536</v>
      </c>
      <c r="B503" s="912" t="s">
        <v>1333</v>
      </c>
      <c r="C503" s="912" t="s">
        <v>80</v>
      </c>
      <c r="D503" s="912" t="s">
        <v>1679</v>
      </c>
      <c r="E503" s="934">
        <v>1200</v>
      </c>
      <c r="F503" s="926" t="s">
        <v>2116</v>
      </c>
      <c r="G503" s="926" t="s">
        <v>2117</v>
      </c>
      <c r="H503" s="926" t="s">
        <v>1756</v>
      </c>
      <c r="I503" s="912" t="s">
        <v>1412</v>
      </c>
      <c r="J503" s="912" t="s">
        <v>982</v>
      </c>
      <c r="K503" s="935" t="s">
        <v>1542</v>
      </c>
      <c r="L503" s="934">
        <v>12</v>
      </c>
      <c r="M503" s="934">
        <f t="shared" si="18"/>
        <v>14400</v>
      </c>
      <c r="N503" s="934"/>
      <c r="O503" s="934">
        <v>12</v>
      </c>
      <c r="P503" s="934">
        <f t="shared" si="19"/>
        <v>14400</v>
      </c>
    </row>
    <row r="504" spans="1:16" x14ac:dyDescent="0.2">
      <c r="A504" s="912" t="s">
        <v>1536</v>
      </c>
      <c r="B504" s="912" t="s">
        <v>1333</v>
      </c>
      <c r="C504" s="912" t="s">
        <v>80</v>
      </c>
      <c r="D504" s="912" t="s">
        <v>1679</v>
      </c>
      <c r="E504" s="934">
        <v>1200</v>
      </c>
      <c r="F504" s="926" t="s">
        <v>2118</v>
      </c>
      <c r="G504" s="926" t="s">
        <v>2119</v>
      </c>
      <c r="H504" s="926" t="s">
        <v>2120</v>
      </c>
      <c r="I504" s="912" t="s">
        <v>1412</v>
      </c>
      <c r="J504" s="912" t="s">
        <v>982</v>
      </c>
      <c r="K504" s="935" t="s">
        <v>1542</v>
      </c>
      <c r="L504" s="934">
        <v>12</v>
      </c>
      <c r="M504" s="934">
        <f t="shared" si="18"/>
        <v>14400</v>
      </c>
      <c r="N504" s="934"/>
      <c r="O504" s="934">
        <v>12</v>
      </c>
      <c r="P504" s="934">
        <f t="shared" si="19"/>
        <v>14400</v>
      </c>
    </row>
    <row r="505" spans="1:16" x14ac:dyDescent="0.2">
      <c r="A505" s="912" t="s">
        <v>1536</v>
      </c>
      <c r="B505" s="912" t="s">
        <v>1333</v>
      </c>
      <c r="C505" s="912" t="s">
        <v>80</v>
      </c>
      <c r="D505" s="912" t="s">
        <v>1679</v>
      </c>
      <c r="E505" s="934">
        <v>1100</v>
      </c>
      <c r="F505" s="926" t="s">
        <v>2121</v>
      </c>
      <c r="G505" s="926" t="s">
        <v>2122</v>
      </c>
      <c r="H505" s="926" t="s">
        <v>1761</v>
      </c>
      <c r="I505" s="912" t="s">
        <v>1020</v>
      </c>
      <c r="J505" s="912" t="s">
        <v>2123</v>
      </c>
      <c r="K505" s="935" t="s">
        <v>1542</v>
      </c>
      <c r="L505" s="934">
        <v>12</v>
      </c>
      <c r="M505" s="934">
        <f t="shared" si="18"/>
        <v>13200</v>
      </c>
      <c r="N505" s="934"/>
      <c r="O505" s="934">
        <v>12</v>
      </c>
      <c r="P505" s="934">
        <f t="shared" si="19"/>
        <v>13200</v>
      </c>
    </row>
    <row r="506" spans="1:16" x14ac:dyDescent="0.2">
      <c r="A506" s="912" t="s">
        <v>1536</v>
      </c>
      <c r="B506" s="912" t="s">
        <v>1333</v>
      </c>
      <c r="C506" s="912" t="s">
        <v>80</v>
      </c>
      <c r="D506" s="912" t="s">
        <v>1679</v>
      </c>
      <c r="E506" s="934">
        <v>1100</v>
      </c>
      <c r="F506" s="926" t="s">
        <v>2124</v>
      </c>
      <c r="G506" s="926" t="s">
        <v>2125</v>
      </c>
      <c r="H506" s="926" t="s">
        <v>1761</v>
      </c>
      <c r="I506" s="912" t="s">
        <v>1020</v>
      </c>
      <c r="J506" s="912" t="s">
        <v>2123</v>
      </c>
      <c r="K506" s="935" t="s">
        <v>1542</v>
      </c>
      <c r="L506" s="934">
        <v>12</v>
      </c>
      <c r="M506" s="934">
        <f t="shared" si="18"/>
        <v>13200</v>
      </c>
      <c r="N506" s="934"/>
      <c r="O506" s="934">
        <v>12</v>
      </c>
      <c r="P506" s="934">
        <f t="shared" si="19"/>
        <v>13200</v>
      </c>
    </row>
    <row r="507" spans="1:16" x14ac:dyDescent="0.2">
      <c r="A507" s="937" t="s">
        <v>2126</v>
      </c>
      <c r="B507" s="912" t="s">
        <v>875</v>
      </c>
      <c r="C507" s="912" t="s">
        <v>80</v>
      </c>
      <c r="D507" s="912" t="s">
        <v>2127</v>
      </c>
      <c r="E507" s="938">
        <v>1200</v>
      </c>
      <c r="F507" s="926" t="s">
        <v>2128</v>
      </c>
      <c r="G507" s="926" t="s">
        <v>2129</v>
      </c>
      <c r="H507" s="926" t="s">
        <v>2130</v>
      </c>
      <c r="I507" s="939" t="s">
        <v>1412</v>
      </c>
      <c r="J507" s="912" t="s">
        <v>1412</v>
      </c>
      <c r="K507" s="912">
        <v>1</v>
      </c>
      <c r="L507" s="912">
        <v>12</v>
      </c>
      <c r="M507" s="938">
        <f t="shared" ref="M507:M564" si="20">E507*12</f>
        <v>14400</v>
      </c>
      <c r="N507" s="912">
        <v>1</v>
      </c>
      <c r="O507" s="912">
        <v>6</v>
      </c>
      <c r="P507" s="938">
        <f t="shared" ref="P507:P570" si="21">E507*O507</f>
        <v>7200</v>
      </c>
    </row>
    <row r="508" spans="1:16" x14ac:dyDescent="0.2">
      <c r="A508" s="937" t="s">
        <v>2126</v>
      </c>
      <c r="B508" s="912" t="s">
        <v>875</v>
      </c>
      <c r="C508" s="912" t="s">
        <v>80</v>
      </c>
      <c r="D508" s="912" t="s">
        <v>2127</v>
      </c>
      <c r="E508" s="938">
        <v>2239</v>
      </c>
      <c r="F508" s="926" t="s">
        <v>2131</v>
      </c>
      <c r="G508" s="926" t="s">
        <v>2132</v>
      </c>
      <c r="H508" s="926" t="s">
        <v>1594</v>
      </c>
      <c r="I508" s="939" t="s">
        <v>2133</v>
      </c>
      <c r="J508" s="912" t="s">
        <v>2133</v>
      </c>
      <c r="K508" s="912">
        <v>1</v>
      </c>
      <c r="L508" s="912">
        <v>12</v>
      </c>
      <c r="M508" s="938">
        <f t="shared" si="20"/>
        <v>26868</v>
      </c>
      <c r="N508" s="912">
        <v>1</v>
      </c>
      <c r="O508" s="912">
        <v>6</v>
      </c>
      <c r="P508" s="938">
        <f t="shared" si="21"/>
        <v>13434</v>
      </c>
    </row>
    <row r="509" spans="1:16" x14ac:dyDescent="0.2">
      <c r="A509" s="937" t="s">
        <v>2126</v>
      </c>
      <c r="B509" s="912" t="s">
        <v>875</v>
      </c>
      <c r="C509" s="912" t="s">
        <v>80</v>
      </c>
      <c r="D509" s="912" t="s">
        <v>2127</v>
      </c>
      <c r="E509" s="938">
        <v>4568</v>
      </c>
      <c r="F509" s="926" t="s">
        <v>2134</v>
      </c>
      <c r="G509" s="926" t="s">
        <v>2135</v>
      </c>
      <c r="H509" s="926" t="s">
        <v>1175</v>
      </c>
      <c r="I509" s="939" t="s">
        <v>2133</v>
      </c>
      <c r="J509" s="912" t="s">
        <v>2133</v>
      </c>
      <c r="K509" s="912">
        <v>1</v>
      </c>
      <c r="L509" s="912">
        <v>12</v>
      </c>
      <c r="M509" s="938">
        <f t="shared" si="20"/>
        <v>54816</v>
      </c>
      <c r="N509" s="912">
        <v>1</v>
      </c>
      <c r="O509" s="912">
        <v>6</v>
      </c>
      <c r="P509" s="938">
        <f t="shared" si="21"/>
        <v>27408</v>
      </c>
    </row>
    <row r="510" spans="1:16" x14ac:dyDescent="0.2">
      <c r="A510" s="937" t="s">
        <v>2126</v>
      </c>
      <c r="B510" s="912" t="s">
        <v>875</v>
      </c>
      <c r="C510" s="912" t="s">
        <v>80</v>
      </c>
      <c r="D510" s="912" t="s">
        <v>2136</v>
      </c>
      <c r="E510" s="938">
        <v>11000</v>
      </c>
      <c r="F510" s="926" t="s">
        <v>2137</v>
      </c>
      <c r="G510" s="926" t="s">
        <v>2138</v>
      </c>
      <c r="H510" s="926" t="s">
        <v>2050</v>
      </c>
      <c r="I510" s="939" t="s">
        <v>2133</v>
      </c>
      <c r="J510" s="912" t="s">
        <v>2133</v>
      </c>
      <c r="K510" s="912">
        <v>1</v>
      </c>
      <c r="L510" s="912">
        <v>12</v>
      </c>
      <c r="M510" s="938">
        <f t="shared" si="20"/>
        <v>132000</v>
      </c>
      <c r="N510" s="912">
        <v>1</v>
      </c>
      <c r="O510" s="912">
        <v>3</v>
      </c>
      <c r="P510" s="938">
        <f t="shared" si="21"/>
        <v>33000</v>
      </c>
    </row>
    <row r="511" spans="1:16" x14ac:dyDescent="0.2">
      <c r="A511" s="937" t="s">
        <v>2126</v>
      </c>
      <c r="B511" s="912" t="s">
        <v>875</v>
      </c>
      <c r="C511" s="912" t="s">
        <v>80</v>
      </c>
      <c r="D511" s="912" t="s">
        <v>2127</v>
      </c>
      <c r="E511" s="938">
        <v>4568</v>
      </c>
      <c r="F511" s="926" t="s">
        <v>2139</v>
      </c>
      <c r="G511" s="926" t="s">
        <v>2140</v>
      </c>
      <c r="H511" s="926" t="s">
        <v>1175</v>
      </c>
      <c r="I511" s="939" t="s">
        <v>2133</v>
      </c>
      <c r="J511" s="912" t="s">
        <v>2133</v>
      </c>
      <c r="K511" s="912">
        <v>1</v>
      </c>
      <c r="L511" s="912">
        <v>12</v>
      </c>
      <c r="M511" s="938">
        <f t="shared" si="20"/>
        <v>54816</v>
      </c>
      <c r="N511" s="912">
        <v>1</v>
      </c>
      <c r="O511" s="912">
        <v>6</v>
      </c>
      <c r="P511" s="938">
        <f t="shared" si="21"/>
        <v>27408</v>
      </c>
    </row>
    <row r="512" spans="1:16" x14ac:dyDescent="0.2">
      <c r="A512" s="937" t="s">
        <v>2126</v>
      </c>
      <c r="B512" s="912" t="s">
        <v>875</v>
      </c>
      <c r="C512" s="912" t="s">
        <v>80</v>
      </c>
      <c r="D512" s="912" t="s">
        <v>2127</v>
      </c>
      <c r="E512" s="938">
        <v>3000</v>
      </c>
      <c r="F512" s="926" t="s">
        <v>2141</v>
      </c>
      <c r="G512" s="926" t="s">
        <v>2142</v>
      </c>
      <c r="H512" s="926" t="s">
        <v>1175</v>
      </c>
      <c r="I512" s="939" t="s">
        <v>2133</v>
      </c>
      <c r="J512" s="912" t="s">
        <v>2133</v>
      </c>
      <c r="K512" s="912">
        <v>1</v>
      </c>
      <c r="L512" s="912">
        <v>12</v>
      </c>
      <c r="M512" s="938">
        <f t="shared" si="20"/>
        <v>36000</v>
      </c>
      <c r="N512" s="912">
        <v>1</v>
      </c>
      <c r="O512" s="912">
        <v>6</v>
      </c>
      <c r="P512" s="938">
        <f t="shared" si="21"/>
        <v>18000</v>
      </c>
    </row>
    <row r="513" spans="1:16" x14ac:dyDescent="0.2">
      <c r="A513" s="937" t="s">
        <v>2126</v>
      </c>
      <c r="B513" s="912" t="s">
        <v>875</v>
      </c>
      <c r="C513" s="912" t="s">
        <v>80</v>
      </c>
      <c r="D513" s="912" t="s">
        <v>2127</v>
      </c>
      <c r="E513" s="938">
        <v>930</v>
      </c>
      <c r="F513" s="926" t="s">
        <v>2143</v>
      </c>
      <c r="G513" s="926" t="s">
        <v>2144</v>
      </c>
      <c r="H513" s="926" t="s">
        <v>1666</v>
      </c>
      <c r="I513" s="939" t="s">
        <v>2133</v>
      </c>
      <c r="J513" s="912" t="s">
        <v>2133</v>
      </c>
      <c r="K513" s="912">
        <v>1</v>
      </c>
      <c r="L513" s="912">
        <v>12</v>
      </c>
      <c r="M513" s="938">
        <f t="shared" si="20"/>
        <v>11160</v>
      </c>
      <c r="N513" s="912">
        <v>1</v>
      </c>
      <c r="O513" s="912">
        <v>6</v>
      </c>
      <c r="P513" s="938">
        <f t="shared" si="21"/>
        <v>5580</v>
      </c>
    </row>
    <row r="514" spans="1:16" x14ac:dyDescent="0.2">
      <c r="A514" s="937" t="s">
        <v>2126</v>
      </c>
      <c r="B514" s="912" t="s">
        <v>875</v>
      </c>
      <c r="C514" s="912" t="s">
        <v>80</v>
      </c>
      <c r="D514" s="912" t="s">
        <v>2127</v>
      </c>
      <c r="E514" s="938">
        <v>4568</v>
      </c>
      <c r="F514" s="926" t="s">
        <v>2145</v>
      </c>
      <c r="G514" s="926" t="s">
        <v>2146</v>
      </c>
      <c r="H514" s="926" t="s">
        <v>1175</v>
      </c>
      <c r="I514" s="939" t="s">
        <v>2133</v>
      </c>
      <c r="J514" s="912" t="s">
        <v>2133</v>
      </c>
      <c r="K514" s="912">
        <v>1</v>
      </c>
      <c r="L514" s="912">
        <v>12</v>
      </c>
      <c r="M514" s="938">
        <f t="shared" si="20"/>
        <v>54816</v>
      </c>
      <c r="N514" s="912">
        <v>1</v>
      </c>
      <c r="O514" s="912">
        <v>6</v>
      </c>
      <c r="P514" s="938">
        <f t="shared" si="21"/>
        <v>27408</v>
      </c>
    </row>
    <row r="515" spans="1:16" x14ac:dyDescent="0.2">
      <c r="A515" s="937" t="s">
        <v>2126</v>
      </c>
      <c r="B515" s="912" t="s">
        <v>875</v>
      </c>
      <c r="C515" s="912" t="s">
        <v>80</v>
      </c>
      <c r="D515" s="912" t="s">
        <v>2127</v>
      </c>
      <c r="E515" s="938">
        <v>1724</v>
      </c>
      <c r="F515" s="926" t="s">
        <v>2147</v>
      </c>
      <c r="G515" s="926" t="s">
        <v>2148</v>
      </c>
      <c r="H515" s="926" t="s">
        <v>1028</v>
      </c>
      <c r="I515" s="939" t="s">
        <v>2133</v>
      </c>
      <c r="J515" s="912" t="s">
        <v>2133</v>
      </c>
      <c r="K515" s="912">
        <v>1</v>
      </c>
      <c r="L515" s="912">
        <v>12</v>
      </c>
      <c r="M515" s="938">
        <f t="shared" si="20"/>
        <v>20688</v>
      </c>
      <c r="N515" s="912">
        <v>1</v>
      </c>
      <c r="O515" s="912">
        <v>6</v>
      </c>
      <c r="P515" s="938">
        <f t="shared" si="21"/>
        <v>10344</v>
      </c>
    </row>
    <row r="516" spans="1:16" x14ac:dyDescent="0.2">
      <c r="A516" s="937" t="s">
        <v>2126</v>
      </c>
      <c r="B516" s="912" t="s">
        <v>875</v>
      </c>
      <c r="C516" s="912" t="s">
        <v>80</v>
      </c>
      <c r="D516" s="912" t="s">
        <v>2136</v>
      </c>
      <c r="E516" s="938">
        <v>1200</v>
      </c>
      <c r="F516" s="926" t="s">
        <v>2149</v>
      </c>
      <c r="G516" s="926" t="s">
        <v>2150</v>
      </c>
      <c r="H516" s="926" t="s">
        <v>982</v>
      </c>
      <c r="I516" s="939" t="s">
        <v>1412</v>
      </c>
      <c r="J516" s="912" t="s">
        <v>1412</v>
      </c>
      <c r="K516" s="912">
        <v>1</v>
      </c>
      <c r="L516" s="912">
        <v>12</v>
      </c>
      <c r="M516" s="938">
        <f t="shared" si="20"/>
        <v>14400</v>
      </c>
      <c r="N516" s="912">
        <v>1</v>
      </c>
      <c r="O516" s="912">
        <v>6</v>
      </c>
      <c r="P516" s="938">
        <f t="shared" si="21"/>
        <v>7200</v>
      </c>
    </row>
    <row r="517" spans="1:16" x14ac:dyDescent="0.2">
      <c r="A517" s="937" t="s">
        <v>2126</v>
      </c>
      <c r="B517" s="912" t="s">
        <v>875</v>
      </c>
      <c r="C517" s="912" t="s">
        <v>80</v>
      </c>
      <c r="D517" s="912" t="s">
        <v>2127</v>
      </c>
      <c r="E517" s="938">
        <v>930</v>
      </c>
      <c r="F517" s="926" t="s">
        <v>2151</v>
      </c>
      <c r="G517" s="926" t="s">
        <v>2152</v>
      </c>
      <c r="H517" s="926" t="s">
        <v>1878</v>
      </c>
      <c r="I517" s="939" t="s">
        <v>2133</v>
      </c>
      <c r="J517" s="912" t="s">
        <v>2133</v>
      </c>
      <c r="K517" s="912">
        <v>1</v>
      </c>
      <c r="L517" s="912">
        <v>12</v>
      </c>
      <c r="M517" s="938">
        <f t="shared" si="20"/>
        <v>11160</v>
      </c>
      <c r="N517" s="912">
        <v>1</v>
      </c>
      <c r="O517" s="912">
        <v>1</v>
      </c>
      <c r="P517" s="938">
        <f t="shared" si="21"/>
        <v>930</v>
      </c>
    </row>
    <row r="518" spans="1:16" x14ac:dyDescent="0.2">
      <c r="A518" s="937" t="s">
        <v>2126</v>
      </c>
      <c r="B518" s="912" t="s">
        <v>875</v>
      </c>
      <c r="C518" s="912" t="s">
        <v>80</v>
      </c>
      <c r="D518" s="912" t="s">
        <v>2127</v>
      </c>
      <c r="E518" s="938">
        <v>2000</v>
      </c>
      <c r="F518" s="926" t="s">
        <v>2153</v>
      </c>
      <c r="G518" s="926" t="s">
        <v>2154</v>
      </c>
      <c r="H518" s="926" t="s">
        <v>1594</v>
      </c>
      <c r="I518" s="939" t="s">
        <v>2133</v>
      </c>
      <c r="J518" s="912" t="s">
        <v>2133</v>
      </c>
      <c r="K518" s="912">
        <v>1</v>
      </c>
      <c r="L518" s="912">
        <v>12</v>
      </c>
      <c r="M518" s="938">
        <f t="shared" si="20"/>
        <v>24000</v>
      </c>
      <c r="N518" s="912">
        <v>1</v>
      </c>
      <c r="O518" s="912">
        <v>6</v>
      </c>
      <c r="P518" s="938">
        <f t="shared" si="21"/>
        <v>12000</v>
      </c>
    </row>
    <row r="519" spans="1:16" x14ac:dyDescent="0.2">
      <c r="A519" s="937" t="s">
        <v>2126</v>
      </c>
      <c r="B519" s="912" t="s">
        <v>875</v>
      </c>
      <c r="C519" s="912" t="s">
        <v>80</v>
      </c>
      <c r="D519" s="912" t="s">
        <v>2127</v>
      </c>
      <c r="E519" s="938">
        <v>3500</v>
      </c>
      <c r="F519" s="926" t="s">
        <v>2155</v>
      </c>
      <c r="G519" s="926" t="s">
        <v>2156</v>
      </c>
      <c r="H519" s="926" t="s">
        <v>1175</v>
      </c>
      <c r="I519" s="939" t="s">
        <v>2133</v>
      </c>
      <c r="J519" s="912" t="s">
        <v>2133</v>
      </c>
      <c r="K519" s="912">
        <v>1</v>
      </c>
      <c r="L519" s="912">
        <v>12</v>
      </c>
      <c r="M519" s="938">
        <f t="shared" si="20"/>
        <v>42000</v>
      </c>
      <c r="N519" s="912">
        <v>1</v>
      </c>
      <c r="O519" s="912">
        <v>6</v>
      </c>
      <c r="P519" s="938">
        <f t="shared" si="21"/>
        <v>21000</v>
      </c>
    </row>
    <row r="520" spans="1:16" x14ac:dyDescent="0.2">
      <c r="A520" s="937" t="s">
        <v>2126</v>
      </c>
      <c r="B520" s="912" t="s">
        <v>875</v>
      </c>
      <c r="C520" s="912" t="s">
        <v>80</v>
      </c>
      <c r="D520" s="912" t="s">
        <v>2127</v>
      </c>
      <c r="E520" s="938">
        <v>1724</v>
      </c>
      <c r="F520" s="926" t="s">
        <v>2157</v>
      </c>
      <c r="G520" s="926" t="s">
        <v>2158</v>
      </c>
      <c r="H520" s="926" t="s">
        <v>1028</v>
      </c>
      <c r="I520" s="939" t="s">
        <v>2133</v>
      </c>
      <c r="J520" s="912" t="s">
        <v>2133</v>
      </c>
      <c r="K520" s="912">
        <v>1</v>
      </c>
      <c r="L520" s="912">
        <v>12</v>
      </c>
      <c r="M520" s="938">
        <f t="shared" si="20"/>
        <v>20688</v>
      </c>
      <c r="N520" s="912">
        <v>1</v>
      </c>
      <c r="O520" s="912">
        <v>6</v>
      </c>
      <c r="P520" s="938">
        <f t="shared" si="21"/>
        <v>10344</v>
      </c>
    </row>
    <row r="521" spans="1:16" x14ac:dyDescent="0.2">
      <c r="A521" s="937" t="s">
        <v>2126</v>
      </c>
      <c r="B521" s="912" t="s">
        <v>875</v>
      </c>
      <c r="C521" s="912" t="s">
        <v>80</v>
      </c>
      <c r="D521" s="912" t="s">
        <v>2127</v>
      </c>
      <c r="E521" s="938">
        <v>930</v>
      </c>
      <c r="F521" s="926" t="s">
        <v>2159</v>
      </c>
      <c r="G521" s="926" t="s">
        <v>2160</v>
      </c>
      <c r="H521" s="926" t="s">
        <v>1878</v>
      </c>
      <c r="I521" s="939" t="s">
        <v>2133</v>
      </c>
      <c r="J521" s="912" t="s">
        <v>2133</v>
      </c>
      <c r="K521" s="912">
        <v>1</v>
      </c>
      <c r="L521" s="912">
        <v>12</v>
      </c>
      <c r="M521" s="938">
        <f t="shared" si="20"/>
        <v>11160</v>
      </c>
      <c r="N521" s="912">
        <v>1</v>
      </c>
      <c r="O521" s="912">
        <v>1</v>
      </c>
      <c r="P521" s="938">
        <f t="shared" si="21"/>
        <v>930</v>
      </c>
    </row>
    <row r="522" spans="1:16" x14ac:dyDescent="0.2">
      <c r="A522" s="937" t="s">
        <v>2126</v>
      </c>
      <c r="B522" s="912" t="s">
        <v>875</v>
      </c>
      <c r="C522" s="912" t="s">
        <v>80</v>
      </c>
      <c r="D522" s="912" t="s">
        <v>2127</v>
      </c>
      <c r="E522" s="938">
        <v>1500</v>
      </c>
      <c r="F522" s="926" t="s">
        <v>2161</v>
      </c>
      <c r="G522" s="926" t="s">
        <v>2162</v>
      </c>
      <c r="H522" s="926" t="s">
        <v>2163</v>
      </c>
      <c r="I522" s="939" t="s">
        <v>2133</v>
      </c>
      <c r="J522" s="912" t="s">
        <v>2133</v>
      </c>
      <c r="K522" s="912">
        <v>1</v>
      </c>
      <c r="L522" s="912">
        <v>12</v>
      </c>
      <c r="M522" s="938">
        <f t="shared" si="20"/>
        <v>18000</v>
      </c>
      <c r="N522" s="912">
        <v>1</v>
      </c>
      <c r="O522" s="912">
        <v>6</v>
      </c>
      <c r="P522" s="938">
        <f t="shared" si="21"/>
        <v>9000</v>
      </c>
    </row>
    <row r="523" spans="1:16" x14ac:dyDescent="0.2">
      <c r="A523" s="937" t="s">
        <v>2126</v>
      </c>
      <c r="B523" s="912" t="s">
        <v>875</v>
      </c>
      <c r="C523" s="912" t="s">
        <v>80</v>
      </c>
      <c r="D523" s="912" t="s">
        <v>2127</v>
      </c>
      <c r="E523" s="938">
        <v>2239</v>
      </c>
      <c r="F523" s="926" t="s">
        <v>2164</v>
      </c>
      <c r="G523" s="926" t="s">
        <v>2165</v>
      </c>
      <c r="H523" s="926" t="s">
        <v>1646</v>
      </c>
      <c r="I523" s="939" t="s">
        <v>2133</v>
      </c>
      <c r="J523" s="912" t="s">
        <v>2133</v>
      </c>
      <c r="K523" s="912">
        <v>1</v>
      </c>
      <c r="L523" s="912">
        <v>12</v>
      </c>
      <c r="M523" s="938">
        <f t="shared" si="20"/>
        <v>26868</v>
      </c>
      <c r="N523" s="912">
        <v>1</v>
      </c>
      <c r="O523" s="912">
        <v>6</v>
      </c>
      <c r="P523" s="938">
        <f t="shared" si="21"/>
        <v>13434</v>
      </c>
    </row>
    <row r="524" spans="1:16" x14ac:dyDescent="0.2">
      <c r="A524" s="937" t="s">
        <v>2126</v>
      </c>
      <c r="B524" s="912" t="s">
        <v>875</v>
      </c>
      <c r="C524" s="912" t="s">
        <v>80</v>
      </c>
      <c r="D524" s="912" t="s">
        <v>2136</v>
      </c>
      <c r="E524" s="938">
        <v>1000</v>
      </c>
      <c r="F524" s="926" t="s">
        <v>2166</v>
      </c>
      <c r="G524" s="926" t="s">
        <v>2167</v>
      </c>
      <c r="H524" s="926" t="s">
        <v>982</v>
      </c>
      <c r="I524" s="939" t="s">
        <v>2133</v>
      </c>
      <c r="J524" s="912" t="s">
        <v>2133</v>
      </c>
      <c r="K524" s="912">
        <v>1</v>
      </c>
      <c r="L524" s="912">
        <v>12</v>
      </c>
      <c r="M524" s="938">
        <f t="shared" si="20"/>
        <v>12000</v>
      </c>
      <c r="N524" s="912">
        <v>1</v>
      </c>
      <c r="O524" s="912">
        <v>6</v>
      </c>
      <c r="P524" s="938">
        <f t="shared" si="21"/>
        <v>6000</v>
      </c>
    </row>
    <row r="525" spans="1:16" x14ac:dyDescent="0.2">
      <c r="A525" s="937" t="s">
        <v>2126</v>
      </c>
      <c r="B525" s="912" t="s">
        <v>875</v>
      </c>
      <c r="C525" s="912" t="s">
        <v>80</v>
      </c>
      <c r="D525" s="912" t="s">
        <v>2127</v>
      </c>
      <c r="E525" s="938">
        <v>1200</v>
      </c>
      <c r="F525" s="926" t="s">
        <v>2168</v>
      </c>
      <c r="G525" s="926" t="s">
        <v>2169</v>
      </c>
      <c r="H525" s="926" t="s">
        <v>1878</v>
      </c>
      <c r="I525" s="939" t="s">
        <v>2133</v>
      </c>
      <c r="J525" s="912" t="s">
        <v>2133</v>
      </c>
      <c r="K525" s="912">
        <v>1</v>
      </c>
      <c r="L525" s="912">
        <v>12</v>
      </c>
      <c r="M525" s="938">
        <f t="shared" si="20"/>
        <v>14400</v>
      </c>
      <c r="N525" s="912">
        <v>1</v>
      </c>
      <c r="O525" s="912">
        <v>1</v>
      </c>
      <c r="P525" s="938">
        <f t="shared" si="21"/>
        <v>1200</v>
      </c>
    </row>
    <row r="526" spans="1:16" x14ac:dyDescent="0.2">
      <c r="A526" s="937" t="s">
        <v>2126</v>
      </c>
      <c r="B526" s="912" t="s">
        <v>875</v>
      </c>
      <c r="C526" s="912" t="s">
        <v>80</v>
      </c>
      <c r="D526" s="912" t="s">
        <v>2127</v>
      </c>
      <c r="E526" s="938">
        <v>4568</v>
      </c>
      <c r="F526" s="926" t="s">
        <v>2170</v>
      </c>
      <c r="G526" s="926" t="s">
        <v>2171</v>
      </c>
      <c r="H526" s="926" t="s">
        <v>1175</v>
      </c>
      <c r="I526" s="939" t="s">
        <v>2133</v>
      </c>
      <c r="J526" s="912" t="s">
        <v>2133</v>
      </c>
      <c r="K526" s="912">
        <v>1</v>
      </c>
      <c r="L526" s="912">
        <v>12</v>
      </c>
      <c r="M526" s="938">
        <f t="shared" si="20"/>
        <v>54816</v>
      </c>
      <c r="N526" s="912">
        <v>1</v>
      </c>
      <c r="O526" s="912">
        <v>6</v>
      </c>
      <c r="P526" s="938">
        <f t="shared" si="21"/>
        <v>27408</v>
      </c>
    </row>
    <row r="527" spans="1:16" x14ac:dyDescent="0.2">
      <c r="A527" s="937" t="s">
        <v>2126</v>
      </c>
      <c r="B527" s="912" t="s">
        <v>875</v>
      </c>
      <c r="C527" s="912" t="s">
        <v>80</v>
      </c>
      <c r="D527" s="912" t="s">
        <v>2127</v>
      </c>
      <c r="E527" s="938">
        <v>3500</v>
      </c>
      <c r="F527" s="926" t="s">
        <v>2172</v>
      </c>
      <c r="G527" s="926" t="s">
        <v>2173</v>
      </c>
      <c r="H527" s="926" t="s">
        <v>1175</v>
      </c>
      <c r="I527" s="939" t="s">
        <v>2133</v>
      </c>
      <c r="J527" s="912" t="s">
        <v>2133</v>
      </c>
      <c r="K527" s="912">
        <v>1</v>
      </c>
      <c r="L527" s="912">
        <v>12</v>
      </c>
      <c r="M527" s="938">
        <f t="shared" si="20"/>
        <v>42000</v>
      </c>
      <c r="N527" s="912">
        <v>1</v>
      </c>
      <c r="O527" s="912">
        <v>6</v>
      </c>
      <c r="P527" s="938">
        <f t="shared" si="21"/>
        <v>21000</v>
      </c>
    </row>
    <row r="528" spans="1:16" x14ac:dyDescent="0.2">
      <c r="A528" s="937" t="s">
        <v>2126</v>
      </c>
      <c r="B528" s="912" t="s">
        <v>875</v>
      </c>
      <c r="C528" s="912" t="s">
        <v>80</v>
      </c>
      <c r="D528" s="912" t="s">
        <v>2136</v>
      </c>
      <c r="E528" s="938">
        <v>1300</v>
      </c>
      <c r="F528" s="926" t="s">
        <v>2174</v>
      </c>
      <c r="G528" s="926" t="s">
        <v>2175</v>
      </c>
      <c r="H528" s="926" t="s">
        <v>982</v>
      </c>
      <c r="I528" s="939" t="s">
        <v>1494</v>
      </c>
      <c r="J528" s="912" t="s">
        <v>1494</v>
      </c>
      <c r="K528" s="912">
        <v>1</v>
      </c>
      <c r="L528" s="912">
        <v>12</v>
      </c>
      <c r="M528" s="938">
        <f t="shared" si="20"/>
        <v>15600</v>
      </c>
      <c r="N528" s="912">
        <v>1</v>
      </c>
      <c r="O528" s="912">
        <v>6</v>
      </c>
      <c r="P528" s="938">
        <f t="shared" si="21"/>
        <v>7800</v>
      </c>
    </row>
    <row r="529" spans="1:16" x14ac:dyDescent="0.2">
      <c r="A529" s="937" t="s">
        <v>2126</v>
      </c>
      <c r="B529" s="912" t="s">
        <v>875</v>
      </c>
      <c r="C529" s="912" t="s">
        <v>80</v>
      </c>
      <c r="D529" s="912" t="s">
        <v>2127</v>
      </c>
      <c r="E529" s="938">
        <v>4568</v>
      </c>
      <c r="F529" s="926" t="s">
        <v>2176</v>
      </c>
      <c r="G529" s="926" t="s">
        <v>2177</v>
      </c>
      <c r="H529" s="926" t="s">
        <v>1175</v>
      </c>
      <c r="I529" s="939" t="s">
        <v>2133</v>
      </c>
      <c r="J529" s="912" t="s">
        <v>2133</v>
      </c>
      <c r="K529" s="912">
        <v>1</v>
      </c>
      <c r="L529" s="912">
        <v>12</v>
      </c>
      <c r="M529" s="938">
        <f t="shared" si="20"/>
        <v>54816</v>
      </c>
      <c r="N529" s="912">
        <v>1</v>
      </c>
      <c r="O529" s="912">
        <v>6</v>
      </c>
      <c r="P529" s="938">
        <f t="shared" si="21"/>
        <v>27408</v>
      </c>
    </row>
    <row r="530" spans="1:16" x14ac:dyDescent="0.2">
      <c r="A530" s="937" t="s">
        <v>2126</v>
      </c>
      <c r="B530" s="912" t="s">
        <v>875</v>
      </c>
      <c r="C530" s="912" t="s">
        <v>80</v>
      </c>
      <c r="D530" s="912" t="s">
        <v>2127</v>
      </c>
      <c r="E530" s="938">
        <v>1300</v>
      </c>
      <c r="F530" s="926" t="s">
        <v>2178</v>
      </c>
      <c r="G530" s="926" t="s">
        <v>2179</v>
      </c>
      <c r="H530" s="926" t="s">
        <v>2130</v>
      </c>
      <c r="I530" s="939" t="s">
        <v>2133</v>
      </c>
      <c r="J530" s="912" t="s">
        <v>2133</v>
      </c>
      <c r="K530" s="912">
        <v>1</v>
      </c>
      <c r="L530" s="912">
        <v>12</v>
      </c>
      <c r="M530" s="938">
        <f t="shared" si="20"/>
        <v>15600</v>
      </c>
      <c r="N530" s="912">
        <v>1</v>
      </c>
      <c r="O530" s="912">
        <v>6</v>
      </c>
      <c r="P530" s="938">
        <f t="shared" si="21"/>
        <v>7800</v>
      </c>
    </row>
    <row r="531" spans="1:16" x14ac:dyDescent="0.2">
      <c r="A531" s="937" t="s">
        <v>2126</v>
      </c>
      <c r="B531" s="912" t="s">
        <v>875</v>
      </c>
      <c r="C531" s="912" t="s">
        <v>80</v>
      </c>
      <c r="D531" s="912" t="s">
        <v>2127</v>
      </c>
      <c r="E531" s="938">
        <v>4568</v>
      </c>
      <c r="F531" s="926" t="s">
        <v>2180</v>
      </c>
      <c r="G531" s="926" t="s">
        <v>2181</v>
      </c>
      <c r="H531" s="926" t="s">
        <v>1175</v>
      </c>
      <c r="I531" s="939" t="s">
        <v>2133</v>
      </c>
      <c r="J531" s="912" t="s">
        <v>2133</v>
      </c>
      <c r="K531" s="912">
        <v>1</v>
      </c>
      <c r="L531" s="912">
        <v>12</v>
      </c>
      <c r="M531" s="938">
        <f t="shared" si="20"/>
        <v>54816</v>
      </c>
      <c r="N531" s="912">
        <v>1</v>
      </c>
      <c r="O531" s="912">
        <v>6</v>
      </c>
      <c r="P531" s="938">
        <f t="shared" si="21"/>
        <v>27408</v>
      </c>
    </row>
    <row r="532" spans="1:16" x14ac:dyDescent="0.2">
      <c r="A532" s="937" t="s">
        <v>2126</v>
      </c>
      <c r="B532" s="912" t="s">
        <v>875</v>
      </c>
      <c r="C532" s="912" t="s">
        <v>80</v>
      </c>
      <c r="D532" s="912" t="s">
        <v>2127</v>
      </c>
      <c r="E532" s="938">
        <v>4568</v>
      </c>
      <c r="F532" s="926" t="s">
        <v>2182</v>
      </c>
      <c r="G532" s="926" t="s">
        <v>2183</v>
      </c>
      <c r="H532" s="926" t="s">
        <v>1175</v>
      </c>
      <c r="I532" s="939" t="s">
        <v>2133</v>
      </c>
      <c r="J532" s="912" t="s">
        <v>2133</v>
      </c>
      <c r="K532" s="912">
        <v>1</v>
      </c>
      <c r="L532" s="912">
        <v>12</v>
      </c>
      <c r="M532" s="938">
        <f t="shared" si="20"/>
        <v>54816</v>
      </c>
      <c r="N532" s="912">
        <v>1</v>
      </c>
      <c r="O532" s="912">
        <v>2</v>
      </c>
      <c r="P532" s="938">
        <f t="shared" si="21"/>
        <v>9136</v>
      </c>
    </row>
    <row r="533" spans="1:16" x14ac:dyDescent="0.2">
      <c r="A533" s="937" t="s">
        <v>2126</v>
      </c>
      <c r="B533" s="912" t="s">
        <v>875</v>
      </c>
      <c r="C533" s="912" t="s">
        <v>80</v>
      </c>
      <c r="D533" s="912" t="s">
        <v>2136</v>
      </c>
      <c r="E533" s="938">
        <v>1300</v>
      </c>
      <c r="F533" s="926" t="s">
        <v>2184</v>
      </c>
      <c r="G533" s="926" t="s">
        <v>2185</v>
      </c>
      <c r="H533" s="926" t="s">
        <v>982</v>
      </c>
      <c r="I533" s="939" t="s">
        <v>1494</v>
      </c>
      <c r="J533" s="912" t="s">
        <v>1494</v>
      </c>
      <c r="K533" s="912">
        <v>1</v>
      </c>
      <c r="L533" s="912">
        <v>12</v>
      </c>
      <c r="M533" s="938">
        <f t="shared" si="20"/>
        <v>15600</v>
      </c>
      <c r="N533" s="912">
        <v>1</v>
      </c>
      <c r="O533" s="912">
        <v>6</v>
      </c>
      <c r="P533" s="938">
        <f t="shared" si="21"/>
        <v>7800</v>
      </c>
    </row>
    <row r="534" spans="1:16" x14ac:dyDescent="0.2">
      <c r="A534" s="937" t="s">
        <v>2126</v>
      </c>
      <c r="B534" s="912" t="s">
        <v>875</v>
      </c>
      <c r="C534" s="912" t="s">
        <v>80</v>
      </c>
      <c r="D534" s="912" t="s">
        <v>2136</v>
      </c>
      <c r="E534" s="938">
        <v>1300</v>
      </c>
      <c r="F534" s="926" t="s">
        <v>2186</v>
      </c>
      <c r="G534" s="926" t="s">
        <v>2187</v>
      </c>
      <c r="H534" s="926" t="s">
        <v>982</v>
      </c>
      <c r="I534" s="939" t="s">
        <v>1494</v>
      </c>
      <c r="J534" s="912" t="s">
        <v>1494</v>
      </c>
      <c r="K534" s="912">
        <v>1</v>
      </c>
      <c r="L534" s="912">
        <v>12</v>
      </c>
      <c r="M534" s="938">
        <f t="shared" si="20"/>
        <v>15600</v>
      </c>
      <c r="N534" s="912">
        <v>1</v>
      </c>
      <c r="O534" s="912">
        <v>6</v>
      </c>
      <c r="P534" s="938">
        <f t="shared" si="21"/>
        <v>7800</v>
      </c>
    </row>
    <row r="535" spans="1:16" x14ac:dyDescent="0.2">
      <c r="A535" s="937" t="s">
        <v>2126</v>
      </c>
      <c r="B535" s="912" t="s">
        <v>875</v>
      </c>
      <c r="C535" s="912" t="s">
        <v>80</v>
      </c>
      <c r="D535" s="912" t="s">
        <v>2127</v>
      </c>
      <c r="E535" s="938">
        <v>1724</v>
      </c>
      <c r="F535" s="926" t="s">
        <v>2188</v>
      </c>
      <c r="G535" s="926" t="s">
        <v>2189</v>
      </c>
      <c r="H535" s="926" t="s">
        <v>1666</v>
      </c>
      <c r="I535" s="939" t="s">
        <v>2133</v>
      </c>
      <c r="J535" s="912" t="s">
        <v>2133</v>
      </c>
      <c r="K535" s="912">
        <v>1</v>
      </c>
      <c r="L535" s="912">
        <v>12</v>
      </c>
      <c r="M535" s="938">
        <f t="shared" si="20"/>
        <v>20688</v>
      </c>
      <c r="N535" s="912">
        <v>1</v>
      </c>
      <c r="O535" s="912">
        <v>6</v>
      </c>
      <c r="P535" s="938">
        <f t="shared" si="21"/>
        <v>10344</v>
      </c>
    </row>
    <row r="536" spans="1:16" x14ac:dyDescent="0.2">
      <c r="A536" s="937" t="s">
        <v>2126</v>
      </c>
      <c r="B536" s="912" t="s">
        <v>875</v>
      </c>
      <c r="C536" s="912" t="s">
        <v>80</v>
      </c>
      <c r="D536" s="912" t="s">
        <v>2136</v>
      </c>
      <c r="E536" s="938">
        <v>1300</v>
      </c>
      <c r="F536" s="926" t="s">
        <v>2190</v>
      </c>
      <c r="G536" s="926" t="s">
        <v>2191</v>
      </c>
      <c r="H536" s="926" t="s">
        <v>982</v>
      </c>
      <c r="I536" s="939" t="s">
        <v>2133</v>
      </c>
      <c r="J536" s="912" t="s">
        <v>2133</v>
      </c>
      <c r="K536" s="912">
        <v>1</v>
      </c>
      <c r="L536" s="912">
        <v>12</v>
      </c>
      <c r="M536" s="938">
        <f t="shared" si="20"/>
        <v>15600</v>
      </c>
      <c r="N536" s="912">
        <v>1</v>
      </c>
      <c r="O536" s="912">
        <v>6</v>
      </c>
      <c r="P536" s="938">
        <f t="shared" si="21"/>
        <v>7800</v>
      </c>
    </row>
    <row r="537" spans="1:16" x14ac:dyDescent="0.2">
      <c r="A537" s="937" t="s">
        <v>2126</v>
      </c>
      <c r="B537" s="912" t="s">
        <v>875</v>
      </c>
      <c r="C537" s="912" t="s">
        <v>80</v>
      </c>
      <c r="D537" s="912" t="s">
        <v>2136</v>
      </c>
      <c r="E537" s="938">
        <v>1200</v>
      </c>
      <c r="F537" s="926" t="s">
        <v>2192</v>
      </c>
      <c r="G537" s="926" t="s">
        <v>2193</v>
      </c>
      <c r="H537" s="926" t="s">
        <v>2194</v>
      </c>
      <c r="I537" s="939" t="s">
        <v>2133</v>
      </c>
      <c r="J537" s="912" t="s">
        <v>2133</v>
      </c>
      <c r="K537" s="912">
        <v>1</v>
      </c>
      <c r="L537" s="912">
        <v>12</v>
      </c>
      <c r="M537" s="938">
        <f t="shared" si="20"/>
        <v>14400</v>
      </c>
      <c r="N537" s="912">
        <v>1</v>
      </c>
      <c r="O537" s="912">
        <v>6</v>
      </c>
      <c r="P537" s="938">
        <f t="shared" si="21"/>
        <v>7200</v>
      </c>
    </row>
    <row r="538" spans="1:16" x14ac:dyDescent="0.2">
      <c r="A538" s="937" t="s">
        <v>2126</v>
      </c>
      <c r="B538" s="912" t="s">
        <v>875</v>
      </c>
      <c r="C538" s="912" t="s">
        <v>80</v>
      </c>
      <c r="D538" s="912" t="s">
        <v>2127</v>
      </c>
      <c r="E538" s="938">
        <v>4568</v>
      </c>
      <c r="F538" s="926" t="s">
        <v>2195</v>
      </c>
      <c r="G538" s="926" t="s">
        <v>2196</v>
      </c>
      <c r="H538" s="926" t="s">
        <v>1175</v>
      </c>
      <c r="I538" s="939" t="s">
        <v>2133</v>
      </c>
      <c r="J538" s="912" t="s">
        <v>2133</v>
      </c>
      <c r="K538" s="912">
        <v>1</v>
      </c>
      <c r="L538" s="912">
        <v>12</v>
      </c>
      <c r="M538" s="938">
        <f t="shared" si="20"/>
        <v>54816</v>
      </c>
      <c r="N538" s="912">
        <v>1</v>
      </c>
      <c r="O538" s="912">
        <v>6</v>
      </c>
      <c r="P538" s="938">
        <f t="shared" si="21"/>
        <v>27408</v>
      </c>
    </row>
    <row r="539" spans="1:16" x14ac:dyDescent="0.2">
      <c r="A539" s="937" t="s">
        <v>2126</v>
      </c>
      <c r="B539" s="912" t="s">
        <v>875</v>
      </c>
      <c r="C539" s="912" t="s">
        <v>80</v>
      </c>
      <c r="D539" s="912" t="s">
        <v>2127</v>
      </c>
      <c r="E539" s="938">
        <v>1724</v>
      </c>
      <c r="F539" s="926" t="s">
        <v>2197</v>
      </c>
      <c r="G539" s="926" t="s">
        <v>2198</v>
      </c>
      <c r="H539" s="926" t="s">
        <v>1678</v>
      </c>
      <c r="I539" s="939" t="s">
        <v>2133</v>
      </c>
      <c r="J539" s="912" t="s">
        <v>2133</v>
      </c>
      <c r="K539" s="912">
        <v>1</v>
      </c>
      <c r="L539" s="912">
        <v>12</v>
      </c>
      <c r="M539" s="938">
        <f t="shared" si="20"/>
        <v>20688</v>
      </c>
      <c r="N539" s="912">
        <v>1</v>
      </c>
      <c r="O539" s="912">
        <v>6</v>
      </c>
      <c r="P539" s="938">
        <f t="shared" si="21"/>
        <v>10344</v>
      </c>
    </row>
    <row r="540" spans="1:16" x14ac:dyDescent="0.2">
      <c r="A540" s="937" t="s">
        <v>2126</v>
      </c>
      <c r="B540" s="912" t="s">
        <v>875</v>
      </c>
      <c r="C540" s="912" t="s">
        <v>80</v>
      </c>
      <c r="D540" s="912" t="s">
        <v>2136</v>
      </c>
      <c r="E540" s="938">
        <v>1300</v>
      </c>
      <c r="F540" s="926" t="s">
        <v>2199</v>
      </c>
      <c r="G540" s="926" t="s">
        <v>2200</v>
      </c>
      <c r="H540" s="926" t="s">
        <v>982</v>
      </c>
      <c r="I540" s="939" t="s">
        <v>2133</v>
      </c>
      <c r="J540" s="912" t="s">
        <v>2133</v>
      </c>
      <c r="K540" s="912">
        <v>1</v>
      </c>
      <c r="L540" s="912">
        <v>12</v>
      </c>
      <c r="M540" s="938">
        <f t="shared" si="20"/>
        <v>15600</v>
      </c>
      <c r="N540" s="912">
        <v>1</v>
      </c>
      <c r="O540" s="912">
        <v>6</v>
      </c>
      <c r="P540" s="938">
        <f t="shared" si="21"/>
        <v>7800</v>
      </c>
    </row>
    <row r="541" spans="1:16" x14ac:dyDescent="0.2">
      <c r="A541" s="937" t="s">
        <v>2126</v>
      </c>
      <c r="B541" s="912" t="s">
        <v>875</v>
      </c>
      <c r="C541" s="912" t="s">
        <v>80</v>
      </c>
      <c r="D541" s="912" t="s">
        <v>2136</v>
      </c>
      <c r="E541" s="938">
        <v>1300</v>
      </c>
      <c r="F541" s="926" t="s">
        <v>2201</v>
      </c>
      <c r="G541" s="926" t="s">
        <v>2202</v>
      </c>
      <c r="H541" s="926" t="s">
        <v>982</v>
      </c>
      <c r="I541" s="939" t="s">
        <v>2133</v>
      </c>
      <c r="J541" s="912" t="s">
        <v>2133</v>
      </c>
      <c r="K541" s="912">
        <v>1</v>
      </c>
      <c r="L541" s="912">
        <v>12</v>
      </c>
      <c r="M541" s="938">
        <f t="shared" si="20"/>
        <v>15600</v>
      </c>
      <c r="N541" s="912">
        <v>1</v>
      </c>
      <c r="O541" s="912">
        <v>6</v>
      </c>
      <c r="P541" s="938">
        <f t="shared" si="21"/>
        <v>7800</v>
      </c>
    </row>
    <row r="542" spans="1:16" x14ac:dyDescent="0.2">
      <c r="A542" s="937" t="s">
        <v>2126</v>
      </c>
      <c r="B542" s="912" t="s">
        <v>875</v>
      </c>
      <c r="C542" s="912" t="s">
        <v>80</v>
      </c>
      <c r="D542" s="912" t="s">
        <v>2127</v>
      </c>
      <c r="E542" s="938">
        <v>1500</v>
      </c>
      <c r="F542" s="926" t="s">
        <v>2203</v>
      </c>
      <c r="G542" s="926" t="s">
        <v>2204</v>
      </c>
      <c r="H542" s="926" t="s">
        <v>1594</v>
      </c>
      <c r="I542" s="939" t="s">
        <v>2133</v>
      </c>
      <c r="J542" s="912" t="s">
        <v>2133</v>
      </c>
      <c r="K542" s="912">
        <v>1</v>
      </c>
      <c r="L542" s="912">
        <v>12</v>
      </c>
      <c r="M542" s="938">
        <f t="shared" si="20"/>
        <v>18000</v>
      </c>
      <c r="N542" s="912">
        <v>1</v>
      </c>
      <c r="O542" s="912">
        <v>6</v>
      </c>
      <c r="P542" s="938">
        <f t="shared" si="21"/>
        <v>9000</v>
      </c>
    </row>
    <row r="543" spans="1:16" x14ac:dyDescent="0.2">
      <c r="A543" s="937" t="s">
        <v>2126</v>
      </c>
      <c r="B543" s="912" t="s">
        <v>875</v>
      </c>
      <c r="C543" s="912" t="s">
        <v>80</v>
      </c>
      <c r="D543" s="912" t="s">
        <v>2127</v>
      </c>
      <c r="E543" s="938">
        <v>1500</v>
      </c>
      <c r="F543" s="926" t="s">
        <v>2205</v>
      </c>
      <c r="G543" s="926" t="s">
        <v>2206</v>
      </c>
      <c r="H543" s="926" t="s">
        <v>1594</v>
      </c>
      <c r="I543" s="939" t="s">
        <v>2133</v>
      </c>
      <c r="J543" s="912" t="s">
        <v>2133</v>
      </c>
      <c r="K543" s="912">
        <v>1</v>
      </c>
      <c r="L543" s="912">
        <v>12</v>
      </c>
      <c r="M543" s="938">
        <f t="shared" si="20"/>
        <v>18000</v>
      </c>
      <c r="N543" s="912">
        <v>1</v>
      </c>
      <c r="O543" s="912">
        <v>6</v>
      </c>
      <c r="P543" s="938">
        <f t="shared" si="21"/>
        <v>9000</v>
      </c>
    </row>
    <row r="544" spans="1:16" x14ac:dyDescent="0.2">
      <c r="A544" s="937" t="s">
        <v>2126</v>
      </c>
      <c r="B544" s="912" t="s">
        <v>875</v>
      </c>
      <c r="C544" s="912" t="s">
        <v>80</v>
      </c>
      <c r="D544" s="912" t="s">
        <v>2127</v>
      </c>
      <c r="E544" s="938">
        <v>4568</v>
      </c>
      <c r="F544" s="926" t="s">
        <v>2207</v>
      </c>
      <c r="G544" s="926" t="s">
        <v>2208</v>
      </c>
      <c r="H544" s="926" t="s">
        <v>1175</v>
      </c>
      <c r="I544" s="939" t="s">
        <v>2133</v>
      </c>
      <c r="J544" s="912" t="s">
        <v>2133</v>
      </c>
      <c r="K544" s="912">
        <v>1</v>
      </c>
      <c r="L544" s="912">
        <v>12</v>
      </c>
      <c r="M544" s="938">
        <f t="shared" si="20"/>
        <v>54816</v>
      </c>
      <c r="N544" s="912">
        <v>1</v>
      </c>
      <c r="O544" s="912">
        <v>6</v>
      </c>
      <c r="P544" s="938">
        <f t="shared" si="21"/>
        <v>27408</v>
      </c>
    </row>
    <row r="545" spans="1:16" x14ac:dyDescent="0.2">
      <c r="A545" s="937" t="s">
        <v>2126</v>
      </c>
      <c r="B545" s="912" t="s">
        <v>875</v>
      </c>
      <c r="C545" s="912" t="s">
        <v>80</v>
      </c>
      <c r="D545" s="912" t="s">
        <v>2127</v>
      </c>
      <c r="E545" s="938">
        <v>4568</v>
      </c>
      <c r="F545" s="926" t="s">
        <v>2209</v>
      </c>
      <c r="G545" s="926" t="s">
        <v>2210</v>
      </c>
      <c r="H545" s="926" t="s">
        <v>1175</v>
      </c>
      <c r="I545" s="939" t="s">
        <v>2133</v>
      </c>
      <c r="J545" s="912" t="s">
        <v>2133</v>
      </c>
      <c r="K545" s="912">
        <v>1</v>
      </c>
      <c r="L545" s="912">
        <v>12</v>
      </c>
      <c r="M545" s="938">
        <f t="shared" si="20"/>
        <v>54816</v>
      </c>
      <c r="N545" s="912">
        <v>1</v>
      </c>
      <c r="O545" s="912">
        <v>6</v>
      </c>
      <c r="P545" s="938">
        <f t="shared" si="21"/>
        <v>27408</v>
      </c>
    </row>
    <row r="546" spans="1:16" x14ac:dyDescent="0.2">
      <c r="A546" s="937" t="s">
        <v>2126</v>
      </c>
      <c r="B546" s="912" t="s">
        <v>875</v>
      </c>
      <c r="C546" s="912" t="s">
        <v>80</v>
      </c>
      <c r="D546" s="912" t="s">
        <v>2127</v>
      </c>
      <c r="E546" s="938">
        <v>4568</v>
      </c>
      <c r="F546" s="926" t="s">
        <v>2211</v>
      </c>
      <c r="G546" s="926" t="s">
        <v>2212</v>
      </c>
      <c r="H546" s="926" t="s">
        <v>1175</v>
      </c>
      <c r="I546" s="939" t="s">
        <v>2133</v>
      </c>
      <c r="J546" s="912" t="s">
        <v>2133</v>
      </c>
      <c r="K546" s="912">
        <v>1</v>
      </c>
      <c r="L546" s="912">
        <v>12</v>
      </c>
      <c r="M546" s="938">
        <f t="shared" si="20"/>
        <v>54816</v>
      </c>
      <c r="N546" s="912">
        <v>1</v>
      </c>
      <c r="O546" s="912">
        <v>6</v>
      </c>
      <c r="P546" s="938">
        <f t="shared" si="21"/>
        <v>27408</v>
      </c>
    </row>
    <row r="547" spans="1:16" x14ac:dyDescent="0.2">
      <c r="A547" s="937" t="s">
        <v>2126</v>
      </c>
      <c r="B547" s="912" t="s">
        <v>875</v>
      </c>
      <c r="C547" s="912" t="s">
        <v>80</v>
      </c>
      <c r="D547" s="912" t="s">
        <v>2127</v>
      </c>
      <c r="E547" s="938">
        <v>1300</v>
      </c>
      <c r="F547" s="926" t="s">
        <v>2213</v>
      </c>
      <c r="G547" s="926" t="s">
        <v>2214</v>
      </c>
      <c r="H547" s="926" t="s">
        <v>2130</v>
      </c>
      <c r="I547" s="939" t="s">
        <v>2133</v>
      </c>
      <c r="J547" s="912" t="s">
        <v>2133</v>
      </c>
      <c r="K547" s="912">
        <v>1</v>
      </c>
      <c r="L547" s="912">
        <v>12</v>
      </c>
      <c r="M547" s="938">
        <f t="shared" si="20"/>
        <v>15600</v>
      </c>
      <c r="N547" s="912">
        <v>1</v>
      </c>
      <c r="O547" s="912">
        <v>6</v>
      </c>
      <c r="P547" s="938">
        <f t="shared" si="21"/>
        <v>7800</v>
      </c>
    </row>
    <row r="548" spans="1:16" x14ac:dyDescent="0.2">
      <c r="A548" s="937" t="s">
        <v>2126</v>
      </c>
      <c r="B548" s="912" t="s">
        <v>875</v>
      </c>
      <c r="C548" s="912" t="s">
        <v>80</v>
      </c>
      <c r="D548" s="912" t="s">
        <v>2127</v>
      </c>
      <c r="E548" s="938">
        <v>4568</v>
      </c>
      <c r="F548" s="926" t="s">
        <v>2215</v>
      </c>
      <c r="G548" s="926" t="s">
        <v>2216</v>
      </c>
      <c r="H548" s="926" t="s">
        <v>1175</v>
      </c>
      <c r="I548" s="939" t="s">
        <v>2133</v>
      </c>
      <c r="J548" s="912" t="s">
        <v>2133</v>
      </c>
      <c r="K548" s="912">
        <v>1</v>
      </c>
      <c r="L548" s="912">
        <v>12</v>
      </c>
      <c r="M548" s="938">
        <f t="shared" si="20"/>
        <v>54816</v>
      </c>
      <c r="N548" s="912">
        <v>1</v>
      </c>
      <c r="O548" s="912">
        <v>6</v>
      </c>
      <c r="P548" s="938">
        <f t="shared" si="21"/>
        <v>27408</v>
      </c>
    </row>
    <row r="549" spans="1:16" x14ac:dyDescent="0.2">
      <c r="A549" s="937" t="s">
        <v>2126</v>
      </c>
      <c r="B549" s="912" t="s">
        <v>875</v>
      </c>
      <c r="C549" s="912" t="s">
        <v>80</v>
      </c>
      <c r="D549" s="912" t="s">
        <v>2136</v>
      </c>
      <c r="E549" s="938">
        <v>1300</v>
      </c>
      <c r="F549" s="926" t="s">
        <v>2217</v>
      </c>
      <c r="G549" s="926" t="s">
        <v>2218</v>
      </c>
      <c r="H549" s="926" t="s">
        <v>982</v>
      </c>
      <c r="I549" s="939" t="s">
        <v>2133</v>
      </c>
      <c r="J549" s="912" t="s">
        <v>2133</v>
      </c>
      <c r="K549" s="912">
        <v>1</v>
      </c>
      <c r="L549" s="912">
        <v>12</v>
      </c>
      <c r="M549" s="938">
        <f t="shared" si="20"/>
        <v>15600</v>
      </c>
      <c r="N549" s="912">
        <v>1</v>
      </c>
      <c r="O549" s="912">
        <v>6</v>
      </c>
      <c r="P549" s="938">
        <f t="shared" si="21"/>
        <v>7800</v>
      </c>
    </row>
    <row r="550" spans="1:16" x14ac:dyDescent="0.2">
      <c r="A550" s="937" t="s">
        <v>2126</v>
      </c>
      <c r="B550" s="912" t="s">
        <v>875</v>
      </c>
      <c r="C550" s="912" t="s">
        <v>80</v>
      </c>
      <c r="D550" s="912" t="s">
        <v>2127</v>
      </c>
      <c r="E550" s="938">
        <v>1724</v>
      </c>
      <c r="F550" s="926" t="s">
        <v>2219</v>
      </c>
      <c r="G550" s="926" t="s">
        <v>2220</v>
      </c>
      <c r="H550" s="926" t="s">
        <v>1028</v>
      </c>
      <c r="I550" s="939" t="s">
        <v>2133</v>
      </c>
      <c r="J550" s="912" t="s">
        <v>2133</v>
      </c>
      <c r="K550" s="912">
        <v>1</v>
      </c>
      <c r="L550" s="912">
        <v>12</v>
      </c>
      <c r="M550" s="938">
        <f t="shared" si="20"/>
        <v>20688</v>
      </c>
      <c r="N550" s="912">
        <v>1</v>
      </c>
      <c r="O550" s="912">
        <v>6</v>
      </c>
      <c r="P550" s="938">
        <f t="shared" si="21"/>
        <v>10344</v>
      </c>
    </row>
    <row r="551" spans="1:16" x14ac:dyDescent="0.2">
      <c r="A551" s="937" t="s">
        <v>2126</v>
      </c>
      <c r="B551" s="912" t="s">
        <v>875</v>
      </c>
      <c r="C551" s="912" t="s">
        <v>80</v>
      </c>
      <c r="D551" s="912" t="s">
        <v>2127</v>
      </c>
      <c r="E551" s="938">
        <v>1500</v>
      </c>
      <c r="F551" s="926" t="s">
        <v>2221</v>
      </c>
      <c r="G551" s="926" t="s">
        <v>2222</v>
      </c>
      <c r="H551" s="926" t="s">
        <v>1594</v>
      </c>
      <c r="I551" s="939" t="s">
        <v>2133</v>
      </c>
      <c r="J551" s="912" t="s">
        <v>2133</v>
      </c>
      <c r="K551" s="912">
        <v>1</v>
      </c>
      <c r="L551" s="912">
        <v>12</v>
      </c>
      <c r="M551" s="938">
        <f t="shared" si="20"/>
        <v>18000</v>
      </c>
      <c r="N551" s="912">
        <v>1</v>
      </c>
      <c r="O551" s="912">
        <v>6</v>
      </c>
      <c r="P551" s="938">
        <f t="shared" si="21"/>
        <v>9000</v>
      </c>
    </row>
    <row r="552" spans="1:16" x14ac:dyDescent="0.2">
      <c r="A552" s="937" t="s">
        <v>2126</v>
      </c>
      <c r="B552" s="912" t="s">
        <v>875</v>
      </c>
      <c r="C552" s="912" t="s">
        <v>80</v>
      </c>
      <c r="D552" s="912" t="s">
        <v>2127</v>
      </c>
      <c r="E552" s="938">
        <v>1000</v>
      </c>
      <c r="F552" s="926" t="s">
        <v>2223</v>
      </c>
      <c r="G552" s="926" t="s">
        <v>2224</v>
      </c>
      <c r="H552" s="926" t="s">
        <v>2130</v>
      </c>
      <c r="I552" s="939" t="s">
        <v>2133</v>
      </c>
      <c r="J552" s="912" t="s">
        <v>2133</v>
      </c>
      <c r="K552" s="912">
        <v>1</v>
      </c>
      <c r="L552" s="912">
        <v>12</v>
      </c>
      <c r="M552" s="938">
        <f t="shared" si="20"/>
        <v>12000</v>
      </c>
      <c r="N552" s="912">
        <v>1</v>
      </c>
      <c r="O552" s="912">
        <v>6</v>
      </c>
      <c r="P552" s="938">
        <f t="shared" si="21"/>
        <v>6000</v>
      </c>
    </row>
    <row r="553" spans="1:16" x14ac:dyDescent="0.2">
      <c r="A553" s="937" t="s">
        <v>2126</v>
      </c>
      <c r="B553" s="912" t="s">
        <v>875</v>
      </c>
      <c r="C553" s="912" t="s">
        <v>80</v>
      </c>
      <c r="D553" s="912" t="s">
        <v>2127</v>
      </c>
      <c r="E553" s="938">
        <v>2239</v>
      </c>
      <c r="F553" s="926" t="s">
        <v>2225</v>
      </c>
      <c r="G553" s="926" t="s">
        <v>2226</v>
      </c>
      <c r="H553" s="926" t="s">
        <v>1594</v>
      </c>
      <c r="I553" s="939" t="s">
        <v>2133</v>
      </c>
      <c r="J553" s="912" t="s">
        <v>2133</v>
      </c>
      <c r="K553" s="912">
        <v>1</v>
      </c>
      <c r="L553" s="912">
        <v>12</v>
      </c>
      <c r="M553" s="938">
        <f t="shared" si="20"/>
        <v>26868</v>
      </c>
      <c r="N553" s="912">
        <v>1</v>
      </c>
      <c r="O553" s="912">
        <v>6</v>
      </c>
      <c r="P553" s="938">
        <f t="shared" si="21"/>
        <v>13434</v>
      </c>
    </row>
    <row r="554" spans="1:16" x14ac:dyDescent="0.2">
      <c r="A554" s="937" t="s">
        <v>2126</v>
      </c>
      <c r="B554" s="912" t="s">
        <v>875</v>
      </c>
      <c r="C554" s="912" t="s">
        <v>80</v>
      </c>
      <c r="D554" s="912" t="s">
        <v>2127</v>
      </c>
      <c r="E554" s="938">
        <v>1724</v>
      </c>
      <c r="F554" s="926" t="s">
        <v>2227</v>
      </c>
      <c r="G554" s="926" t="s">
        <v>2228</v>
      </c>
      <c r="H554" s="926" t="s">
        <v>1663</v>
      </c>
      <c r="I554" s="939" t="s">
        <v>2133</v>
      </c>
      <c r="J554" s="912" t="s">
        <v>2133</v>
      </c>
      <c r="K554" s="912">
        <v>1</v>
      </c>
      <c r="L554" s="912">
        <v>12</v>
      </c>
      <c r="M554" s="938">
        <f t="shared" si="20"/>
        <v>20688</v>
      </c>
      <c r="N554" s="912">
        <v>1</v>
      </c>
      <c r="O554" s="912">
        <v>6</v>
      </c>
      <c r="P554" s="938">
        <f t="shared" si="21"/>
        <v>10344</v>
      </c>
    </row>
    <row r="555" spans="1:16" x14ac:dyDescent="0.2">
      <c r="A555" s="937" t="s">
        <v>2126</v>
      </c>
      <c r="B555" s="912" t="s">
        <v>875</v>
      </c>
      <c r="C555" s="912" t="s">
        <v>80</v>
      </c>
      <c r="D555" s="912" t="s">
        <v>2127</v>
      </c>
      <c r="E555" s="938">
        <v>1724</v>
      </c>
      <c r="F555" s="926" t="s">
        <v>2229</v>
      </c>
      <c r="G555" s="926" t="s">
        <v>2230</v>
      </c>
      <c r="H555" s="926" t="s">
        <v>1678</v>
      </c>
      <c r="I555" s="939" t="s">
        <v>2133</v>
      </c>
      <c r="J555" s="912" t="s">
        <v>2133</v>
      </c>
      <c r="K555" s="912">
        <v>1</v>
      </c>
      <c r="L555" s="912">
        <v>12</v>
      </c>
      <c r="M555" s="938">
        <f t="shared" si="20"/>
        <v>20688</v>
      </c>
      <c r="N555" s="912">
        <v>1</v>
      </c>
      <c r="O555" s="912">
        <v>6</v>
      </c>
      <c r="P555" s="938">
        <f t="shared" si="21"/>
        <v>10344</v>
      </c>
    </row>
    <row r="556" spans="1:16" x14ac:dyDescent="0.2">
      <c r="A556" s="937" t="s">
        <v>2126</v>
      </c>
      <c r="B556" s="912" t="s">
        <v>875</v>
      </c>
      <c r="C556" s="912" t="s">
        <v>80</v>
      </c>
      <c r="D556" s="912" t="s">
        <v>2127</v>
      </c>
      <c r="E556" s="938">
        <v>1300</v>
      </c>
      <c r="F556" s="926" t="s">
        <v>2231</v>
      </c>
      <c r="G556" s="926" t="s">
        <v>2232</v>
      </c>
      <c r="H556" s="926" t="s">
        <v>2130</v>
      </c>
      <c r="I556" s="939" t="s">
        <v>2133</v>
      </c>
      <c r="J556" s="912" t="s">
        <v>2133</v>
      </c>
      <c r="K556" s="912">
        <v>1</v>
      </c>
      <c r="L556" s="912">
        <v>12</v>
      </c>
      <c r="M556" s="938">
        <f t="shared" si="20"/>
        <v>15600</v>
      </c>
      <c r="N556" s="912">
        <v>1</v>
      </c>
      <c r="O556" s="912">
        <v>6</v>
      </c>
      <c r="P556" s="938">
        <f t="shared" si="21"/>
        <v>7800</v>
      </c>
    </row>
    <row r="557" spans="1:16" x14ac:dyDescent="0.2">
      <c r="A557" s="937" t="s">
        <v>2126</v>
      </c>
      <c r="B557" s="912" t="s">
        <v>875</v>
      </c>
      <c r="C557" s="912" t="s">
        <v>80</v>
      </c>
      <c r="D557" s="912" t="s">
        <v>2127</v>
      </c>
      <c r="E557" s="938">
        <v>3500</v>
      </c>
      <c r="F557" s="926" t="s">
        <v>2233</v>
      </c>
      <c r="G557" s="926" t="s">
        <v>2234</v>
      </c>
      <c r="H557" s="926" t="s">
        <v>1175</v>
      </c>
      <c r="I557" s="939" t="s">
        <v>2133</v>
      </c>
      <c r="J557" s="912" t="s">
        <v>2133</v>
      </c>
      <c r="K557" s="912">
        <v>1</v>
      </c>
      <c r="L557" s="912">
        <v>12</v>
      </c>
      <c r="M557" s="938">
        <f t="shared" si="20"/>
        <v>42000</v>
      </c>
      <c r="N557" s="912">
        <v>1</v>
      </c>
      <c r="O557" s="912">
        <v>6</v>
      </c>
      <c r="P557" s="938">
        <f t="shared" si="21"/>
        <v>21000</v>
      </c>
    </row>
    <row r="558" spans="1:16" x14ac:dyDescent="0.2">
      <c r="A558" s="937" t="s">
        <v>2126</v>
      </c>
      <c r="B558" s="912" t="s">
        <v>875</v>
      </c>
      <c r="C558" s="912" t="s">
        <v>80</v>
      </c>
      <c r="D558" s="912" t="s">
        <v>2127</v>
      </c>
      <c r="E558" s="938">
        <v>4568</v>
      </c>
      <c r="F558" s="926" t="s">
        <v>2235</v>
      </c>
      <c r="G558" s="926" t="s">
        <v>2236</v>
      </c>
      <c r="H558" s="926" t="s">
        <v>1175</v>
      </c>
      <c r="I558" s="939" t="s">
        <v>2133</v>
      </c>
      <c r="J558" s="912" t="s">
        <v>2133</v>
      </c>
      <c r="K558" s="912">
        <v>1</v>
      </c>
      <c r="L558" s="912">
        <v>12</v>
      </c>
      <c r="M558" s="938">
        <f t="shared" si="20"/>
        <v>54816</v>
      </c>
      <c r="N558" s="912">
        <v>1</v>
      </c>
      <c r="O558" s="912">
        <v>6</v>
      </c>
      <c r="P558" s="938">
        <f t="shared" si="21"/>
        <v>27408</v>
      </c>
    </row>
    <row r="559" spans="1:16" x14ac:dyDescent="0.2">
      <c r="A559" s="937" t="s">
        <v>2126</v>
      </c>
      <c r="B559" s="912" t="s">
        <v>875</v>
      </c>
      <c r="C559" s="912" t="s">
        <v>80</v>
      </c>
      <c r="D559" s="912" t="s">
        <v>2127</v>
      </c>
      <c r="E559" s="938">
        <v>2239</v>
      </c>
      <c r="F559" s="926" t="s">
        <v>2237</v>
      </c>
      <c r="G559" s="926" t="s">
        <v>2238</v>
      </c>
      <c r="H559" s="926" t="s">
        <v>1594</v>
      </c>
      <c r="I559" s="939" t="s">
        <v>2133</v>
      </c>
      <c r="J559" s="912" t="s">
        <v>2133</v>
      </c>
      <c r="K559" s="912">
        <v>1</v>
      </c>
      <c r="L559" s="912">
        <v>12</v>
      </c>
      <c r="M559" s="938">
        <f t="shared" si="20"/>
        <v>26868</v>
      </c>
      <c r="N559" s="912">
        <v>1</v>
      </c>
      <c r="O559" s="912">
        <v>6</v>
      </c>
      <c r="P559" s="938">
        <f t="shared" si="21"/>
        <v>13434</v>
      </c>
    </row>
    <row r="560" spans="1:16" x14ac:dyDescent="0.2">
      <c r="A560" s="937" t="s">
        <v>2126</v>
      </c>
      <c r="B560" s="912" t="s">
        <v>875</v>
      </c>
      <c r="C560" s="912" t="s">
        <v>80</v>
      </c>
      <c r="D560" s="912" t="s">
        <v>2127</v>
      </c>
      <c r="E560" s="938">
        <v>4568</v>
      </c>
      <c r="F560" s="926" t="s">
        <v>2239</v>
      </c>
      <c r="G560" s="926" t="s">
        <v>2240</v>
      </c>
      <c r="H560" s="926" t="s">
        <v>2241</v>
      </c>
      <c r="I560" s="939" t="s">
        <v>2133</v>
      </c>
      <c r="J560" s="912" t="s">
        <v>2133</v>
      </c>
      <c r="K560" s="912">
        <v>1</v>
      </c>
      <c r="L560" s="912">
        <v>12</v>
      </c>
      <c r="M560" s="938">
        <f t="shared" si="20"/>
        <v>54816</v>
      </c>
      <c r="N560" s="912">
        <v>1</v>
      </c>
      <c r="O560" s="912">
        <v>6</v>
      </c>
      <c r="P560" s="938">
        <f t="shared" si="21"/>
        <v>27408</v>
      </c>
    </row>
    <row r="561" spans="1:16" x14ac:dyDescent="0.2">
      <c r="A561" s="937" t="s">
        <v>2126</v>
      </c>
      <c r="B561" s="912" t="s">
        <v>875</v>
      </c>
      <c r="C561" s="912" t="s">
        <v>80</v>
      </c>
      <c r="D561" s="912" t="s">
        <v>2127</v>
      </c>
      <c r="E561" s="938">
        <v>4568</v>
      </c>
      <c r="F561" s="926" t="s">
        <v>2242</v>
      </c>
      <c r="G561" s="926" t="s">
        <v>2243</v>
      </c>
      <c r="H561" s="926" t="s">
        <v>1175</v>
      </c>
      <c r="I561" s="939" t="s">
        <v>2133</v>
      </c>
      <c r="J561" s="912" t="s">
        <v>2133</v>
      </c>
      <c r="K561" s="912">
        <v>1</v>
      </c>
      <c r="L561" s="912">
        <v>12</v>
      </c>
      <c r="M561" s="938">
        <f t="shared" si="20"/>
        <v>54816</v>
      </c>
      <c r="N561" s="912">
        <v>1</v>
      </c>
      <c r="O561" s="912">
        <v>6</v>
      </c>
      <c r="P561" s="938">
        <f t="shared" si="21"/>
        <v>27408</v>
      </c>
    </row>
    <row r="562" spans="1:16" x14ac:dyDescent="0.2">
      <c r="A562" s="937" t="s">
        <v>2126</v>
      </c>
      <c r="B562" s="912" t="s">
        <v>875</v>
      </c>
      <c r="C562" s="912" t="s">
        <v>80</v>
      </c>
      <c r="D562" s="912" t="s">
        <v>2127</v>
      </c>
      <c r="E562" s="938">
        <v>4568</v>
      </c>
      <c r="F562" s="926" t="s">
        <v>2244</v>
      </c>
      <c r="G562" s="926" t="s">
        <v>2245</v>
      </c>
      <c r="H562" s="926" t="s">
        <v>1175</v>
      </c>
      <c r="I562" s="939" t="s">
        <v>2133</v>
      </c>
      <c r="J562" s="912" t="s">
        <v>2133</v>
      </c>
      <c r="K562" s="912">
        <v>1</v>
      </c>
      <c r="L562" s="912">
        <v>12</v>
      </c>
      <c r="M562" s="938">
        <f t="shared" si="20"/>
        <v>54816</v>
      </c>
      <c r="N562" s="912">
        <v>1</v>
      </c>
      <c r="O562" s="912">
        <v>6</v>
      </c>
      <c r="P562" s="938">
        <f t="shared" si="21"/>
        <v>27408</v>
      </c>
    </row>
    <row r="563" spans="1:16" x14ac:dyDescent="0.2">
      <c r="A563" s="937" t="s">
        <v>2126</v>
      </c>
      <c r="B563" s="912" t="s">
        <v>875</v>
      </c>
      <c r="C563" s="912" t="s">
        <v>80</v>
      </c>
      <c r="D563" s="912" t="s">
        <v>2136</v>
      </c>
      <c r="E563" s="938">
        <v>1300</v>
      </c>
      <c r="F563" s="926" t="s">
        <v>2246</v>
      </c>
      <c r="G563" s="926" t="s">
        <v>2247</v>
      </c>
      <c r="H563" s="926" t="s">
        <v>2248</v>
      </c>
      <c r="I563" s="939" t="s">
        <v>2133</v>
      </c>
      <c r="J563" s="912" t="s">
        <v>2133</v>
      </c>
      <c r="K563" s="912">
        <v>1</v>
      </c>
      <c r="L563" s="912">
        <v>12</v>
      </c>
      <c r="M563" s="938">
        <f t="shared" si="20"/>
        <v>15600</v>
      </c>
      <c r="N563" s="912">
        <v>1</v>
      </c>
      <c r="O563" s="912">
        <v>6</v>
      </c>
      <c r="P563" s="938">
        <f t="shared" si="21"/>
        <v>7800</v>
      </c>
    </row>
    <row r="564" spans="1:16" x14ac:dyDescent="0.2">
      <c r="A564" s="937" t="s">
        <v>2126</v>
      </c>
      <c r="B564" s="912" t="s">
        <v>875</v>
      </c>
      <c r="C564" s="912" t="s">
        <v>80</v>
      </c>
      <c r="D564" s="912" t="s">
        <v>2127</v>
      </c>
      <c r="E564" s="938">
        <v>2239</v>
      </c>
      <c r="F564" s="926" t="s">
        <v>2249</v>
      </c>
      <c r="G564" s="926" t="s">
        <v>2250</v>
      </c>
      <c r="H564" s="926" t="s">
        <v>1594</v>
      </c>
      <c r="I564" s="939" t="s">
        <v>2133</v>
      </c>
      <c r="J564" s="912" t="s">
        <v>2133</v>
      </c>
      <c r="K564" s="912">
        <v>1</v>
      </c>
      <c r="L564" s="912">
        <v>12</v>
      </c>
      <c r="M564" s="938">
        <f t="shared" si="20"/>
        <v>26868</v>
      </c>
      <c r="N564" s="912">
        <v>1</v>
      </c>
      <c r="O564" s="912">
        <v>6</v>
      </c>
      <c r="P564" s="938">
        <f t="shared" si="21"/>
        <v>13434</v>
      </c>
    </row>
    <row r="565" spans="1:16" x14ac:dyDescent="0.2">
      <c r="A565" s="937" t="s">
        <v>2126</v>
      </c>
      <c r="B565" s="912" t="s">
        <v>875</v>
      </c>
      <c r="C565" s="912" t="s">
        <v>80</v>
      </c>
      <c r="D565" s="912" t="s">
        <v>2127</v>
      </c>
      <c r="E565" s="938">
        <v>5532</v>
      </c>
      <c r="F565" s="926" t="s">
        <v>2251</v>
      </c>
      <c r="G565" s="926" t="s">
        <v>2252</v>
      </c>
      <c r="H565" s="926" t="s">
        <v>1175</v>
      </c>
      <c r="I565" s="939" t="s">
        <v>2133</v>
      </c>
      <c r="J565" s="912" t="s">
        <v>2133</v>
      </c>
      <c r="K565" s="912"/>
      <c r="L565" s="912"/>
      <c r="M565" s="938"/>
      <c r="N565" s="912">
        <v>1</v>
      </c>
      <c r="O565" s="912">
        <v>4</v>
      </c>
      <c r="P565" s="938">
        <f t="shared" si="21"/>
        <v>22128</v>
      </c>
    </row>
    <row r="566" spans="1:16" x14ac:dyDescent="0.2">
      <c r="A566" s="937" t="s">
        <v>2126</v>
      </c>
      <c r="B566" s="912" t="s">
        <v>875</v>
      </c>
      <c r="C566" s="912" t="s">
        <v>80</v>
      </c>
      <c r="D566" s="912" t="s">
        <v>2127</v>
      </c>
      <c r="E566" s="938">
        <v>1500</v>
      </c>
      <c r="F566" s="926" t="s">
        <v>2253</v>
      </c>
      <c r="G566" s="926" t="s">
        <v>2254</v>
      </c>
      <c r="H566" s="926" t="s">
        <v>1594</v>
      </c>
      <c r="I566" s="939" t="s">
        <v>2133</v>
      </c>
      <c r="J566" s="912" t="s">
        <v>2133</v>
      </c>
      <c r="K566" s="912">
        <v>1</v>
      </c>
      <c r="L566" s="912">
        <v>12</v>
      </c>
      <c r="M566" s="938">
        <f t="shared" ref="M566:M612" si="22">E566*12</f>
        <v>18000</v>
      </c>
      <c r="N566" s="912">
        <v>1</v>
      </c>
      <c r="O566" s="912">
        <v>6</v>
      </c>
      <c r="P566" s="938">
        <f t="shared" si="21"/>
        <v>9000</v>
      </c>
    </row>
    <row r="567" spans="1:16" x14ac:dyDescent="0.2">
      <c r="A567" s="937" t="s">
        <v>2126</v>
      </c>
      <c r="B567" s="912" t="s">
        <v>875</v>
      </c>
      <c r="C567" s="912" t="s">
        <v>80</v>
      </c>
      <c r="D567" s="912" t="s">
        <v>2136</v>
      </c>
      <c r="E567" s="938">
        <v>1300</v>
      </c>
      <c r="F567" s="926" t="s">
        <v>2255</v>
      </c>
      <c r="G567" s="926" t="s">
        <v>2256</v>
      </c>
      <c r="H567" s="926" t="s">
        <v>982</v>
      </c>
      <c r="I567" s="939" t="s">
        <v>2133</v>
      </c>
      <c r="J567" s="912" t="s">
        <v>2133</v>
      </c>
      <c r="K567" s="912">
        <v>1</v>
      </c>
      <c r="L567" s="912">
        <v>12</v>
      </c>
      <c r="M567" s="938">
        <f t="shared" si="22"/>
        <v>15600</v>
      </c>
      <c r="N567" s="912">
        <v>1</v>
      </c>
      <c r="O567" s="912">
        <v>6</v>
      </c>
      <c r="P567" s="938">
        <f t="shared" si="21"/>
        <v>7800</v>
      </c>
    </row>
    <row r="568" spans="1:16" x14ac:dyDescent="0.2">
      <c r="A568" s="937" t="s">
        <v>2126</v>
      </c>
      <c r="B568" s="912" t="s">
        <v>875</v>
      </c>
      <c r="C568" s="912" t="s">
        <v>80</v>
      </c>
      <c r="D568" s="912" t="s">
        <v>2127</v>
      </c>
      <c r="E568" s="938">
        <v>2239</v>
      </c>
      <c r="F568" s="926" t="s">
        <v>2257</v>
      </c>
      <c r="G568" s="926" t="s">
        <v>2258</v>
      </c>
      <c r="H568" s="926" t="s">
        <v>2259</v>
      </c>
      <c r="I568" s="939" t="s">
        <v>2133</v>
      </c>
      <c r="J568" s="912" t="s">
        <v>2133</v>
      </c>
      <c r="K568" s="912">
        <v>1</v>
      </c>
      <c r="L568" s="912">
        <v>12</v>
      </c>
      <c r="M568" s="938">
        <f t="shared" si="22"/>
        <v>26868</v>
      </c>
      <c r="N568" s="912">
        <v>1</v>
      </c>
      <c r="O568" s="912">
        <v>6</v>
      </c>
      <c r="P568" s="938">
        <f t="shared" si="21"/>
        <v>13434</v>
      </c>
    </row>
    <row r="569" spans="1:16" x14ac:dyDescent="0.2">
      <c r="A569" s="937" t="s">
        <v>2126</v>
      </c>
      <c r="B569" s="912" t="s">
        <v>875</v>
      </c>
      <c r="C569" s="912" t="s">
        <v>80</v>
      </c>
      <c r="D569" s="912" t="s">
        <v>2127</v>
      </c>
      <c r="E569" s="938">
        <v>1000</v>
      </c>
      <c r="F569" s="926" t="s">
        <v>2260</v>
      </c>
      <c r="G569" s="926" t="s">
        <v>2261</v>
      </c>
      <c r="H569" s="926" t="s">
        <v>2130</v>
      </c>
      <c r="I569" s="939" t="s">
        <v>2133</v>
      </c>
      <c r="J569" s="912" t="s">
        <v>2133</v>
      </c>
      <c r="K569" s="912">
        <v>1</v>
      </c>
      <c r="L569" s="912">
        <v>12</v>
      </c>
      <c r="M569" s="938">
        <f t="shared" si="22"/>
        <v>12000</v>
      </c>
      <c r="N569" s="912">
        <v>1</v>
      </c>
      <c r="O569" s="912">
        <v>6</v>
      </c>
      <c r="P569" s="938">
        <f t="shared" si="21"/>
        <v>6000</v>
      </c>
    </row>
    <row r="570" spans="1:16" x14ac:dyDescent="0.2">
      <c r="A570" s="937" t="s">
        <v>2126</v>
      </c>
      <c r="B570" s="912" t="s">
        <v>875</v>
      </c>
      <c r="C570" s="912" t="s">
        <v>80</v>
      </c>
      <c r="D570" s="912" t="s">
        <v>2127</v>
      </c>
      <c r="E570" s="938">
        <v>2239</v>
      </c>
      <c r="F570" s="926" t="s">
        <v>2262</v>
      </c>
      <c r="G570" s="926" t="s">
        <v>2263</v>
      </c>
      <c r="H570" s="926" t="s">
        <v>2264</v>
      </c>
      <c r="I570" s="939" t="s">
        <v>2133</v>
      </c>
      <c r="J570" s="912" t="s">
        <v>2133</v>
      </c>
      <c r="K570" s="912">
        <v>1</v>
      </c>
      <c r="L570" s="912">
        <v>12</v>
      </c>
      <c r="M570" s="938">
        <f t="shared" si="22"/>
        <v>26868</v>
      </c>
      <c r="N570" s="912">
        <v>1</v>
      </c>
      <c r="O570" s="912">
        <v>6</v>
      </c>
      <c r="P570" s="938">
        <f t="shared" si="21"/>
        <v>13434</v>
      </c>
    </row>
    <row r="571" spans="1:16" x14ac:dyDescent="0.2">
      <c r="A571" s="937" t="s">
        <v>2126</v>
      </c>
      <c r="B571" s="912" t="s">
        <v>875</v>
      </c>
      <c r="C571" s="912" t="s">
        <v>80</v>
      </c>
      <c r="D571" s="912" t="s">
        <v>2127</v>
      </c>
      <c r="E571" s="938">
        <v>4568</v>
      </c>
      <c r="F571" s="926" t="s">
        <v>2265</v>
      </c>
      <c r="G571" s="926" t="s">
        <v>2266</v>
      </c>
      <c r="H571" s="926" t="s">
        <v>1175</v>
      </c>
      <c r="I571" s="939" t="s">
        <v>2133</v>
      </c>
      <c r="J571" s="912" t="s">
        <v>2133</v>
      </c>
      <c r="K571" s="912">
        <v>1</v>
      </c>
      <c r="L571" s="912">
        <v>12</v>
      </c>
      <c r="M571" s="938">
        <f t="shared" si="22"/>
        <v>54816</v>
      </c>
      <c r="N571" s="912">
        <v>1</v>
      </c>
      <c r="O571" s="912">
        <v>6</v>
      </c>
      <c r="P571" s="938">
        <f t="shared" ref="P571:P580" si="23">E571*O571</f>
        <v>27408</v>
      </c>
    </row>
    <row r="572" spans="1:16" x14ac:dyDescent="0.2">
      <c r="A572" s="937" t="s">
        <v>2126</v>
      </c>
      <c r="B572" s="912" t="s">
        <v>875</v>
      </c>
      <c r="C572" s="912" t="s">
        <v>80</v>
      </c>
      <c r="D572" s="912" t="s">
        <v>2136</v>
      </c>
      <c r="E572" s="938">
        <v>1300</v>
      </c>
      <c r="F572" s="926" t="s">
        <v>2267</v>
      </c>
      <c r="G572" s="926" t="s">
        <v>2268</v>
      </c>
      <c r="H572" s="926" t="s">
        <v>982</v>
      </c>
      <c r="I572" s="939" t="s">
        <v>2133</v>
      </c>
      <c r="J572" s="912" t="s">
        <v>2133</v>
      </c>
      <c r="K572" s="912">
        <v>1</v>
      </c>
      <c r="L572" s="912">
        <v>12</v>
      </c>
      <c r="M572" s="938">
        <f t="shared" si="22"/>
        <v>15600</v>
      </c>
      <c r="N572" s="912">
        <v>1</v>
      </c>
      <c r="O572" s="912">
        <v>6</v>
      </c>
      <c r="P572" s="938">
        <f t="shared" si="23"/>
        <v>7800</v>
      </c>
    </row>
    <row r="573" spans="1:16" x14ac:dyDescent="0.2">
      <c r="A573" s="937" t="s">
        <v>2126</v>
      </c>
      <c r="B573" s="912" t="s">
        <v>875</v>
      </c>
      <c r="C573" s="912" t="s">
        <v>80</v>
      </c>
      <c r="D573" s="912" t="s">
        <v>2127</v>
      </c>
      <c r="E573" s="938">
        <v>4568</v>
      </c>
      <c r="F573" s="926" t="s">
        <v>2269</v>
      </c>
      <c r="G573" s="926" t="s">
        <v>2270</v>
      </c>
      <c r="H573" s="926" t="s">
        <v>1175</v>
      </c>
      <c r="I573" s="939" t="s">
        <v>2133</v>
      </c>
      <c r="J573" s="912" t="s">
        <v>2133</v>
      </c>
      <c r="K573" s="912">
        <v>1</v>
      </c>
      <c r="L573" s="912">
        <v>12</v>
      </c>
      <c r="M573" s="938">
        <f t="shared" si="22"/>
        <v>54816</v>
      </c>
      <c r="N573" s="912">
        <v>1</v>
      </c>
      <c r="O573" s="912">
        <v>6</v>
      </c>
      <c r="P573" s="938">
        <f t="shared" si="23"/>
        <v>27408</v>
      </c>
    </row>
    <row r="574" spans="1:16" x14ac:dyDescent="0.2">
      <c r="A574" s="937" t="s">
        <v>2126</v>
      </c>
      <c r="B574" s="912" t="s">
        <v>875</v>
      </c>
      <c r="C574" s="912" t="s">
        <v>80</v>
      </c>
      <c r="D574" s="912" t="s">
        <v>2127</v>
      </c>
      <c r="E574" s="938">
        <v>1750</v>
      </c>
      <c r="F574" s="926" t="s">
        <v>2271</v>
      </c>
      <c r="G574" s="926" t="s">
        <v>2272</v>
      </c>
      <c r="H574" s="926" t="s">
        <v>2259</v>
      </c>
      <c r="I574" s="939" t="s">
        <v>2133</v>
      </c>
      <c r="J574" s="912" t="s">
        <v>2133</v>
      </c>
      <c r="K574" s="912">
        <v>1</v>
      </c>
      <c r="L574" s="912">
        <v>12</v>
      </c>
      <c r="M574" s="938">
        <f t="shared" si="22"/>
        <v>21000</v>
      </c>
      <c r="N574" s="912">
        <v>1</v>
      </c>
      <c r="O574" s="912">
        <v>6</v>
      </c>
      <c r="P574" s="938">
        <f t="shared" si="23"/>
        <v>10500</v>
      </c>
    </row>
    <row r="575" spans="1:16" x14ac:dyDescent="0.2">
      <c r="A575" s="937" t="s">
        <v>2126</v>
      </c>
      <c r="B575" s="912" t="s">
        <v>875</v>
      </c>
      <c r="C575" s="912" t="s">
        <v>80</v>
      </c>
      <c r="D575" s="912" t="s">
        <v>2127</v>
      </c>
      <c r="E575" s="938">
        <v>2239</v>
      </c>
      <c r="F575" s="926" t="s">
        <v>2273</v>
      </c>
      <c r="G575" s="926" t="s">
        <v>2274</v>
      </c>
      <c r="H575" s="926" t="s">
        <v>1594</v>
      </c>
      <c r="I575" s="939" t="s">
        <v>2133</v>
      </c>
      <c r="J575" s="912" t="s">
        <v>2133</v>
      </c>
      <c r="K575" s="912">
        <v>1</v>
      </c>
      <c r="L575" s="912">
        <v>12</v>
      </c>
      <c r="M575" s="938">
        <f t="shared" si="22"/>
        <v>26868</v>
      </c>
      <c r="N575" s="912">
        <v>1</v>
      </c>
      <c r="O575" s="912">
        <v>6</v>
      </c>
      <c r="P575" s="938">
        <f t="shared" si="23"/>
        <v>13434</v>
      </c>
    </row>
    <row r="576" spans="1:16" x14ac:dyDescent="0.2">
      <c r="A576" s="937" t="s">
        <v>2126</v>
      </c>
      <c r="B576" s="912" t="s">
        <v>875</v>
      </c>
      <c r="C576" s="912" t="s">
        <v>80</v>
      </c>
      <c r="D576" s="912" t="s">
        <v>2127</v>
      </c>
      <c r="E576" s="938">
        <v>4568</v>
      </c>
      <c r="F576" s="926" t="s">
        <v>2275</v>
      </c>
      <c r="G576" s="926" t="s">
        <v>2276</v>
      </c>
      <c r="H576" s="926" t="s">
        <v>1175</v>
      </c>
      <c r="I576" s="939" t="s">
        <v>2133</v>
      </c>
      <c r="J576" s="912" t="s">
        <v>2133</v>
      </c>
      <c r="K576" s="912">
        <v>1</v>
      </c>
      <c r="L576" s="912">
        <v>12</v>
      </c>
      <c r="M576" s="938">
        <f t="shared" si="22"/>
        <v>54816</v>
      </c>
      <c r="N576" s="912">
        <v>1</v>
      </c>
      <c r="O576" s="912">
        <v>6</v>
      </c>
      <c r="P576" s="938">
        <f t="shared" si="23"/>
        <v>27408</v>
      </c>
    </row>
    <row r="577" spans="1:16" x14ac:dyDescent="0.2">
      <c r="A577" s="937" t="s">
        <v>2126</v>
      </c>
      <c r="B577" s="912" t="s">
        <v>875</v>
      </c>
      <c r="C577" s="912" t="s">
        <v>80</v>
      </c>
      <c r="D577" s="912" t="s">
        <v>2127</v>
      </c>
      <c r="E577" s="938">
        <v>1300</v>
      </c>
      <c r="F577" s="926" t="s">
        <v>2277</v>
      </c>
      <c r="G577" s="926" t="s">
        <v>2278</v>
      </c>
      <c r="H577" s="926" t="s">
        <v>2130</v>
      </c>
      <c r="I577" s="939" t="s">
        <v>2133</v>
      </c>
      <c r="J577" s="912" t="s">
        <v>2133</v>
      </c>
      <c r="K577" s="912">
        <v>1</v>
      </c>
      <c r="L577" s="912">
        <v>12</v>
      </c>
      <c r="M577" s="938">
        <f t="shared" si="22"/>
        <v>15600</v>
      </c>
      <c r="N577" s="912">
        <v>1</v>
      </c>
      <c r="O577" s="912">
        <v>6</v>
      </c>
      <c r="P577" s="938">
        <f t="shared" si="23"/>
        <v>7800</v>
      </c>
    </row>
    <row r="578" spans="1:16" x14ac:dyDescent="0.2">
      <c r="A578" s="937" t="s">
        <v>2126</v>
      </c>
      <c r="B578" s="912" t="s">
        <v>875</v>
      </c>
      <c r="C578" s="912" t="s">
        <v>80</v>
      </c>
      <c r="D578" s="912" t="s">
        <v>2127</v>
      </c>
      <c r="E578" s="938">
        <v>1000</v>
      </c>
      <c r="F578" s="926" t="s">
        <v>2279</v>
      </c>
      <c r="G578" s="926" t="s">
        <v>2280</v>
      </c>
      <c r="H578" s="926" t="s">
        <v>2130</v>
      </c>
      <c r="I578" s="939" t="s">
        <v>2133</v>
      </c>
      <c r="J578" s="912" t="s">
        <v>2133</v>
      </c>
      <c r="K578" s="912">
        <v>1</v>
      </c>
      <c r="L578" s="912">
        <v>12</v>
      </c>
      <c r="M578" s="938">
        <f t="shared" si="22"/>
        <v>12000</v>
      </c>
      <c r="N578" s="912">
        <v>1</v>
      </c>
      <c r="O578" s="912">
        <v>6</v>
      </c>
      <c r="P578" s="938">
        <f t="shared" si="23"/>
        <v>6000</v>
      </c>
    </row>
    <row r="579" spans="1:16" x14ac:dyDescent="0.2">
      <c r="A579" s="937" t="s">
        <v>2126</v>
      </c>
      <c r="B579" s="912" t="s">
        <v>875</v>
      </c>
      <c r="C579" s="912" t="s">
        <v>80</v>
      </c>
      <c r="D579" s="912" t="s">
        <v>2127</v>
      </c>
      <c r="E579" s="938">
        <v>4568</v>
      </c>
      <c r="F579" s="926" t="s">
        <v>2281</v>
      </c>
      <c r="G579" s="926" t="s">
        <v>2282</v>
      </c>
      <c r="H579" s="926" t="s">
        <v>1175</v>
      </c>
      <c r="I579" s="939" t="s">
        <v>2133</v>
      </c>
      <c r="J579" s="912" t="s">
        <v>2133</v>
      </c>
      <c r="K579" s="912">
        <v>1</v>
      </c>
      <c r="L579" s="912">
        <v>12</v>
      </c>
      <c r="M579" s="938">
        <f t="shared" si="22"/>
        <v>54816</v>
      </c>
      <c r="N579" s="912">
        <v>1</v>
      </c>
      <c r="O579" s="912">
        <v>6</v>
      </c>
      <c r="P579" s="938">
        <f t="shared" si="23"/>
        <v>27408</v>
      </c>
    </row>
    <row r="580" spans="1:16" x14ac:dyDescent="0.2">
      <c r="A580" s="937" t="s">
        <v>2126</v>
      </c>
      <c r="B580" s="912" t="s">
        <v>875</v>
      </c>
      <c r="C580" s="912" t="s">
        <v>80</v>
      </c>
      <c r="D580" s="912" t="s">
        <v>2127</v>
      </c>
      <c r="E580" s="938">
        <v>4568</v>
      </c>
      <c r="F580" s="926" t="s">
        <v>2283</v>
      </c>
      <c r="G580" s="926" t="s">
        <v>2284</v>
      </c>
      <c r="H580" s="926" t="s">
        <v>1175</v>
      </c>
      <c r="I580" s="939" t="s">
        <v>2133</v>
      </c>
      <c r="J580" s="912" t="s">
        <v>2133</v>
      </c>
      <c r="K580" s="912">
        <v>1</v>
      </c>
      <c r="L580" s="912">
        <v>12</v>
      </c>
      <c r="M580" s="938">
        <f t="shared" si="22"/>
        <v>54816</v>
      </c>
      <c r="N580" s="912">
        <v>1</v>
      </c>
      <c r="O580" s="912">
        <v>6</v>
      </c>
      <c r="P580" s="938">
        <f t="shared" si="23"/>
        <v>27408</v>
      </c>
    </row>
    <row r="581" spans="1:16" x14ac:dyDescent="0.2">
      <c r="A581" s="937" t="s">
        <v>2126</v>
      </c>
      <c r="B581" s="912" t="s">
        <v>875</v>
      </c>
      <c r="C581" s="912" t="s">
        <v>80</v>
      </c>
      <c r="D581" s="912" t="s">
        <v>2136</v>
      </c>
      <c r="E581" s="938">
        <v>1300</v>
      </c>
      <c r="F581" s="926" t="s">
        <v>2285</v>
      </c>
      <c r="G581" s="926" t="s">
        <v>2286</v>
      </c>
      <c r="H581" s="926" t="s">
        <v>982</v>
      </c>
      <c r="I581" s="939" t="s">
        <v>2133</v>
      </c>
      <c r="J581" s="912" t="s">
        <v>2133</v>
      </c>
      <c r="K581" s="912">
        <v>1</v>
      </c>
      <c r="L581" s="912">
        <v>12</v>
      </c>
      <c r="M581" s="938">
        <f t="shared" si="22"/>
        <v>15600</v>
      </c>
      <c r="N581" s="912"/>
      <c r="O581" s="912"/>
      <c r="P581" s="938"/>
    </row>
    <row r="582" spans="1:16" x14ac:dyDescent="0.2">
      <c r="A582" s="937" t="s">
        <v>2126</v>
      </c>
      <c r="B582" s="912" t="s">
        <v>875</v>
      </c>
      <c r="C582" s="912" t="s">
        <v>80</v>
      </c>
      <c r="D582" s="912" t="s">
        <v>2127</v>
      </c>
      <c r="E582" s="938">
        <v>4568</v>
      </c>
      <c r="F582" s="926" t="s">
        <v>2287</v>
      </c>
      <c r="G582" s="926" t="s">
        <v>2288</v>
      </c>
      <c r="H582" s="926" t="s">
        <v>1175</v>
      </c>
      <c r="I582" s="939" t="s">
        <v>2133</v>
      </c>
      <c r="J582" s="912" t="s">
        <v>2133</v>
      </c>
      <c r="K582" s="912">
        <v>1</v>
      </c>
      <c r="L582" s="912">
        <v>12</v>
      </c>
      <c r="M582" s="938">
        <f t="shared" si="22"/>
        <v>54816</v>
      </c>
      <c r="N582" s="912">
        <v>1</v>
      </c>
      <c r="O582" s="912">
        <v>6</v>
      </c>
      <c r="P582" s="938">
        <f>E582*O582</f>
        <v>27408</v>
      </c>
    </row>
    <row r="583" spans="1:16" x14ac:dyDescent="0.2">
      <c r="A583" s="937" t="s">
        <v>2126</v>
      </c>
      <c r="B583" s="912" t="s">
        <v>875</v>
      </c>
      <c r="C583" s="912" t="s">
        <v>80</v>
      </c>
      <c r="D583" s="912" t="s">
        <v>2127</v>
      </c>
      <c r="E583" s="938">
        <v>4568</v>
      </c>
      <c r="F583" s="926" t="s">
        <v>2289</v>
      </c>
      <c r="G583" s="926" t="s">
        <v>2290</v>
      </c>
      <c r="H583" s="926" t="s">
        <v>1175</v>
      </c>
      <c r="I583" s="939" t="s">
        <v>2133</v>
      </c>
      <c r="J583" s="912" t="s">
        <v>2133</v>
      </c>
      <c r="K583" s="912">
        <v>1</v>
      </c>
      <c r="L583" s="912">
        <v>12</v>
      </c>
      <c r="M583" s="938">
        <f t="shared" si="22"/>
        <v>54816</v>
      </c>
      <c r="N583" s="912">
        <v>1</v>
      </c>
      <c r="O583" s="912">
        <v>6</v>
      </c>
      <c r="P583" s="938">
        <f>E583*O583</f>
        <v>27408</v>
      </c>
    </row>
    <row r="584" spans="1:16" x14ac:dyDescent="0.2">
      <c r="A584" s="937" t="s">
        <v>2126</v>
      </c>
      <c r="B584" s="912" t="s">
        <v>875</v>
      </c>
      <c r="C584" s="912" t="s">
        <v>80</v>
      </c>
      <c r="D584" s="912" t="s">
        <v>2136</v>
      </c>
      <c r="E584" s="938">
        <v>2239</v>
      </c>
      <c r="F584" s="926" t="s">
        <v>2291</v>
      </c>
      <c r="G584" s="926" t="s">
        <v>2292</v>
      </c>
      <c r="H584" s="926" t="s">
        <v>1634</v>
      </c>
      <c r="I584" s="939" t="s">
        <v>2133</v>
      </c>
      <c r="J584" s="912" t="s">
        <v>2133</v>
      </c>
      <c r="K584" s="912">
        <v>1</v>
      </c>
      <c r="L584" s="912">
        <v>12</v>
      </c>
      <c r="M584" s="938">
        <f t="shared" si="22"/>
        <v>26868</v>
      </c>
      <c r="N584" s="912">
        <v>1</v>
      </c>
      <c r="O584" s="912">
        <v>6</v>
      </c>
      <c r="P584" s="938">
        <f>E584*O584</f>
        <v>13434</v>
      </c>
    </row>
    <row r="585" spans="1:16" x14ac:dyDescent="0.2">
      <c r="A585" s="937" t="s">
        <v>2126</v>
      </c>
      <c r="B585" s="912" t="s">
        <v>875</v>
      </c>
      <c r="C585" s="912" t="s">
        <v>80</v>
      </c>
      <c r="D585" s="912" t="s">
        <v>2127</v>
      </c>
      <c r="E585" s="938">
        <v>1724</v>
      </c>
      <c r="F585" s="926" t="s">
        <v>2293</v>
      </c>
      <c r="G585" s="926" t="s">
        <v>2294</v>
      </c>
      <c r="H585" s="926" t="s">
        <v>1028</v>
      </c>
      <c r="I585" s="939" t="s">
        <v>2133</v>
      </c>
      <c r="J585" s="912" t="s">
        <v>2133</v>
      </c>
      <c r="K585" s="912">
        <v>1</v>
      </c>
      <c r="L585" s="912">
        <v>12</v>
      </c>
      <c r="M585" s="938">
        <f t="shared" si="22"/>
        <v>20688</v>
      </c>
      <c r="N585" s="912"/>
      <c r="O585" s="912"/>
      <c r="P585" s="938">
        <f>E585*O585</f>
        <v>0</v>
      </c>
    </row>
    <row r="586" spans="1:16" x14ac:dyDescent="0.2">
      <c r="A586" s="937" t="s">
        <v>2126</v>
      </c>
      <c r="B586" s="912" t="s">
        <v>875</v>
      </c>
      <c r="C586" s="912" t="s">
        <v>80</v>
      </c>
      <c r="D586" s="912" t="s">
        <v>2136</v>
      </c>
      <c r="E586" s="938">
        <v>1000</v>
      </c>
      <c r="F586" s="926" t="s">
        <v>2295</v>
      </c>
      <c r="G586" s="926" t="s">
        <v>2296</v>
      </c>
      <c r="H586" s="926" t="s">
        <v>982</v>
      </c>
      <c r="I586" s="939" t="s">
        <v>2133</v>
      </c>
      <c r="J586" s="912" t="s">
        <v>2133</v>
      </c>
      <c r="K586" s="912">
        <v>1</v>
      </c>
      <c r="L586" s="912">
        <v>12</v>
      </c>
      <c r="M586" s="938">
        <f t="shared" si="22"/>
        <v>12000</v>
      </c>
      <c r="N586" s="912"/>
      <c r="O586" s="912"/>
      <c r="P586" s="938"/>
    </row>
    <row r="587" spans="1:16" x14ac:dyDescent="0.2">
      <c r="A587" s="937" t="s">
        <v>2126</v>
      </c>
      <c r="B587" s="912" t="s">
        <v>875</v>
      </c>
      <c r="C587" s="912" t="s">
        <v>80</v>
      </c>
      <c r="D587" s="912" t="s">
        <v>2127</v>
      </c>
      <c r="E587" s="938">
        <v>2239</v>
      </c>
      <c r="F587" s="926" t="s">
        <v>2297</v>
      </c>
      <c r="G587" s="926" t="s">
        <v>2298</v>
      </c>
      <c r="H587" s="926" t="s">
        <v>1404</v>
      </c>
      <c r="I587" s="939" t="s">
        <v>2133</v>
      </c>
      <c r="J587" s="912" t="s">
        <v>2133</v>
      </c>
      <c r="K587" s="912">
        <v>1</v>
      </c>
      <c r="L587" s="912">
        <v>12</v>
      </c>
      <c r="M587" s="938">
        <f t="shared" si="22"/>
        <v>26868</v>
      </c>
      <c r="N587" s="912">
        <v>1</v>
      </c>
      <c r="O587" s="912">
        <v>6</v>
      </c>
      <c r="P587" s="938">
        <f t="shared" ref="P587:P592" si="24">E587*O587</f>
        <v>13434</v>
      </c>
    </row>
    <row r="588" spans="1:16" x14ac:dyDescent="0.2">
      <c r="A588" s="937" t="s">
        <v>2126</v>
      </c>
      <c r="B588" s="912" t="s">
        <v>875</v>
      </c>
      <c r="C588" s="912" t="s">
        <v>80</v>
      </c>
      <c r="D588" s="912" t="s">
        <v>2127</v>
      </c>
      <c r="E588" s="938">
        <v>1724</v>
      </c>
      <c r="F588" s="926" t="s">
        <v>2299</v>
      </c>
      <c r="G588" s="926" t="s">
        <v>2300</v>
      </c>
      <c r="H588" s="926" t="s">
        <v>1666</v>
      </c>
      <c r="I588" s="939" t="s">
        <v>2133</v>
      </c>
      <c r="J588" s="912" t="s">
        <v>2133</v>
      </c>
      <c r="K588" s="912">
        <v>1</v>
      </c>
      <c r="L588" s="912">
        <v>12</v>
      </c>
      <c r="M588" s="938">
        <f t="shared" si="22"/>
        <v>20688</v>
      </c>
      <c r="N588" s="912">
        <v>1</v>
      </c>
      <c r="O588" s="912">
        <v>6</v>
      </c>
      <c r="P588" s="938">
        <f t="shared" si="24"/>
        <v>10344</v>
      </c>
    </row>
    <row r="589" spans="1:16" x14ac:dyDescent="0.2">
      <c r="A589" s="937" t="s">
        <v>2126</v>
      </c>
      <c r="B589" s="912" t="s">
        <v>875</v>
      </c>
      <c r="C589" s="912" t="s">
        <v>80</v>
      </c>
      <c r="D589" s="912" t="s">
        <v>2127</v>
      </c>
      <c r="E589" s="938">
        <v>4568</v>
      </c>
      <c r="F589" s="926" t="s">
        <v>2301</v>
      </c>
      <c r="G589" s="926" t="s">
        <v>2302</v>
      </c>
      <c r="H589" s="926" t="s">
        <v>1175</v>
      </c>
      <c r="I589" s="939" t="s">
        <v>2133</v>
      </c>
      <c r="J589" s="912" t="s">
        <v>2133</v>
      </c>
      <c r="K589" s="912">
        <v>1</v>
      </c>
      <c r="L589" s="912">
        <v>12</v>
      </c>
      <c r="M589" s="938">
        <f t="shared" si="22"/>
        <v>54816</v>
      </c>
      <c r="N589" s="912">
        <v>1</v>
      </c>
      <c r="O589" s="912">
        <v>6</v>
      </c>
      <c r="P589" s="938">
        <f t="shared" si="24"/>
        <v>27408</v>
      </c>
    </row>
    <row r="590" spans="1:16" x14ac:dyDescent="0.2">
      <c r="A590" s="937" t="s">
        <v>2126</v>
      </c>
      <c r="B590" s="912" t="s">
        <v>875</v>
      </c>
      <c r="C590" s="912" t="s">
        <v>80</v>
      </c>
      <c r="D590" s="912" t="s">
        <v>2127</v>
      </c>
      <c r="E590" s="938">
        <v>1724</v>
      </c>
      <c r="F590" s="926" t="s">
        <v>2303</v>
      </c>
      <c r="G590" s="926" t="s">
        <v>2304</v>
      </c>
      <c r="H590" s="926" t="s">
        <v>1663</v>
      </c>
      <c r="I590" s="939" t="s">
        <v>2133</v>
      </c>
      <c r="J590" s="912" t="s">
        <v>2133</v>
      </c>
      <c r="K590" s="912">
        <v>1</v>
      </c>
      <c r="L590" s="912">
        <v>12</v>
      </c>
      <c r="M590" s="938">
        <f t="shared" si="22"/>
        <v>20688</v>
      </c>
      <c r="N590" s="912">
        <v>1</v>
      </c>
      <c r="O590" s="912">
        <v>6</v>
      </c>
      <c r="P590" s="938">
        <f t="shared" si="24"/>
        <v>10344</v>
      </c>
    </row>
    <row r="591" spans="1:16" x14ac:dyDescent="0.2">
      <c r="A591" s="937" t="s">
        <v>2126</v>
      </c>
      <c r="B591" s="912" t="s">
        <v>875</v>
      </c>
      <c r="C591" s="912" t="s">
        <v>80</v>
      </c>
      <c r="D591" s="912" t="s">
        <v>2127</v>
      </c>
      <c r="E591" s="938">
        <v>1666.53</v>
      </c>
      <c r="F591" s="926" t="s">
        <v>2305</v>
      </c>
      <c r="G591" s="926" t="s">
        <v>2306</v>
      </c>
      <c r="H591" s="926" t="s">
        <v>1028</v>
      </c>
      <c r="I591" s="939" t="s">
        <v>2133</v>
      </c>
      <c r="J591" s="912" t="s">
        <v>2133</v>
      </c>
      <c r="K591" s="912">
        <v>1</v>
      </c>
      <c r="L591" s="912">
        <v>12</v>
      </c>
      <c r="M591" s="938">
        <f t="shared" si="22"/>
        <v>19998.36</v>
      </c>
      <c r="N591" s="912">
        <v>1</v>
      </c>
      <c r="O591" s="912">
        <v>6</v>
      </c>
      <c r="P591" s="938">
        <f t="shared" si="24"/>
        <v>9999.18</v>
      </c>
    </row>
    <row r="592" spans="1:16" x14ac:dyDescent="0.2">
      <c r="A592" s="937" t="s">
        <v>2126</v>
      </c>
      <c r="B592" s="912" t="s">
        <v>875</v>
      </c>
      <c r="C592" s="912" t="s">
        <v>80</v>
      </c>
      <c r="D592" s="912" t="s">
        <v>2127</v>
      </c>
      <c r="E592" s="938">
        <v>2239</v>
      </c>
      <c r="F592" s="926" t="s">
        <v>2307</v>
      </c>
      <c r="G592" s="926" t="s">
        <v>2308</v>
      </c>
      <c r="H592" s="926" t="s">
        <v>1594</v>
      </c>
      <c r="I592" s="939" t="s">
        <v>2133</v>
      </c>
      <c r="J592" s="912" t="s">
        <v>2133</v>
      </c>
      <c r="K592" s="912">
        <v>1</v>
      </c>
      <c r="L592" s="912">
        <v>12</v>
      </c>
      <c r="M592" s="938">
        <f t="shared" si="22"/>
        <v>26868</v>
      </c>
      <c r="N592" s="912">
        <v>1</v>
      </c>
      <c r="O592" s="912">
        <v>6</v>
      </c>
      <c r="P592" s="938">
        <f t="shared" si="24"/>
        <v>13434</v>
      </c>
    </row>
    <row r="593" spans="1:16" x14ac:dyDescent="0.2">
      <c r="A593" s="937" t="s">
        <v>2126</v>
      </c>
      <c r="B593" s="912" t="s">
        <v>875</v>
      </c>
      <c r="C593" s="912" t="s">
        <v>80</v>
      </c>
      <c r="D593" s="912" t="s">
        <v>2136</v>
      </c>
      <c r="E593" s="938">
        <v>1300</v>
      </c>
      <c r="F593" s="926" t="s">
        <v>2309</v>
      </c>
      <c r="G593" s="926" t="s">
        <v>2310</v>
      </c>
      <c r="H593" s="926" t="s">
        <v>982</v>
      </c>
      <c r="I593" s="939" t="s">
        <v>2133</v>
      </c>
      <c r="J593" s="912" t="s">
        <v>2133</v>
      </c>
      <c r="K593" s="912">
        <v>1</v>
      </c>
      <c r="L593" s="912">
        <v>12</v>
      </c>
      <c r="M593" s="938">
        <f t="shared" si="22"/>
        <v>15600</v>
      </c>
      <c r="N593" s="912"/>
      <c r="O593" s="912"/>
      <c r="P593" s="938"/>
    </row>
    <row r="594" spans="1:16" x14ac:dyDescent="0.2">
      <c r="A594" s="937" t="s">
        <v>2126</v>
      </c>
      <c r="B594" s="912" t="s">
        <v>875</v>
      </c>
      <c r="C594" s="912" t="s">
        <v>80</v>
      </c>
      <c r="D594" s="912" t="s">
        <v>2127</v>
      </c>
      <c r="E594" s="938">
        <v>2239</v>
      </c>
      <c r="F594" s="926" t="s">
        <v>2311</v>
      </c>
      <c r="G594" s="926" t="s">
        <v>2312</v>
      </c>
      <c r="H594" s="926" t="s">
        <v>1594</v>
      </c>
      <c r="I594" s="939" t="s">
        <v>2133</v>
      </c>
      <c r="J594" s="912" t="s">
        <v>2133</v>
      </c>
      <c r="K594" s="912">
        <v>1</v>
      </c>
      <c r="L594" s="912">
        <v>12</v>
      </c>
      <c r="M594" s="938">
        <f t="shared" si="22"/>
        <v>26868</v>
      </c>
      <c r="N594" s="912">
        <v>1</v>
      </c>
      <c r="O594" s="912">
        <v>6</v>
      </c>
      <c r="P594" s="938">
        <f>E594*O594</f>
        <v>13434</v>
      </c>
    </row>
    <row r="595" spans="1:16" x14ac:dyDescent="0.2">
      <c r="A595" s="937" t="s">
        <v>2126</v>
      </c>
      <c r="B595" s="912" t="s">
        <v>875</v>
      </c>
      <c r="C595" s="912" t="s">
        <v>80</v>
      </c>
      <c r="D595" s="912" t="s">
        <v>2127</v>
      </c>
      <c r="E595" s="938">
        <v>2239</v>
      </c>
      <c r="F595" s="926" t="s">
        <v>2313</v>
      </c>
      <c r="G595" s="926" t="s">
        <v>2314</v>
      </c>
      <c r="H595" s="926" t="s">
        <v>1594</v>
      </c>
      <c r="I595" s="939" t="s">
        <v>2133</v>
      </c>
      <c r="J595" s="912" t="s">
        <v>2133</v>
      </c>
      <c r="K595" s="912">
        <v>1</v>
      </c>
      <c r="L595" s="912">
        <v>12</v>
      </c>
      <c r="M595" s="938">
        <f t="shared" si="22"/>
        <v>26868</v>
      </c>
      <c r="N595" s="912">
        <v>1</v>
      </c>
      <c r="O595" s="912">
        <v>6</v>
      </c>
      <c r="P595" s="938">
        <f>E595*O595</f>
        <v>13434</v>
      </c>
    </row>
    <row r="596" spans="1:16" x14ac:dyDescent="0.2">
      <c r="A596" s="937" t="s">
        <v>2126</v>
      </c>
      <c r="B596" s="912" t="s">
        <v>875</v>
      </c>
      <c r="C596" s="912" t="s">
        <v>80</v>
      </c>
      <c r="D596" s="912" t="s">
        <v>2136</v>
      </c>
      <c r="E596" s="938">
        <v>1300</v>
      </c>
      <c r="F596" s="926" t="s">
        <v>2315</v>
      </c>
      <c r="G596" s="926" t="s">
        <v>2316</v>
      </c>
      <c r="H596" s="926" t="s">
        <v>982</v>
      </c>
      <c r="I596" s="939" t="s">
        <v>2133</v>
      </c>
      <c r="J596" s="912" t="s">
        <v>2133</v>
      </c>
      <c r="K596" s="912">
        <v>1</v>
      </c>
      <c r="L596" s="912">
        <v>12</v>
      </c>
      <c r="M596" s="938">
        <f t="shared" si="22"/>
        <v>15600</v>
      </c>
      <c r="N596" s="912">
        <v>1</v>
      </c>
      <c r="O596" s="912">
        <v>6</v>
      </c>
      <c r="P596" s="938"/>
    </row>
    <row r="597" spans="1:16" x14ac:dyDescent="0.2">
      <c r="A597" s="937" t="s">
        <v>2126</v>
      </c>
      <c r="B597" s="912" t="s">
        <v>875</v>
      </c>
      <c r="C597" s="912" t="s">
        <v>80</v>
      </c>
      <c r="D597" s="912" t="s">
        <v>2136</v>
      </c>
      <c r="E597" s="938">
        <v>1300</v>
      </c>
      <c r="F597" s="926" t="s">
        <v>2317</v>
      </c>
      <c r="G597" s="926" t="s">
        <v>2318</v>
      </c>
      <c r="H597" s="926" t="s">
        <v>2248</v>
      </c>
      <c r="I597" s="939" t="s">
        <v>2133</v>
      </c>
      <c r="J597" s="912" t="s">
        <v>2133</v>
      </c>
      <c r="K597" s="912">
        <v>1</v>
      </c>
      <c r="L597" s="912">
        <v>12</v>
      </c>
      <c r="M597" s="938">
        <f t="shared" si="22"/>
        <v>15600</v>
      </c>
      <c r="N597" s="912">
        <v>1</v>
      </c>
      <c r="O597" s="912">
        <v>6</v>
      </c>
      <c r="P597" s="938">
        <f>E597*O597</f>
        <v>7800</v>
      </c>
    </row>
    <row r="598" spans="1:16" x14ac:dyDescent="0.2">
      <c r="A598" s="937" t="s">
        <v>2126</v>
      </c>
      <c r="B598" s="912" t="s">
        <v>875</v>
      </c>
      <c r="C598" s="912" t="s">
        <v>80</v>
      </c>
      <c r="D598" s="912" t="s">
        <v>2127</v>
      </c>
      <c r="E598" s="938">
        <v>1724</v>
      </c>
      <c r="F598" s="926" t="s">
        <v>2319</v>
      </c>
      <c r="G598" s="926" t="s">
        <v>2320</v>
      </c>
      <c r="H598" s="926" t="s">
        <v>1028</v>
      </c>
      <c r="I598" s="939" t="s">
        <v>2133</v>
      </c>
      <c r="J598" s="912" t="s">
        <v>2133</v>
      </c>
      <c r="K598" s="912">
        <v>1</v>
      </c>
      <c r="L598" s="912">
        <v>12</v>
      </c>
      <c r="M598" s="938">
        <f t="shared" si="22"/>
        <v>20688</v>
      </c>
      <c r="N598" s="912">
        <v>1</v>
      </c>
      <c r="O598" s="912">
        <v>6</v>
      </c>
      <c r="P598" s="938">
        <f>E598*O598</f>
        <v>10344</v>
      </c>
    </row>
    <row r="599" spans="1:16" x14ac:dyDescent="0.2">
      <c r="A599" s="937" t="s">
        <v>2126</v>
      </c>
      <c r="B599" s="912" t="s">
        <v>875</v>
      </c>
      <c r="C599" s="912" t="s">
        <v>80</v>
      </c>
      <c r="D599" s="912" t="s">
        <v>2136</v>
      </c>
      <c r="E599" s="938">
        <v>1300</v>
      </c>
      <c r="F599" s="926" t="s">
        <v>2321</v>
      </c>
      <c r="G599" s="926" t="s">
        <v>2322</v>
      </c>
      <c r="H599" s="926" t="s">
        <v>2248</v>
      </c>
      <c r="I599" s="939" t="s">
        <v>2133</v>
      </c>
      <c r="J599" s="912" t="s">
        <v>2133</v>
      </c>
      <c r="K599" s="912">
        <v>1</v>
      </c>
      <c r="L599" s="912">
        <v>12</v>
      </c>
      <c r="M599" s="938">
        <f t="shared" si="22"/>
        <v>15600</v>
      </c>
      <c r="N599" s="912">
        <v>1</v>
      </c>
      <c r="O599" s="912">
        <v>6</v>
      </c>
      <c r="P599" s="938">
        <f>E599*O599</f>
        <v>7800</v>
      </c>
    </row>
    <row r="600" spans="1:16" x14ac:dyDescent="0.2">
      <c r="A600" s="937" t="s">
        <v>2126</v>
      </c>
      <c r="B600" s="912" t="s">
        <v>875</v>
      </c>
      <c r="C600" s="912" t="s">
        <v>80</v>
      </c>
      <c r="D600" s="912" t="s">
        <v>2136</v>
      </c>
      <c r="E600" s="938">
        <v>1300</v>
      </c>
      <c r="F600" s="926" t="s">
        <v>2323</v>
      </c>
      <c r="G600" s="926" t="s">
        <v>2324</v>
      </c>
      <c r="H600" s="926" t="s">
        <v>982</v>
      </c>
      <c r="I600" s="939" t="s">
        <v>2133</v>
      </c>
      <c r="J600" s="912" t="s">
        <v>2133</v>
      </c>
      <c r="K600" s="912">
        <v>1</v>
      </c>
      <c r="L600" s="912">
        <v>12</v>
      </c>
      <c r="M600" s="938">
        <f t="shared" si="22"/>
        <v>15600</v>
      </c>
      <c r="N600" s="912"/>
      <c r="O600" s="912"/>
      <c r="P600" s="938"/>
    </row>
    <row r="601" spans="1:16" x14ac:dyDescent="0.2">
      <c r="A601" s="937" t="s">
        <v>2126</v>
      </c>
      <c r="B601" s="912" t="s">
        <v>875</v>
      </c>
      <c r="C601" s="912" t="s">
        <v>80</v>
      </c>
      <c r="D601" s="912" t="s">
        <v>2127</v>
      </c>
      <c r="E601" s="938">
        <v>2239</v>
      </c>
      <c r="F601" s="926" t="s">
        <v>2325</v>
      </c>
      <c r="G601" s="926" t="s">
        <v>2326</v>
      </c>
      <c r="H601" s="926" t="s">
        <v>1594</v>
      </c>
      <c r="I601" s="939" t="s">
        <v>2133</v>
      </c>
      <c r="J601" s="912" t="s">
        <v>2133</v>
      </c>
      <c r="K601" s="912">
        <v>1</v>
      </c>
      <c r="L601" s="912">
        <v>12</v>
      </c>
      <c r="M601" s="938">
        <f t="shared" si="22"/>
        <v>26868</v>
      </c>
      <c r="N601" s="912">
        <v>1</v>
      </c>
      <c r="O601" s="912">
        <v>6</v>
      </c>
      <c r="P601" s="938">
        <f t="shared" ref="P601:P619" si="25">E601*O601</f>
        <v>13434</v>
      </c>
    </row>
    <row r="602" spans="1:16" x14ac:dyDescent="0.2">
      <c r="A602" s="937" t="s">
        <v>2126</v>
      </c>
      <c r="B602" s="912" t="s">
        <v>875</v>
      </c>
      <c r="C602" s="912" t="s">
        <v>80</v>
      </c>
      <c r="D602" s="912" t="s">
        <v>2136</v>
      </c>
      <c r="E602" s="938">
        <v>1300</v>
      </c>
      <c r="F602" s="926" t="s">
        <v>2327</v>
      </c>
      <c r="G602" s="926" t="s">
        <v>2328</v>
      </c>
      <c r="H602" s="926" t="s">
        <v>2248</v>
      </c>
      <c r="I602" s="939" t="s">
        <v>2133</v>
      </c>
      <c r="J602" s="912" t="s">
        <v>2133</v>
      </c>
      <c r="K602" s="912">
        <v>1</v>
      </c>
      <c r="L602" s="912">
        <v>12</v>
      </c>
      <c r="M602" s="938">
        <f t="shared" si="22"/>
        <v>15600</v>
      </c>
      <c r="N602" s="912">
        <v>1</v>
      </c>
      <c r="O602" s="912">
        <v>6</v>
      </c>
      <c r="P602" s="938">
        <f t="shared" si="25"/>
        <v>7800</v>
      </c>
    </row>
    <row r="603" spans="1:16" x14ac:dyDescent="0.2">
      <c r="A603" s="937" t="s">
        <v>2126</v>
      </c>
      <c r="B603" s="912" t="s">
        <v>875</v>
      </c>
      <c r="C603" s="912" t="s">
        <v>80</v>
      </c>
      <c r="D603" s="912" t="s">
        <v>2127</v>
      </c>
      <c r="E603" s="938">
        <v>2239</v>
      </c>
      <c r="F603" s="926" t="s">
        <v>2329</v>
      </c>
      <c r="G603" s="926" t="s">
        <v>2330</v>
      </c>
      <c r="H603" s="926" t="s">
        <v>1594</v>
      </c>
      <c r="I603" s="939" t="s">
        <v>2133</v>
      </c>
      <c r="J603" s="912" t="s">
        <v>2133</v>
      </c>
      <c r="K603" s="912">
        <v>1</v>
      </c>
      <c r="L603" s="912">
        <v>12</v>
      </c>
      <c r="M603" s="938">
        <f t="shared" si="22"/>
        <v>26868</v>
      </c>
      <c r="N603" s="912">
        <v>1</v>
      </c>
      <c r="O603" s="912">
        <v>6</v>
      </c>
      <c r="P603" s="938">
        <f t="shared" si="25"/>
        <v>13434</v>
      </c>
    </row>
    <row r="604" spans="1:16" x14ac:dyDescent="0.2">
      <c r="A604" s="937" t="s">
        <v>2126</v>
      </c>
      <c r="B604" s="912" t="s">
        <v>875</v>
      </c>
      <c r="C604" s="912" t="s">
        <v>80</v>
      </c>
      <c r="D604" s="912" t="s">
        <v>2136</v>
      </c>
      <c r="E604" s="938">
        <v>1300</v>
      </c>
      <c r="F604" s="926" t="s">
        <v>2331</v>
      </c>
      <c r="G604" s="926" t="s">
        <v>2332</v>
      </c>
      <c r="H604" s="926" t="s">
        <v>2248</v>
      </c>
      <c r="I604" s="939" t="s">
        <v>2133</v>
      </c>
      <c r="J604" s="912" t="s">
        <v>2133</v>
      </c>
      <c r="K604" s="912">
        <v>1</v>
      </c>
      <c r="L604" s="912">
        <v>12</v>
      </c>
      <c r="M604" s="938">
        <f t="shared" si="22"/>
        <v>15600</v>
      </c>
      <c r="N604" s="912">
        <v>1</v>
      </c>
      <c r="O604" s="912">
        <v>6</v>
      </c>
      <c r="P604" s="938">
        <f t="shared" si="25"/>
        <v>7800</v>
      </c>
    </row>
    <row r="605" spans="1:16" x14ac:dyDescent="0.2">
      <c r="A605" s="937" t="s">
        <v>2126</v>
      </c>
      <c r="B605" s="912" t="s">
        <v>875</v>
      </c>
      <c r="C605" s="912" t="s">
        <v>80</v>
      </c>
      <c r="D605" s="912" t="s">
        <v>2127</v>
      </c>
      <c r="E605" s="938">
        <v>2239</v>
      </c>
      <c r="F605" s="926" t="s">
        <v>2333</v>
      </c>
      <c r="G605" s="926" t="s">
        <v>2334</v>
      </c>
      <c r="H605" s="926" t="s">
        <v>1594</v>
      </c>
      <c r="I605" s="939" t="s">
        <v>2133</v>
      </c>
      <c r="J605" s="912" t="s">
        <v>2133</v>
      </c>
      <c r="K605" s="912">
        <v>1</v>
      </c>
      <c r="L605" s="912">
        <v>12</v>
      </c>
      <c r="M605" s="938">
        <f t="shared" si="22"/>
        <v>26868</v>
      </c>
      <c r="N605" s="912">
        <v>1</v>
      </c>
      <c r="O605" s="912">
        <v>6</v>
      </c>
      <c r="P605" s="938">
        <f t="shared" si="25"/>
        <v>13434</v>
      </c>
    </row>
    <row r="606" spans="1:16" x14ac:dyDescent="0.2">
      <c r="A606" s="937" t="s">
        <v>2126</v>
      </c>
      <c r="B606" s="912" t="s">
        <v>875</v>
      </c>
      <c r="C606" s="912" t="s">
        <v>80</v>
      </c>
      <c r="D606" s="912" t="s">
        <v>2127</v>
      </c>
      <c r="E606" s="938">
        <v>4568</v>
      </c>
      <c r="F606" s="926" t="s">
        <v>2335</v>
      </c>
      <c r="G606" s="926" t="s">
        <v>2336</v>
      </c>
      <c r="H606" s="926" t="s">
        <v>1175</v>
      </c>
      <c r="I606" s="939" t="s">
        <v>2133</v>
      </c>
      <c r="J606" s="912" t="s">
        <v>2133</v>
      </c>
      <c r="K606" s="912">
        <v>1</v>
      </c>
      <c r="L606" s="912">
        <v>12</v>
      </c>
      <c r="M606" s="938">
        <f t="shared" si="22"/>
        <v>54816</v>
      </c>
      <c r="N606" s="912">
        <v>1</v>
      </c>
      <c r="O606" s="912">
        <v>6</v>
      </c>
      <c r="P606" s="938">
        <f t="shared" si="25"/>
        <v>27408</v>
      </c>
    </row>
    <row r="607" spans="1:16" x14ac:dyDescent="0.2">
      <c r="A607" s="937" t="s">
        <v>2126</v>
      </c>
      <c r="B607" s="912" t="s">
        <v>875</v>
      </c>
      <c r="C607" s="912" t="s">
        <v>80</v>
      </c>
      <c r="D607" s="912" t="s">
        <v>2127</v>
      </c>
      <c r="E607" s="938">
        <v>2000</v>
      </c>
      <c r="F607" s="926" t="s">
        <v>2337</v>
      </c>
      <c r="G607" s="926" t="s">
        <v>2338</v>
      </c>
      <c r="H607" s="926" t="s">
        <v>1594</v>
      </c>
      <c r="I607" s="939" t="s">
        <v>2133</v>
      </c>
      <c r="J607" s="912" t="s">
        <v>2133</v>
      </c>
      <c r="K607" s="912">
        <v>1</v>
      </c>
      <c r="L607" s="912">
        <v>12</v>
      </c>
      <c r="M607" s="938">
        <f t="shared" si="22"/>
        <v>24000</v>
      </c>
      <c r="N607" s="912">
        <v>1</v>
      </c>
      <c r="O607" s="912">
        <v>6</v>
      </c>
      <c r="P607" s="938">
        <f t="shared" si="25"/>
        <v>12000</v>
      </c>
    </row>
    <row r="608" spans="1:16" x14ac:dyDescent="0.2">
      <c r="A608" s="937" t="s">
        <v>2126</v>
      </c>
      <c r="B608" s="912" t="s">
        <v>875</v>
      </c>
      <c r="C608" s="912" t="s">
        <v>80</v>
      </c>
      <c r="D608" s="912" t="s">
        <v>2127</v>
      </c>
      <c r="E608" s="938">
        <v>2239</v>
      </c>
      <c r="F608" s="926" t="s">
        <v>2339</v>
      </c>
      <c r="G608" s="926" t="s">
        <v>2340</v>
      </c>
      <c r="H608" s="926" t="s">
        <v>1594</v>
      </c>
      <c r="I608" s="939" t="s">
        <v>2133</v>
      </c>
      <c r="J608" s="912" t="s">
        <v>2133</v>
      </c>
      <c r="K608" s="912">
        <v>1</v>
      </c>
      <c r="L608" s="912">
        <v>12</v>
      </c>
      <c r="M608" s="938">
        <f t="shared" si="22"/>
        <v>26868</v>
      </c>
      <c r="N608" s="912">
        <v>1</v>
      </c>
      <c r="O608" s="912">
        <v>6</v>
      </c>
      <c r="P608" s="938">
        <f t="shared" si="25"/>
        <v>13434</v>
      </c>
    </row>
    <row r="609" spans="1:16" x14ac:dyDescent="0.2">
      <c r="A609" s="937" t="s">
        <v>2126</v>
      </c>
      <c r="B609" s="912" t="s">
        <v>875</v>
      </c>
      <c r="C609" s="912" t="s">
        <v>80</v>
      </c>
      <c r="D609" s="912" t="s">
        <v>2127</v>
      </c>
      <c r="E609" s="938">
        <v>1500</v>
      </c>
      <c r="F609" s="926" t="s">
        <v>2341</v>
      </c>
      <c r="G609" s="926" t="s">
        <v>2342</v>
      </c>
      <c r="H609" s="926" t="s">
        <v>1594</v>
      </c>
      <c r="I609" s="939" t="s">
        <v>2133</v>
      </c>
      <c r="J609" s="912" t="s">
        <v>2133</v>
      </c>
      <c r="K609" s="912">
        <v>1</v>
      </c>
      <c r="L609" s="912">
        <v>12</v>
      </c>
      <c r="M609" s="938">
        <f t="shared" si="22"/>
        <v>18000</v>
      </c>
      <c r="N609" s="912">
        <v>1</v>
      </c>
      <c r="O609" s="912">
        <v>6</v>
      </c>
      <c r="P609" s="938">
        <f t="shared" si="25"/>
        <v>9000</v>
      </c>
    </row>
    <row r="610" spans="1:16" x14ac:dyDescent="0.2">
      <c r="A610" s="937" t="s">
        <v>2126</v>
      </c>
      <c r="B610" s="912" t="s">
        <v>875</v>
      </c>
      <c r="C610" s="912" t="s">
        <v>80</v>
      </c>
      <c r="D610" s="912" t="s">
        <v>2127</v>
      </c>
      <c r="E610" s="938">
        <v>1300</v>
      </c>
      <c r="F610" s="926" t="s">
        <v>2343</v>
      </c>
      <c r="G610" s="926" t="s">
        <v>2344</v>
      </c>
      <c r="H610" s="926" t="s">
        <v>2130</v>
      </c>
      <c r="I610" s="939" t="s">
        <v>2133</v>
      </c>
      <c r="J610" s="912" t="s">
        <v>2133</v>
      </c>
      <c r="K610" s="912">
        <v>1</v>
      </c>
      <c r="L610" s="912">
        <v>12</v>
      </c>
      <c r="M610" s="938">
        <f t="shared" si="22"/>
        <v>15600</v>
      </c>
      <c r="N610" s="912">
        <v>1</v>
      </c>
      <c r="O610" s="912">
        <v>6</v>
      </c>
      <c r="P610" s="938">
        <f t="shared" si="25"/>
        <v>7800</v>
      </c>
    </row>
    <row r="611" spans="1:16" x14ac:dyDescent="0.2">
      <c r="A611" s="937" t="s">
        <v>2126</v>
      </c>
      <c r="B611" s="912" t="s">
        <v>875</v>
      </c>
      <c r="C611" s="912" t="s">
        <v>80</v>
      </c>
      <c r="D611" s="912" t="s">
        <v>2127</v>
      </c>
      <c r="E611" s="938">
        <v>1000</v>
      </c>
      <c r="F611" s="926" t="s">
        <v>2345</v>
      </c>
      <c r="G611" s="926" t="s">
        <v>2346</v>
      </c>
      <c r="H611" s="926" t="s">
        <v>2130</v>
      </c>
      <c r="I611" s="939" t="s">
        <v>2133</v>
      </c>
      <c r="J611" s="912" t="s">
        <v>2133</v>
      </c>
      <c r="K611" s="912">
        <v>1</v>
      </c>
      <c r="L611" s="912">
        <v>12</v>
      </c>
      <c r="M611" s="938">
        <f t="shared" si="22"/>
        <v>12000</v>
      </c>
      <c r="N611" s="912">
        <v>1</v>
      </c>
      <c r="O611" s="912">
        <v>6</v>
      </c>
      <c r="P611" s="938">
        <f t="shared" si="25"/>
        <v>6000</v>
      </c>
    </row>
    <row r="612" spans="1:16" x14ac:dyDescent="0.2">
      <c r="A612" s="937" t="s">
        <v>2126</v>
      </c>
      <c r="B612" s="912" t="s">
        <v>875</v>
      </c>
      <c r="C612" s="912" t="s">
        <v>80</v>
      </c>
      <c r="D612" s="912" t="s">
        <v>2127</v>
      </c>
      <c r="E612" s="938">
        <v>2239</v>
      </c>
      <c r="F612" s="926" t="s">
        <v>2347</v>
      </c>
      <c r="G612" s="926" t="s">
        <v>2348</v>
      </c>
      <c r="H612" s="926" t="s">
        <v>1594</v>
      </c>
      <c r="I612" s="939" t="s">
        <v>2133</v>
      </c>
      <c r="J612" s="912" t="s">
        <v>2133</v>
      </c>
      <c r="K612" s="912">
        <v>1</v>
      </c>
      <c r="L612" s="912">
        <v>12</v>
      </c>
      <c r="M612" s="938">
        <f t="shared" si="22"/>
        <v>26868</v>
      </c>
      <c r="N612" s="912">
        <v>1</v>
      </c>
      <c r="O612" s="912">
        <v>6</v>
      </c>
      <c r="P612" s="938">
        <f t="shared" si="25"/>
        <v>13434</v>
      </c>
    </row>
    <row r="613" spans="1:16" x14ac:dyDescent="0.2">
      <c r="A613" s="937" t="s">
        <v>2126</v>
      </c>
      <c r="B613" s="912" t="s">
        <v>875</v>
      </c>
      <c r="C613" s="912" t="s">
        <v>80</v>
      </c>
      <c r="D613" s="912" t="s">
        <v>2127</v>
      </c>
      <c r="E613" s="938">
        <v>1300</v>
      </c>
      <c r="F613" s="926" t="s">
        <v>2349</v>
      </c>
      <c r="G613" s="926" t="s">
        <v>2350</v>
      </c>
      <c r="H613" s="926" t="s">
        <v>1028</v>
      </c>
      <c r="I613" s="939" t="s">
        <v>2133</v>
      </c>
      <c r="J613" s="912" t="s">
        <v>2133</v>
      </c>
      <c r="K613" s="912">
        <v>1</v>
      </c>
      <c r="L613" s="912"/>
      <c r="M613" s="938"/>
      <c r="N613" s="912">
        <v>1</v>
      </c>
      <c r="O613" s="912">
        <v>6</v>
      </c>
      <c r="P613" s="938">
        <f t="shared" si="25"/>
        <v>7800</v>
      </c>
    </row>
    <row r="614" spans="1:16" x14ac:dyDescent="0.2">
      <c r="A614" s="937" t="s">
        <v>2126</v>
      </c>
      <c r="B614" s="912" t="s">
        <v>875</v>
      </c>
      <c r="C614" s="912" t="s">
        <v>80</v>
      </c>
      <c r="D614" s="912" t="s">
        <v>2127</v>
      </c>
      <c r="E614" s="938">
        <v>1724</v>
      </c>
      <c r="F614" s="926" t="s">
        <v>2351</v>
      </c>
      <c r="G614" s="926" t="s">
        <v>2352</v>
      </c>
      <c r="H614" s="926" t="s">
        <v>1678</v>
      </c>
      <c r="I614" s="939" t="s">
        <v>2133</v>
      </c>
      <c r="J614" s="912" t="s">
        <v>2133</v>
      </c>
      <c r="K614" s="912">
        <v>1</v>
      </c>
      <c r="L614" s="912">
        <v>12</v>
      </c>
      <c r="M614" s="938">
        <f t="shared" ref="M614:M619" si="26">E614*12</f>
        <v>20688</v>
      </c>
      <c r="N614" s="912">
        <v>1</v>
      </c>
      <c r="O614" s="912">
        <v>6</v>
      </c>
      <c r="P614" s="938">
        <f t="shared" si="25"/>
        <v>10344</v>
      </c>
    </row>
    <row r="615" spans="1:16" x14ac:dyDescent="0.2">
      <c r="A615" s="937" t="s">
        <v>2126</v>
      </c>
      <c r="B615" s="912" t="s">
        <v>875</v>
      </c>
      <c r="C615" s="912" t="s">
        <v>80</v>
      </c>
      <c r="D615" s="912" t="s">
        <v>2127</v>
      </c>
      <c r="E615" s="938">
        <v>2239</v>
      </c>
      <c r="F615" s="926" t="s">
        <v>2353</v>
      </c>
      <c r="G615" s="926" t="s">
        <v>2354</v>
      </c>
      <c r="H615" s="926" t="s">
        <v>1646</v>
      </c>
      <c r="I615" s="939" t="s">
        <v>2133</v>
      </c>
      <c r="J615" s="912" t="s">
        <v>2133</v>
      </c>
      <c r="K615" s="912">
        <v>1</v>
      </c>
      <c r="L615" s="912">
        <v>12</v>
      </c>
      <c r="M615" s="938">
        <f t="shared" si="26"/>
        <v>26868</v>
      </c>
      <c r="N615" s="912">
        <v>1</v>
      </c>
      <c r="O615" s="912">
        <v>6</v>
      </c>
      <c r="P615" s="938">
        <f t="shared" si="25"/>
        <v>13434</v>
      </c>
    </row>
    <row r="616" spans="1:16" x14ac:dyDescent="0.2">
      <c r="A616" s="937" t="s">
        <v>2126</v>
      </c>
      <c r="B616" s="912" t="s">
        <v>875</v>
      </c>
      <c r="C616" s="912" t="s">
        <v>80</v>
      </c>
      <c r="D616" s="912" t="s">
        <v>2136</v>
      </c>
      <c r="E616" s="938">
        <v>1000</v>
      </c>
      <c r="F616" s="926" t="s">
        <v>2355</v>
      </c>
      <c r="G616" s="926" t="s">
        <v>2356</v>
      </c>
      <c r="H616" s="926" t="s">
        <v>982</v>
      </c>
      <c r="I616" s="939" t="s">
        <v>2357</v>
      </c>
      <c r="J616" s="912" t="s">
        <v>2357</v>
      </c>
      <c r="K616" s="912">
        <v>1</v>
      </c>
      <c r="L616" s="912">
        <v>12</v>
      </c>
      <c r="M616" s="938">
        <f t="shared" si="26"/>
        <v>12000</v>
      </c>
      <c r="N616" s="912">
        <v>1</v>
      </c>
      <c r="O616" s="912">
        <v>6</v>
      </c>
      <c r="P616" s="938">
        <f t="shared" si="25"/>
        <v>6000</v>
      </c>
    </row>
    <row r="617" spans="1:16" x14ac:dyDescent="0.2">
      <c r="A617" s="937" t="s">
        <v>2126</v>
      </c>
      <c r="B617" s="912" t="s">
        <v>875</v>
      </c>
      <c r="C617" s="912" t="s">
        <v>80</v>
      </c>
      <c r="D617" s="912" t="s">
        <v>2127</v>
      </c>
      <c r="E617" s="938">
        <v>1724</v>
      </c>
      <c r="F617" s="926" t="s">
        <v>2358</v>
      </c>
      <c r="G617" s="926" t="s">
        <v>2359</v>
      </c>
      <c r="H617" s="926" t="s">
        <v>1028</v>
      </c>
      <c r="I617" s="939" t="s">
        <v>2133</v>
      </c>
      <c r="J617" s="912" t="s">
        <v>2133</v>
      </c>
      <c r="K617" s="912">
        <v>1</v>
      </c>
      <c r="L617" s="912">
        <v>12</v>
      </c>
      <c r="M617" s="938">
        <f t="shared" si="26"/>
        <v>20688</v>
      </c>
      <c r="N617" s="912">
        <v>1</v>
      </c>
      <c r="O617" s="912">
        <v>6</v>
      </c>
      <c r="P617" s="938">
        <f t="shared" si="25"/>
        <v>10344</v>
      </c>
    </row>
    <row r="618" spans="1:16" x14ac:dyDescent="0.2">
      <c r="A618" s="937" t="s">
        <v>2126</v>
      </c>
      <c r="B618" s="912" t="s">
        <v>875</v>
      </c>
      <c r="C618" s="912" t="s">
        <v>80</v>
      </c>
      <c r="D618" s="912" t="s">
        <v>2127</v>
      </c>
      <c r="E618" s="938">
        <v>2239</v>
      </c>
      <c r="F618" s="926" t="s">
        <v>2360</v>
      </c>
      <c r="G618" s="926" t="s">
        <v>2361</v>
      </c>
      <c r="H618" s="926" t="s">
        <v>1646</v>
      </c>
      <c r="I618" s="939" t="s">
        <v>2133</v>
      </c>
      <c r="J618" s="912" t="s">
        <v>2133</v>
      </c>
      <c r="K618" s="912">
        <v>1</v>
      </c>
      <c r="L618" s="912">
        <v>12</v>
      </c>
      <c r="M618" s="938">
        <f t="shared" si="26"/>
        <v>26868</v>
      </c>
      <c r="N618" s="912">
        <v>1</v>
      </c>
      <c r="O618" s="912">
        <v>6</v>
      </c>
      <c r="P618" s="938">
        <f t="shared" si="25"/>
        <v>13434</v>
      </c>
    </row>
    <row r="619" spans="1:16" x14ac:dyDescent="0.2">
      <c r="A619" s="937" t="s">
        <v>2126</v>
      </c>
      <c r="B619" s="912" t="s">
        <v>875</v>
      </c>
      <c r="C619" s="912" t="s">
        <v>80</v>
      </c>
      <c r="D619" s="912" t="s">
        <v>2127</v>
      </c>
      <c r="E619" s="938">
        <v>1724</v>
      </c>
      <c r="F619" s="926" t="s">
        <v>2362</v>
      </c>
      <c r="G619" s="926" t="s">
        <v>2363</v>
      </c>
      <c r="H619" s="926" t="s">
        <v>1666</v>
      </c>
      <c r="I619" s="939" t="s">
        <v>2133</v>
      </c>
      <c r="J619" s="912" t="s">
        <v>2133</v>
      </c>
      <c r="K619" s="912">
        <v>1</v>
      </c>
      <c r="L619" s="912">
        <v>12</v>
      </c>
      <c r="M619" s="938">
        <f t="shared" si="26"/>
        <v>20688</v>
      </c>
      <c r="N619" s="912">
        <v>1</v>
      </c>
      <c r="O619" s="912">
        <v>6</v>
      </c>
      <c r="P619" s="938">
        <f t="shared" si="25"/>
        <v>10344</v>
      </c>
    </row>
    <row r="620" spans="1:16" x14ac:dyDescent="0.2">
      <c r="A620" s="937" t="s">
        <v>2126</v>
      </c>
      <c r="B620" s="912" t="s">
        <v>875</v>
      </c>
      <c r="C620" s="912" t="s">
        <v>80</v>
      </c>
      <c r="D620" s="912" t="s">
        <v>2136</v>
      </c>
      <c r="E620" s="938">
        <v>11000</v>
      </c>
      <c r="F620" s="926" t="s">
        <v>2364</v>
      </c>
      <c r="G620" s="926" t="s">
        <v>2365</v>
      </c>
      <c r="H620" s="926" t="s">
        <v>2366</v>
      </c>
      <c r="I620" s="939" t="s">
        <v>2133</v>
      </c>
      <c r="J620" s="912" t="s">
        <v>2133</v>
      </c>
      <c r="K620" s="912">
        <v>1</v>
      </c>
      <c r="L620" s="912">
        <v>7</v>
      </c>
      <c r="M620" s="938">
        <f t="shared" ref="M620:M641" si="27">L620*E620</f>
        <v>77000</v>
      </c>
      <c r="N620" s="912">
        <v>1</v>
      </c>
      <c r="O620" s="912">
        <v>3</v>
      </c>
      <c r="P620" s="938">
        <f>E620*O620</f>
        <v>33000</v>
      </c>
    </row>
    <row r="621" spans="1:16" x14ac:dyDescent="0.2">
      <c r="A621" s="937" t="s">
        <v>2126</v>
      </c>
      <c r="B621" s="912" t="s">
        <v>875</v>
      </c>
      <c r="C621" s="912" t="s">
        <v>80</v>
      </c>
      <c r="D621" s="912" t="s">
        <v>2136</v>
      </c>
      <c r="E621" s="938">
        <v>2041</v>
      </c>
      <c r="F621" s="926" t="s">
        <v>2367</v>
      </c>
      <c r="G621" s="926" t="s">
        <v>2368</v>
      </c>
      <c r="H621" s="926" t="s">
        <v>1770</v>
      </c>
      <c r="I621" s="939" t="s">
        <v>1412</v>
      </c>
      <c r="J621" s="939" t="s">
        <v>1412</v>
      </c>
      <c r="K621" s="912">
        <v>1</v>
      </c>
      <c r="L621" s="912">
        <v>7</v>
      </c>
      <c r="M621" s="938">
        <f t="shared" si="27"/>
        <v>14287</v>
      </c>
      <c r="N621" s="912">
        <v>1</v>
      </c>
      <c r="O621" s="912">
        <v>6</v>
      </c>
      <c r="P621" s="938">
        <f t="shared" ref="P621:P684" si="28">E621*O621</f>
        <v>12246</v>
      </c>
    </row>
    <row r="622" spans="1:16" x14ac:dyDescent="0.2">
      <c r="A622" s="937" t="s">
        <v>2126</v>
      </c>
      <c r="B622" s="912" t="s">
        <v>875</v>
      </c>
      <c r="C622" s="912" t="s">
        <v>80</v>
      </c>
      <c r="D622" s="912" t="s">
        <v>2136</v>
      </c>
      <c r="E622" s="938">
        <v>1300</v>
      </c>
      <c r="F622" s="926" t="s">
        <v>2369</v>
      </c>
      <c r="G622" s="926" t="s">
        <v>2370</v>
      </c>
      <c r="H622" s="926" t="s">
        <v>2130</v>
      </c>
      <c r="I622" s="939" t="s">
        <v>1412</v>
      </c>
      <c r="J622" s="939" t="s">
        <v>1412</v>
      </c>
      <c r="K622" s="912">
        <v>1</v>
      </c>
      <c r="L622" s="912">
        <v>7</v>
      </c>
      <c r="M622" s="938">
        <f t="shared" si="27"/>
        <v>9100</v>
      </c>
      <c r="N622" s="912">
        <v>1</v>
      </c>
      <c r="O622" s="912">
        <v>6</v>
      </c>
      <c r="P622" s="938">
        <f t="shared" si="28"/>
        <v>7800</v>
      </c>
    </row>
    <row r="623" spans="1:16" x14ac:dyDescent="0.2">
      <c r="A623" s="937" t="s">
        <v>2126</v>
      </c>
      <c r="B623" s="912" t="s">
        <v>875</v>
      </c>
      <c r="C623" s="912" t="s">
        <v>80</v>
      </c>
      <c r="D623" s="912" t="s">
        <v>2136</v>
      </c>
      <c r="E623" s="938">
        <v>1300</v>
      </c>
      <c r="F623" s="926" t="s">
        <v>2371</v>
      </c>
      <c r="G623" s="926" t="s">
        <v>2372</v>
      </c>
      <c r="H623" s="926" t="s">
        <v>982</v>
      </c>
      <c r="I623" s="939" t="s">
        <v>1412</v>
      </c>
      <c r="J623" s="939" t="s">
        <v>1412</v>
      </c>
      <c r="K623" s="912">
        <v>1</v>
      </c>
      <c r="L623" s="912">
        <v>7</v>
      </c>
      <c r="M623" s="938">
        <f t="shared" si="27"/>
        <v>9100</v>
      </c>
      <c r="N623" s="912">
        <v>1</v>
      </c>
      <c r="O623" s="912">
        <v>6</v>
      </c>
      <c r="P623" s="938">
        <f t="shared" si="28"/>
        <v>7800</v>
      </c>
    </row>
    <row r="624" spans="1:16" x14ac:dyDescent="0.2">
      <c r="A624" s="937" t="s">
        <v>2126</v>
      </c>
      <c r="B624" s="912" t="s">
        <v>875</v>
      </c>
      <c r="C624" s="912" t="s">
        <v>80</v>
      </c>
      <c r="D624" s="912" t="s">
        <v>2127</v>
      </c>
      <c r="E624" s="938">
        <v>5532</v>
      </c>
      <c r="F624" s="926" t="s">
        <v>2373</v>
      </c>
      <c r="G624" s="926" t="s">
        <v>2374</v>
      </c>
      <c r="H624" s="926" t="s">
        <v>1175</v>
      </c>
      <c r="I624" s="939" t="s">
        <v>2133</v>
      </c>
      <c r="J624" s="939" t="s">
        <v>2133</v>
      </c>
      <c r="K624" s="912"/>
      <c r="L624" s="912"/>
      <c r="M624" s="938"/>
      <c r="N624" s="912">
        <v>1</v>
      </c>
      <c r="O624" s="912">
        <v>6</v>
      </c>
      <c r="P624" s="938">
        <f t="shared" si="28"/>
        <v>33192</v>
      </c>
    </row>
    <row r="625" spans="1:16" x14ac:dyDescent="0.2">
      <c r="A625" s="937" t="s">
        <v>2126</v>
      </c>
      <c r="B625" s="912" t="s">
        <v>875</v>
      </c>
      <c r="C625" s="912" t="s">
        <v>80</v>
      </c>
      <c r="D625" s="912" t="s">
        <v>2127</v>
      </c>
      <c r="E625" s="938">
        <v>5532</v>
      </c>
      <c r="F625" s="926" t="s">
        <v>2375</v>
      </c>
      <c r="G625" s="926" t="s">
        <v>2376</v>
      </c>
      <c r="H625" s="926" t="s">
        <v>1175</v>
      </c>
      <c r="I625" s="939" t="s">
        <v>2133</v>
      </c>
      <c r="J625" s="939" t="s">
        <v>2133</v>
      </c>
      <c r="K625" s="912"/>
      <c r="L625" s="912"/>
      <c r="M625" s="938"/>
      <c r="N625" s="912">
        <v>1</v>
      </c>
      <c r="O625" s="912">
        <v>6</v>
      </c>
      <c r="P625" s="938">
        <f t="shared" si="28"/>
        <v>33192</v>
      </c>
    </row>
    <row r="626" spans="1:16" x14ac:dyDescent="0.2">
      <c r="A626" s="937" t="s">
        <v>2126</v>
      </c>
      <c r="B626" s="912" t="s">
        <v>875</v>
      </c>
      <c r="C626" s="912" t="s">
        <v>80</v>
      </c>
      <c r="D626" s="912" t="s">
        <v>2136</v>
      </c>
      <c r="E626" s="938">
        <v>1300</v>
      </c>
      <c r="F626" s="926" t="s">
        <v>2377</v>
      </c>
      <c r="G626" s="926" t="s">
        <v>2378</v>
      </c>
      <c r="H626" s="926" t="s">
        <v>982</v>
      </c>
      <c r="I626" s="939" t="s">
        <v>1412</v>
      </c>
      <c r="J626" s="939" t="s">
        <v>1412</v>
      </c>
      <c r="K626" s="912">
        <v>1</v>
      </c>
      <c r="L626" s="912">
        <v>7</v>
      </c>
      <c r="M626" s="938">
        <f t="shared" si="27"/>
        <v>9100</v>
      </c>
      <c r="N626" s="912">
        <v>1</v>
      </c>
      <c r="O626" s="912">
        <v>6</v>
      </c>
      <c r="P626" s="938">
        <f t="shared" si="28"/>
        <v>7800</v>
      </c>
    </row>
    <row r="627" spans="1:16" x14ac:dyDescent="0.2">
      <c r="A627" s="937" t="s">
        <v>2126</v>
      </c>
      <c r="B627" s="912" t="s">
        <v>875</v>
      </c>
      <c r="C627" s="912" t="s">
        <v>80</v>
      </c>
      <c r="D627" s="912" t="s">
        <v>2136</v>
      </c>
      <c r="E627" s="938">
        <v>3000</v>
      </c>
      <c r="F627" s="926" t="s">
        <v>2379</v>
      </c>
      <c r="G627" s="926" t="s">
        <v>2380</v>
      </c>
      <c r="H627" s="926" t="s">
        <v>2381</v>
      </c>
      <c r="I627" s="939" t="s">
        <v>2133</v>
      </c>
      <c r="J627" s="912" t="s">
        <v>2133</v>
      </c>
      <c r="K627" s="912">
        <v>1</v>
      </c>
      <c r="L627" s="912">
        <v>12</v>
      </c>
      <c r="M627" s="938">
        <f t="shared" si="27"/>
        <v>36000</v>
      </c>
      <c r="N627" s="912">
        <v>1</v>
      </c>
      <c r="O627" s="912">
        <v>6</v>
      </c>
      <c r="P627" s="938">
        <f t="shared" si="28"/>
        <v>18000</v>
      </c>
    </row>
    <row r="628" spans="1:16" x14ac:dyDescent="0.2">
      <c r="A628" s="937" t="s">
        <v>2126</v>
      </c>
      <c r="B628" s="912" t="s">
        <v>875</v>
      </c>
      <c r="C628" s="912" t="s">
        <v>80</v>
      </c>
      <c r="D628" s="912" t="s">
        <v>2136</v>
      </c>
      <c r="E628" s="938">
        <v>1300</v>
      </c>
      <c r="F628" s="926" t="s">
        <v>2382</v>
      </c>
      <c r="G628" s="926" t="s">
        <v>2383</v>
      </c>
      <c r="H628" s="926" t="s">
        <v>982</v>
      </c>
      <c r="I628" s="939" t="s">
        <v>1412</v>
      </c>
      <c r="J628" s="939" t="s">
        <v>1412</v>
      </c>
      <c r="K628" s="912">
        <v>1</v>
      </c>
      <c r="L628" s="912">
        <v>7</v>
      </c>
      <c r="M628" s="938">
        <f t="shared" si="27"/>
        <v>9100</v>
      </c>
      <c r="N628" s="912">
        <v>1</v>
      </c>
      <c r="O628" s="912">
        <v>6</v>
      </c>
      <c r="P628" s="938">
        <f t="shared" si="28"/>
        <v>7800</v>
      </c>
    </row>
    <row r="629" spans="1:16" x14ac:dyDescent="0.2">
      <c r="A629" s="937" t="s">
        <v>2126</v>
      </c>
      <c r="B629" s="912" t="s">
        <v>875</v>
      </c>
      <c r="C629" s="912" t="s">
        <v>80</v>
      </c>
      <c r="D629" s="912" t="s">
        <v>2127</v>
      </c>
      <c r="E629" s="938">
        <v>3344</v>
      </c>
      <c r="F629" s="926" t="s">
        <v>2384</v>
      </c>
      <c r="G629" s="926" t="s">
        <v>2385</v>
      </c>
      <c r="H629" s="926" t="s">
        <v>1594</v>
      </c>
      <c r="I629" s="939" t="s">
        <v>2133</v>
      </c>
      <c r="J629" s="939" t="s">
        <v>2133</v>
      </c>
      <c r="K629" s="912"/>
      <c r="L629" s="912"/>
      <c r="M629" s="938"/>
      <c r="N629" s="912">
        <v>1</v>
      </c>
      <c r="O629" s="912">
        <v>6</v>
      </c>
      <c r="P629" s="938">
        <f t="shared" si="28"/>
        <v>20064</v>
      </c>
    </row>
    <row r="630" spans="1:16" x14ac:dyDescent="0.2">
      <c r="A630" s="937" t="s">
        <v>2126</v>
      </c>
      <c r="B630" s="912" t="s">
        <v>875</v>
      </c>
      <c r="C630" s="912" t="s">
        <v>80</v>
      </c>
      <c r="D630" s="912" t="s">
        <v>2127</v>
      </c>
      <c r="E630" s="938">
        <v>5532</v>
      </c>
      <c r="F630" s="926" t="s">
        <v>2386</v>
      </c>
      <c r="G630" s="926" t="s">
        <v>2387</v>
      </c>
      <c r="H630" s="926" t="s">
        <v>1175</v>
      </c>
      <c r="I630" s="939" t="s">
        <v>2133</v>
      </c>
      <c r="J630" s="939" t="s">
        <v>2133</v>
      </c>
      <c r="K630" s="912"/>
      <c r="L630" s="912"/>
      <c r="M630" s="938"/>
      <c r="N630" s="912">
        <v>1</v>
      </c>
      <c r="O630" s="912">
        <v>6</v>
      </c>
      <c r="P630" s="938">
        <f t="shared" si="28"/>
        <v>33192</v>
      </c>
    </row>
    <row r="631" spans="1:16" x14ac:dyDescent="0.2">
      <c r="A631" s="937" t="s">
        <v>2126</v>
      </c>
      <c r="B631" s="912" t="s">
        <v>875</v>
      </c>
      <c r="C631" s="912" t="s">
        <v>80</v>
      </c>
      <c r="D631" s="912" t="s">
        <v>2136</v>
      </c>
      <c r="E631" s="938">
        <v>2041</v>
      </c>
      <c r="F631" s="926" t="s">
        <v>2388</v>
      </c>
      <c r="G631" s="926" t="s">
        <v>2389</v>
      </c>
      <c r="H631" s="926" t="s">
        <v>1878</v>
      </c>
      <c r="I631" s="939" t="s">
        <v>1412</v>
      </c>
      <c r="J631" s="939" t="s">
        <v>1412</v>
      </c>
      <c r="K631" s="912">
        <v>1</v>
      </c>
      <c r="L631" s="912">
        <v>7</v>
      </c>
      <c r="M631" s="938">
        <f t="shared" si="27"/>
        <v>14287</v>
      </c>
      <c r="N631" s="912">
        <v>1</v>
      </c>
      <c r="O631" s="912">
        <v>1</v>
      </c>
      <c r="P631" s="938">
        <f t="shared" si="28"/>
        <v>2041</v>
      </c>
    </row>
    <row r="632" spans="1:16" x14ac:dyDescent="0.2">
      <c r="A632" s="937" t="s">
        <v>2126</v>
      </c>
      <c r="B632" s="912" t="s">
        <v>875</v>
      </c>
      <c r="C632" s="912" t="s">
        <v>80</v>
      </c>
      <c r="D632" s="912" t="s">
        <v>2136</v>
      </c>
      <c r="E632" s="938">
        <v>1300</v>
      </c>
      <c r="F632" s="926" t="s">
        <v>2390</v>
      </c>
      <c r="G632" s="926" t="s">
        <v>2391</v>
      </c>
      <c r="H632" s="926" t="s">
        <v>982</v>
      </c>
      <c r="I632" s="939" t="s">
        <v>1412</v>
      </c>
      <c r="J632" s="939" t="s">
        <v>1412</v>
      </c>
      <c r="K632" s="912">
        <v>1</v>
      </c>
      <c r="L632" s="912">
        <v>7</v>
      </c>
      <c r="M632" s="938">
        <f t="shared" si="27"/>
        <v>9100</v>
      </c>
      <c r="N632" s="912">
        <v>1</v>
      </c>
      <c r="O632" s="912">
        <v>6</v>
      </c>
      <c r="P632" s="938">
        <f t="shared" si="28"/>
        <v>7800</v>
      </c>
    </row>
    <row r="633" spans="1:16" x14ac:dyDescent="0.2">
      <c r="A633" s="937" t="s">
        <v>2126</v>
      </c>
      <c r="B633" s="912" t="s">
        <v>875</v>
      </c>
      <c r="C633" s="912" t="s">
        <v>80</v>
      </c>
      <c r="D633" s="912" t="s">
        <v>2136</v>
      </c>
      <c r="E633" s="938">
        <v>2041</v>
      </c>
      <c r="F633" s="926" t="s">
        <v>2392</v>
      </c>
      <c r="G633" s="926" t="s">
        <v>2393</v>
      </c>
      <c r="H633" s="926" t="s">
        <v>1878</v>
      </c>
      <c r="I633" s="939" t="s">
        <v>1412</v>
      </c>
      <c r="J633" s="939" t="s">
        <v>1412</v>
      </c>
      <c r="K633" s="912">
        <v>1</v>
      </c>
      <c r="L633" s="912">
        <v>6</v>
      </c>
      <c r="M633" s="938">
        <f t="shared" si="27"/>
        <v>12246</v>
      </c>
      <c r="N633" s="912">
        <v>1</v>
      </c>
      <c r="O633" s="912">
        <v>1</v>
      </c>
      <c r="P633" s="938">
        <f t="shared" si="28"/>
        <v>2041</v>
      </c>
    </row>
    <row r="634" spans="1:16" x14ac:dyDescent="0.2">
      <c r="A634" s="937" t="s">
        <v>2126</v>
      </c>
      <c r="B634" s="912" t="s">
        <v>875</v>
      </c>
      <c r="C634" s="912" t="s">
        <v>80</v>
      </c>
      <c r="D634" s="912" t="s">
        <v>2136</v>
      </c>
      <c r="E634" s="938">
        <v>1300</v>
      </c>
      <c r="F634" s="926" t="s">
        <v>2394</v>
      </c>
      <c r="G634" s="926" t="s">
        <v>2395</v>
      </c>
      <c r="H634" s="926" t="s">
        <v>958</v>
      </c>
      <c r="I634" s="939" t="s">
        <v>1412</v>
      </c>
      <c r="J634" s="939" t="s">
        <v>1412</v>
      </c>
      <c r="K634" s="912">
        <v>1</v>
      </c>
      <c r="L634" s="912">
        <v>7</v>
      </c>
      <c r="M634" s="938">
        <f t="shared" si="27"/>
        <v>9100</v>
      </c>
      <c r="N634" s="912">
        <v>1</v>
      </c>
      <c r="O634" s="912">
        <v>6</v>
      </c>
      <c r="P634" s="938">
        <f t="shared" si="28"/>
        <v>7800</v>
      </c>
    </row>
    <row r="635" spans="1:16" x14ac:dyDescent="0.2">
      <c r="A635" s="937" t="s">
        <v>2126</v>
      </c>
      <c r="B635" s="912" t="s">
        <v>875</v>
      </c>
      <c r="C635" s="912" t="s">
        <v>80</v>
      </c>
      <c r="D635" s="912" t="s">
        <v>2136</v>
      </c>
      <c r="E635" s="938">
        <v>1300</v>
      </c>
      <c r="F635" s="926" t="s">
        <v>2396</v>
      </c>
      <c r="G635" s="926" t="s">
        <v>2397</v>
      </c>
      <c r="H635" s="926" t="s">
        <v>982</v>
      </c>
      <c r="I635" s="939" t="s">
        <v>1412</v>
      </c>
      <c r="J635" s="939" t="s">
        <v>1412</v>
      </c>
      <c r="K635" s="912">
        <v>1</v>
      </c>
      <c r="L635" s="912">
        <v>7</v>
      </c>
      <c r="M635" s="938">
        <f t="shared" si="27"/>
        <v>9100</v>
      </c>
      <c r="N635" s="912">
        <v>1</v>
      </c>
      <c r="O635" s="912">
        <v>6</v>
      </c>
      <c r="P635" s="938">
        <f t="shared" si="28"/>
        <v>7800</v>
      </c>
    </row>
    <row r="636" spans="1:16" x14ac:dyDescent="0.2">
      <c r="A636" s="937" t="s">
        <v>2126</v>
      </c>
      <c r="B636" s="912" t="s">
        <v>875</v>
      </c>
      <c r="C636" s="912" t="s">
        <v>80</v>
      </c>
      <c r="D636" s="912" t="s">
        <v>2136</v>
      </c>
      <c r="E636" s="938">
        <v>1300</v>
      </c>
      <c r="F636" s="926" t="s">
        <v>2398</v>
      </c>
      <c r="G636" s="926" t="s">
        <v>2399</v>
      </c>
      <c r="H636" s="926" t="s">
        <v>1770</v>
      </c>
      <c r="I636" s="939" t="s">
        <v>1412</v>
      </c>
      <c r="J636" s="939" t="s">
        <v>1412</v>
      </c>
      <c r="K636" s="912">
        <v>1</v>
      </c>
      <c r="L636" s="912">
        <v>12</v>
      </c>
      <c r="M636" s="938">
        <f t="shared" si="27"/>
        <v>15600</v>
      </c>
      <c r="N636" s="912">
        <v>1</v>
      </c>
      <c r="O636" s="912">
        <v>6</v>
      </c>
      <c r="P636" s="938">
        <f t="shared" si="28"/>
        <v>7800</v>
      </c>
    </row>
    <row r="637" spans="1:16" x14ac:dyDescent="0.2">
      <c r="A637" s="937" t="s">
        <v>2126</v>
      </c>
      <c r="B637" s="912" t="s">
        <v>875</v>
      </c>
      <c r="C637" s="912" t="s">
        <v>80</v>
      </c>
      <c r="D637" s="912" t="s">
        <v>2136</v>
      </c>
      <c r="E637" s="938">
        <v>1300</v>
      </c>
      <c r="F637" s="926" t="s">
        <v>2400</v>
      </c>
      <c r="G637" s="926" t="s">
        <v>2401</v>
      </c>
      <c r="H637" s="926" t="s">
        <v>1770</v>
      </c>
      <c r="I637" s="939" t="s">
        <v>1412</v>
      </c>
      <c r="J637" s="939" t="s">
        <v>1412</v>
      </c>
      <c r="K637" s="912">
        <v>1</v>
      </c>
      <c r="L637" s="912">
        <v>12</v>
      </c>
      <c r="M637" s="938">
        <f t="shared" si="27"/>
        <v>15600</v>
      </c>
      <c r="N637" s="912">
        <v>1</v>
      </c>
      <c r="O637" s="912">
        <v>6</v>
      </c>
      <c r="P637" s="938">
        <f t="shared" si="28"/>
        <v>7800</v>
      </c>
    </row>
    <row r="638" spans="1:16" x14ac:dyDescent="0.2">
      <c r="A638" s="937" t="s">
        <v>2126</v>
      </c>
      <c r="B638" s="912" t="s">
        <v>875</v>
      </c>
      <c r="C638" s="912" t="s">
        <v>80</v>
      </c>
      <c r="D638" s="912" t="s">
        <v>2136</v>
      </c>
      <c r="E638" s="938">
        <v>2239</v>
      </c>
      <c r="F638" s="926" t="s">
        <v>2402</v>
      </c>
      <c r="G638" s="926" t="s">
        <v>2403</v>
      </c>
      <c r="H638" s="926" t="s">
        <v>1878</v>
      </c>
      <c r="I638" s="939" t="s">
        <v>1412</v>
      </c>
      <c r="J638" s="939" t="s">
        <v>1412</v>
      </c>
      <c r="K638" s="912">
        <v>1</v>
      </c>
      <c r="L638" s="912">
        <v>12</v>
      </c>
      <c r="M638" s="938">
        <f t="shared" si="27"/>
        <v>26868</v>
      </c>
      <c r="N638" s="912">
        <v>1</v>
      </c>
      <c r="O638" s="912">
        <v>1</v>
      </c>
      <c r="P638" s="938">
        <f t="shared" si="28"/>
        <v>2239</v>
      </c>
    </row>
    <row r="639" spans="1:16" x14ac:dyDescent="0.2">
      <c r="A639" s="937" t="s">
        <v>2126</v>
      </c>
      <c r="B639" s="912" t="s">
        <v>875</v>
      </c>
      <c r="C639" s="912" t="s">
        <v>80</v>
      </c>
      <c r="D639" s="912" t="s">
        <v>2136</v>
      </c>
      <c r="E639" s="938">
        <v>1300</v>
      </c>
      <c r="F639" s="926" t="s">
        <v>2404</v>
      </c>
      <c r="G639" s="926" t="s">
        <v>2405</v>
      </c>
      <c r="H639" s="926" t="s">
        <v>1878</v>
      </c>
      <c r="I639" s="939" t="s">
        <v>1412</v>
      </c>
      <c r="J639" s="939" t="s">
        <v>1412</v>
      </c>
      <c r="K639" s="912">
        <v>1</v>
      </c>
      <c r="L639" s="912">
        <v>12</v>
      </c>
      <c r="M639" s="938">
        <f t="shared" si="27"/>
        <v>15600</v>
      </c>
      <c r="N639" s="912">
        <v>1</v>
      </c>
      <c r="O639" s="912">
        <v>1</v>
      </c>
      <c r="P639" s="938">
        <f t="shared" si="28"/>
        <v>1300</v>
      </c>
    </row>
    <row r="640" spans="1:16" x14ac:dyDescent="0.2">
      <c r="A640" s="937" t="s">
        <v>2126</v>
      </c>
      <c r="B640" s="912" t="s">
        <v>875</v>
      </c>
      <c r="C640" s="912" t="s">
        <v>80</v>
      </c>
      <c r="D640" s="912" t="s">
        <v>2127</v>
      </c>
      <c r="E640" s="938">
        <v>4568</v>
      </c>
      <c r="F640" s="926"/>
      <c r="G640" s="926" t="s">
        <v>2406</v>
      </c>
      <c r="H640" s="926" t="s">
        <v>1175</v>
      </c>
      <c r="I640" s="939" t="s">
        <v>2133</v>
      </c>
      <c r="J640" s="939" t="s">
        <v>2133</v>
      </c>
      <c r="K640" s="912">
        <v>1</v>
      </c>
      <c r="L640" s="912">
        <v>12</v>
      </c>
      <c r="M640" s="938">
        <f t="shared" si="27"/>
        <v>54816</v>
      </c>
      <c r="N640" s="912">
        <v>1</v>
      </c>
      <c r="O640" s="912">
        <v>6</v>
      </c>
      <c r="P640" s="938">
        <f t="shared" si="28"/>
        <v>27408</v>
      </c>
    </row>
    <row r="641" spans="1:16" x14ac:dyDescent="0.2">
      <c r="A641" s="937" t="s">
        <v>2126</v>
      </c>
      <c r="B641" s="912" t="s">
        <v>875</v>
      </c>
      <c r="C641" s="912" t="s">
        <v>80</v>
      </c>
      <c r="D641" s="912" t="s">
        <v>2136</v>
      </c>
      <c r="E641" s="938">
        <v>2041</v>
      </c>
      <c r="F641" s="926"/>
      <c r="G641" s="926" t="s">
        <v>2407</v>
      </c>
      <c r="H641" s="926" t="s">
        <v>982</v>
      </c>
      <c r="I641" s="939" t="s">
        <v>1412</v>
      </c>
      <c r="J641" s="939" t="s">
        <v>1412</v>
      </c>
      <c r="K641" s="912">
        <v>1</v>
      </c>
      <c r="L641" s="912">
        <v>3</v>
      </c>
      <c r="M641" s="938">
        <f t="shared" si="27"/>
        <v>6123</v>
      </c>
      <c r="N641" s="912">
        <v>1</v>
      </c>
      <c r="O641" s="912">
        <v>1</v>
      </c>
      <c r="P641" s="938">
        <f t="shared" si="28"/>
        <v>2041</v>
      </c>
    </row>
    <row r="642" spans="1:16" x14ac:dyDescent="0.2">
      <c r="A642" s="937" t="s">
        <v>2126</v>
      </c>
      <c r="B642" s="912" t="s">
        <v>875</v>
      </c>
      <c r="C642" s="912" t="s">
        <v>80</v>
      </c>
      <c r="D642" s="912" t="s">
        <v>2127</v>
      </c>
      <c r="E642" s="938">
        <v>2239</v>
      </c>
      <c r="F642" s="926">
        <v>46524560</v>
      </c>
      <c r="G642" s="926" t="s">
        <v>2408</v>
      </c>
      <c r="H642" s="926" t="s">
        <v>1594</v>
      </c>
      <c r="I642" s="939" t="s">
        <v>2133</v>
      </c>
      <c r="J642" s="939" t="s">
        <v>2133</v>
      </c>
      <c r="K642" s="912">
        <v>1</v>
      </c>
      <c r="L642" s="912">
        <v>11</v>
      </c>
      <c r="M642" s="938">
        <f>(L642*E642)+657.9</f>
        <v>25286.9</v>
      </c>
      <c r="N642" s="912">
        <v>1</v>
      </c>
      <c r="O642" s="912">
        <v>6</v>
      </c>
      <c r="P642" s="938">
        <f t="shared" si="28"/>
        <v>13434</v>
      </c>
    </row>
    <row r="643" spans="1:16" x14ac:dyDescent="0.2">
      <c r="A643" s="937" t="s">
        <v>2126</v>
      </c>
      <c r="B643" s="912" t="s">
        <v>875</v>
      </c>
      <c r="C643" s="912" t="s">
        <v>80</v>
      </c>
      <c r="D643" s="912" t="s">
        <v>2127</v>
      </c>
      <c r="E643" s="938">
        <v>2239</v>
      </c>
      <c r="F643" s="926">
        <v>47163619</v>
      </c>
      <c r="G643" s="926" t="s">
        <v>2409</v>
      </c>
      <c r="H643" s="926" t="s">
        <v>2410</v>
      </c>
      <c r="I643" s="939" t="s">
        <v>2133</v>
      </c>
      <c r="J643" s="939" t="s">
        <v>2133</v>
      </c>
      <c r="K643" s="912">
        <v>1</v>
      </c>
      <c r="L643" s="912">
        <v>12</v>
      </c>
      <c r="M643" s="938">
        <f t="shared" ref="M643:M683" si="29">L643*E643</f>
        <v>26868</v>
      </c>
      <c r="N643" s="912">
        <v>1</v>
      </c>
      <c r="O643" s="912">
        <v>6</v>
      </c>
      <c r="P643" s="938">
        <f t="shared" si="28"/>
        <v>13434</v>
      </c>
    </row>
    <row r="644" spans="1:16" x14ac:dyDescent="0.2">
      <c r="A644" s="937" t="s">
        <v>2126</v>
      </c>
      <c r="B644" s="912" t="s">
        <v>875</v>
      </c>
      <c r="C644" s="912" t="s">
        <v>80</v>
      </c>
      <c r="D644" s="912" t="s">
        <v>2127</v>
      </c>
      <c r="E644" s="938">
        <v>4568</v>
      </c>
      <c r="F644" s="926">
        <v>45079748</v>
      </c>
      <c r="G644" s="926" t="s">
        <v>2411</v>
      </c>
      <c r="H644" s="926" t="s">
        <v>1175</v>
      </c>
      <c r="I644" s="939" t="s">
        <v>2133</v>
      </c>
      <c r="J644" s="939" t="s">
        <v>2133</v>
      </c>
      <c r="K644" s="912">
        <v>1</v>
      </c>
      <c r="L644" s="912">
        <v>12</v>
      </c>
      <c r="M644" s="938">
        <f t="shared" si="29"/>
        <v>54816</v>
      </c>
      <c r="N644" s="912">
        <v>1</v>
      </c>
      <c r="O644" s="912">
        <v>6</v>
      </c>
      <c r="P644" s="938">
        <f t="shared" si="28"/>
        <v>27408</v>
      </c>
    </row>
    <row r="645" spans="1:16" x14ac:dyDescent="0.2">
      <c r="A645" s="937" t="s">
        <v>2126</v>
      </c>
      <c r="B645" s="912" t="s">
        <v>875</v>
      </c>
      <c r="C645" s="912" t="s">
        <v>80</v>
      </c>
      <c r="D645" s="912" t="s">
        <v>2127</v>
      </c>
      <c r="E645" s="938">
        <v>4568</v>
      </c>
      <c r="F645" s="926">
        <v>45674102</v>
      </c>
      <c r="G645" s="926" t="s">
        <v>2412</v>
      </c>
      <c r="H645" s="926" t="s">
        <v>1175</v>
      </c>
      <c r="I645" s="939" t="s">
        <v>2133</v>
      </c>
      <c r="J645" s="939" t="s">
        <v>2133</v>
      </c>
      <c r="K645" s="912">
        <v>1</v>
      </c>
      <c r="L645" s="912">
        <v>12</v>
      </c>
      <c r="M645" s="938">
        <f t="shared" si="29"/>
        <v>54816</v>
      </c>
      <c r="N645" s="912">
        <v>1</v>
      </c>
      <c r="O645" s="912">
        <v>6</v>
      </c>
      <c r="P645" s="938">
        <f t="shared" si="28"/>
        <v>27408</v>
      </c>
    </row>
    <row r="646" spans="1:16" x14ac:dyDescent="0.2">
      <c r="A646" s="937" t="s">
        <v>2126</v>
      </c>
      <c r="B646" s="912" t="s">
        <v>875</v>
      </c>
      <c r="C646" s="912" t="s">
        <v>80</v>
      </c>
      <c r="D646" s="912" t="s">
        <v>2127</v>
      </c>
      <c r="E646" s="938">
        <v>2239</v>
      </c>
      <c r="F646" s="926">
        <v>45039557</v>
      </c>
      <c r="G646" s="926" t="s">
        <v>2413</v>
      </c>
      <c r="H646" s="926" t="s">
        <v>1594</v>
      </c>
      <c r="I646" s="939" t="s">
        <v>2133</v>
      </c>
      <c r="J646" s="939" t="s">
        <v>2133</v>
      </c>
      <c r="K646" s="912">
        <v>1</v>
      </c>
      <c r="L646" s="912">
        <v>12</v>
      </c>
      <c r="M646" s="938">
        <f t="shared" si="29"/>
        <v>26868</v>
      </c>
      <c r="N646" s="912">
        <v>1</v>
      </c>
      <c r="O646" s="912">
        <v>6</v>
      </c>
      <c r="P646" s="938">
        <f t="shared" si="28"/>
        <v>13434</v>
      </c>
    </row>
    <row r="647" spans="1:16" x14ac:dyDescent="0.2">
      <c r="A647" s="937" t="s">
        <v>2126</v>
      </c>
      <c r="B647" s="912" t="s">
        <v>875</v>
      </c>
      <c r="C647" s="912" t="s">
        <v>80</v>
      </c>
      <c r="D647" s="912" t="s">
        <v>2127</v>
      </c>
      <c r="E647" s="938">
        <v>1724</v>
      </c>
      <c r="F647" s="926">
        <v>46958729</v>
      </c>
      <c r="G647" s="926" t="s">
        <v>2414</v>
      </c>
      <c r="H647" s="926" t="s">
        <v>1666</v>
      </c>
      <c r="I647" s="939" t="s">
        <v>2133</v>
      </c>
      <c r="J647" s="939" t="s">
        <v>2133</v>
      </c>
      <c r="K647" s="912">
        <v>1</v>
      </c>
      <c r="L647" s="912">
        <v>11</v>
      </c>
      <c r="M647" s="938">
        <f t="shared" si="29"/>
        <v>18964</v>
      </c>
      <c r="N647" s="912">
        <v>1</v>
      </c>
      <c r="O647" s="912">
        <v>6</v>
      </c>
      <c r="P647" s="938">
        <f t="shared" si="28"/>
        <v>10344</v>
      </c>
    </row>
    <row r="648" spans="1:16" x14ac:dyDescent="0.2">
      <c r="A648" s="937" t="s">
        <v>2126</v>
      </c>
      <c r="B648" s="912" t="s">
        <v>875</v>
      </c>
      <c r="C648" s="912" t="s">
        <v>80</v>
      </c>
      <c r="D648" s="912" t="s">
        <v>2127</v>
      </c>
      <c r="E648" s="938">
        <v>2239</v>
      </c>
      <c r="F648" s="926">
        <v>42049398</v>
      </c>
      <c r="G648" s="926" t="s">
        <v>2415</v>
      </c>
      <c r="H648" s="926" t="s">
        <v>1404</v>
      </c>
      <c r="I648" s="939" t="s">
        <v>2133</v>
      </c>
      <c r="J648" s="939" t="s">
        <v>2133</v>
      </c>
      <c r="K648" s="912">
        <v>1</v>
      </c>
      <c r="L648" s="912">
        <v>12</v>
      </c>
      <c r="M648" s="938">
        <f>L648*E648</f>
        <v>26868</v>
      </c>
      <c r="N648" s="912">
        <v>1</v>
      </c>
      <c r="O648" s="912">
        <v>6</v>
      </c>
      <c r="P648" s="938">
        <f>E648*O648</f>
        <v>13434</v>
      </c>
    </row>
    <row r="649" spans="1:16" x14ac:dyDescent="0.2">
      <c r="A649" s="937" t="s">
        <v>2126</v>
      </c>
      <c r="B649" s="912" t="s">
        <v>875</v>
      </c>
      <c r="C649" s="912" t="s">
        <v>80</v>
      </c>
      <c r="D649" s="912" t="s">
        <v>2127</v>
      </c>
      <c r="E649" s="938">
        <v>3344</v>
      </c>
      <c r="F649" s="926">
        <v>43885403</v>
      </c>
      <c r="G649" s="926" t="s">
        <v>2416</v>
      </c>
      <c r="H649" s="926" t="s">
        <v>1594</v>
      </c>
      <c r="I649" s="939" t="s">
        <v>2133</v>
      </c>
      <c r="J649" s="939" t="s">
        <v>2133</v>
      </c>
      <c r="K649" s="912"/>
      <c r="L649" s="912"/>
      <c r="M649" s="938"/>
      <c r="N649" s="912">
        <v>1</v>
      </c>
      <c r="O649" s="912">
        <v>6</v>
      </c>
      <c r="P649" s="938">
        <f t="shared" si="28"/>
        <v>20064</v>
      </c>
    </row>
    <row r="650" spans="1:16" x14ac:dyDescent="0.2">
      <c r="A650" s="937" t="s">
        <v>2126</v>
      </c>
      <c r="B650" s="912" t="s">
        <v>875</v>
      </c>
      <c r="C650" s="912" t="s">
        <v>80</v>
      </c>
      <c r="D650" s="912" t="s">
        <v>2127</v>
      </c>
      <c r="E650" s="938">
        <v>2239</v>
      </c>
      <c r="F650" s="926">
        <v>46872500</v>
      </c>
      <c r="G650" s="926" t="s">
        <v>2417</v>
      </c>
      <c r="H650" s="926" t="s">
        <v>1594</v>
      </c>
      <c r="I650" s="939" t="s">
        <v>2133</v>
      </c>
      <c r="J650" s="939" t="s">
        <v>2133</v>
      </c>
      <c r="K650" s="912">
        <v>1</v>
      </c>
      <c r="L650" s="912">
        <v>12</v>
      </c>
      <c r="M650" s="938">
        <f t="shared" si="29"/>
        <v>26868</v>
      </c>
      <c r="N650" s="912">
        <v>1</v>
      </c>
      <c r="O650" s="912">
        <v>6</v>
      </c>
      <c r="P650" s="938">
        <f t="shared" si="28"/>
        <v>13434</v>
      </c>
    </row>
    <row r="651" spans="1:16" x14ac:dyDescent="0.2">
      <c r="A651" s="937" t="s">
        <v>2126</v>
      </c>
      <c r="B651" s="912" t="s">
        <v>875</v>
      </c>
      <c r="C651" s="912" t="s">
        <v>80</v>
      </c>
      <c r="D651" s="912" t="s">
        <v>2127</v>
      </c>
      <c r="E651" s="938">
        <v>2239</v>
      </c>
      <c r="F651" s="926">
        <v>42341932</v>
      </c>
      <c r="G651" s="926" t="s">
        <v>2418</v>
      </c>
      <c r="H651" s="926" t="s">
        <v>1594</v>
      </c>
      <c r="I651" s="939" t="s">
        <v>2133</v>
      </c>
      <c r="J651" s="939" t="s">
        <v>2133</v>
      </c>
      <c r="K651" s="912">
        <v>1</v>
      </c>
      <c r="L651" s="912">
        <v>12</v>
      </c>
      <c r="M651" s="938">
        <f t="shared" si="29"/>
        <v>26868</v>
      </c>
      <c r="N651" s="912">
        <v>1</v>
      </c>
      <c r="O651" s="912">
        <v>6</v>
      </c>
      <c r="P651" s="938">
        <f t="shared" si="28"/>
        <v>13434</v>
      </c>
    </row>
    <row r="652" spans="1:16" x14ac:dyDescent="0.2">
      <c r="A652" s="937" t="s">
        <v>2126</v>
      </c>
      <c r="B652" s="912" t="s">
        <v>875</v>
      </c>
      <c r="C652" s="912" t="s">
        <v>80</v>
      </c>
      <c r="D652" s="912" t="s">
        <v>2127</v>
      </c>
      <c r="E652" s="938">
        <v>4568</v>
      </c>
      <c r="F652" s="926">
        <v>43495787</v>
      </c>
      <c r="G652" s="926" t="s">
        <v>2419</v>
      </c>
      <c r="H652" s="926" t="s">
        <v>1175</v>
      </c>
      <c r="I652" s="939" t="s">
        <v>2133</v>
      </c>
      <c r="J652" s="939" t="s">
        <v>2133</v>
      </c>
      <c r="K652" s="912">
        <v>1</v>
      </c>
      <c r="L652" s="912">
        <v>12</v>
      </c>
      <c r="M652" s="938">
        <f t="shared" si="29"/>
        <v>54816</v>
      </c>
      <c r="N652" s="912">
        <v>1</v>
      </c>
      <c r="O652" s="912">
        <v>6</v>
      </c>
      <c r="P652" s="938">
        <f t="shared" si="28"/>
        <v>27408</v>
      </c>
    </row>
    <row r="653" spans="1:16" x14ac:dyDescent="0.2">
      <c r="A653" s="937" t="s">
        <v>2126</v>
      </c>
      <c r="B653" s="912" t="s">
        <v>875</v>
      </c>
      <c r="C653" s="912" t="s">
        <v>80</v>
      </c>
      <c r="D653" s="912" t="s">
        <v>2127</v>
      </c>
      <c r="E653" s="938">
        <v>3344</v>
      </c>
      <c r="F653" s="926">
        <v>72239499</v>
      </c>
      <c r="G653" s="926" t="s">
        <v>2420</v>
      </c>
      <c r="H653" s="926" t="s">
        <v>1594</v>
      </c>
      <c r="I653" s="939" t="s">
        <v>2133</v>
      </c>
      <c r="J653" s="939" t="s">
        <v>2133</v>
      </c>
      <c r="K653" s="912"/>
      <c r="L653" s="912"/>
      <c r="M653" s="938"/>
      <c r="N653" s="912">
        <v>1</v>
      </c>
      <c r="O653" s="912">
        <v>6</v>
      </c>
      <c r="P653" s="938">
        <f t="shared" si="28"/>
        <v>20064</v>
      </c>
    </row>
    <row r="654" spans="1:16" x14ac:dyDescent="0.2">
      <c r="A654" s="937" t="s">
        <v>2126</v>
      </c>
      <c r="B654" s="912" t="s">
        <v>875</v>
      </c>
      <c r="C654" s="912" t="s">
        <v>80</v>
      </c>
      <c r="D654" s="912" t="s">
        <v>2127</v>
      </c>
      <c r="E654" s="938">
        <v>3344</v>
      </c>
      <c r="F654" s="926">
        <v>43743691</v>
      </c>
      <c r="G654" s="926" t="s">
        <v>2421</v>
      </c>
      <c r="H654" s="926" t="s">
        <v>1594</v>
      </c>
      <c r="I654" s="939" t="s">
        <v>2133</v>
      </c>
      <c r="J654" s="939" t="s">
        <v>2133</v>
      </c>
      <c r="K654" s="912"/>
      <c r="L654" s="912"/>
      <c r="M654" s="938"/>
      <c r="N654" s="912">
        <v>1</v>
      </c>
      <c r="O654" s="912">
        <v>6</v>
      </c>
      <c r="P654" s="938">
        <f t="shared" si="28"/>
        <v>20064</v>
      </c>
    </row>
    <row r="655" spans="1:16" x14ac:dyDescent="0.2">
      <c r="A655" s="937" t="s">
        <v>2126</v>
      </c>
      <c r="B655" s="912" t="s">
        <v>875</v>
      </c>
      <c r="C655" s="912" t="s">
        <v>80</v>
      </c>
      <c r="D655" s="912" t="s">
        <v>2127</v>
      </c>
      <c r="E655" s="938">
        <v>4568</v>
      </c>
      <c r="F655" s="926">
        <v>70011346</v>
      </c>
      <c r="G655" s="926" t="s">
        <v>2422</v>
      </c>
      <c r="H655" s="926" t="s">
        <v>1175</v>
      </c>
      <c r="I655" s="939" t="s">
        <v>2133</v>
      </c>
      <c r="J655" s="939" t="s">
        <v>2133</v>
      </c>
      <c r="K655" s="912">
        <v>1</v>
      </c>
      <c r="L655" s="912">
        <v>12</v>
      </c>
      <c r="M655" s="938">
        <f t="shared" si="29"/>
        <v>54816</v>
      </c>
      <c r="N655" s="912">
        <v>1</v>
      </c>
      <c r="O655" s="912">
        <v>6</v>
      </c>
      <c r="P655" s="938">
        <f t="shared" si="28"/>
        <v>27408</v>
      </c>
    </row>
    <row r="656" spans="1:16" x14ac:dyDescent="0.2">
      <c r="A656" s="937" t="s">
        <v>2126</v>
      </c>
      <c r="B656" s="912" t="s">
        <v>875</v>
      </c>
      <c r="C656" s="912" t="s">
        <v>80</v>
      </c>
      <c r="D656" s="912" t="s">
        <v>2127</v>
      </c>
      <c r="E656" s="938">
        <v>2041</v>
      </c>
      <c r="F656" s="926">
        <v>41524860</v>
      </c>
      <c r="G656" s="926" t="s">
        <v>2423</v>
      </c>
      <c r="H656" s="926" t="s">
        <v>1956</v>
      </c>
      <c r="I656" s="939" t="s">
        <v>2133</v>
      </c>
      <c r="J656" s="939" t="s">
        <v>2133</v>
      </c>
      <c r="K656" s="912"/>
      <c r="L656" s="912"/>
      <c r="M656" s="938"/>
      <c r="N656" s="912">
        <v>1</v>
      </c>
      <c r="O656" s="912">
        <v>6</v>
      </c>
      <c r="P656" s="938">
        <f t="shared" si="28"/>
        <v>12246</v>
      </c>
    </row>
    <row r="657" spans="1:16" x14ac:dyDescent="0.2">
      <c r="A657" s="937" t="s">
        <v>2126</v>
      </c>
      <c r="B657" s="912" t="s">
        <v>875</v>
      </c>
      <c r="C657" s="912" t="s">
        <v>80</v>
      </c>
      <c r="D657" s="912" t="s">
        <v>2127</v>
      </c>
      <c r="E657" s="938">
        <v>3344</v>
      </c>
      <c r="F657" s="926">
        <v>40931048</v>
      </c>
      <c r="G657" s="926" t="s">
        <v>2424</v>
      </c>
      <c r="H657" s="926" t="s">
        <v>1594</v>
      </c>
      <c r="I657" s="939" t="s">
        <v>2133</v>
      </c>
      <c r="J657" s="939" t="s">
        <v>2133</v>
      </c>
      <c r="K657" s="912"/>
      <c r="L657" s="912"/>
      <c r="M657" s="938"/>
      <c r="N657" s="912">
        <v>1</v>
      </c>
      <c r="O657" s="912">
        <v>6</v>
      </c>
      <c r="P657" s="938">
        <f t="shared" si="28"/>
        <v>20064</v>
      </c>
    </row>
    <row r="658" spans="1:16" x14ac:dyDescent="0.2">
      <c r="A658" s="937" t="s">
        <v>2126</v>
      </c>
      <c r="B658" s="912" t="s">
        <v>875</v>
      </c>
      <c r="C658" s="912" t="s">
        <v>80</v>
      </c>
      <c r="D658" s="912" t="s">
        <v>2127</v>
      </c>
      <c r="E658" s="938">
        <v>4568</v>
      </c>
      <c r="F658" s="926">
        <v>42066924</v>
      </c>
      <c r="G658" s="926" t="s">
        <v>2425</v>
      </c>
      <c r="H658" s="926" t="s">
        <v>1175</v>
      </c>
      <c r="I658" s="939" t="s">
        <v>2133</v>
      </c>
      <c r="J658" s="939" t="s">
        <v>2133</v>
      </c>
      <c r="K658" s="912">
        <v>1</v>
      </c>
      <c r="L658" s="912">
        <v>12</v>
      </c>
      <c r="M658" s="938">
        <f t="shared" si="29"/>
        <v>54816</v>
      </c>
      <c r="N658" s="912">
        <v>1</v>
      </c>
      <c r="O658" s="912">
        <v>6</v>
      </c>
      <c r="P658" s="938">
        <f t="shared" si="28"/>
        <v>27408</v>
      </c>
    </row>
    <row r="659" spans="1:16" x14ac:dyDescent="0.2">
      <c r="A659" s="937" t="s">
        <v>2126</v>
      </c>
      <c r="B659" s="912" t="s">
        <v>875</v>
      </c>
      <c r="C659" s="912" t="s">
        <v>80</v>
      </c>
      <c r="D659" s="912" t="s">
        <v>2127</v>
      </c>
      <c r="E659" s="938">
        <v>4568</v>
      </c>
      <c r="F659" s="926">
        <v>70318978</v>
      </c>
      <c r="G659" s="926" t="s">
        <v>2426</v>
      </c>
      <c r="H659" s="926" t="s">
        <v>1175</v>
      </c>
      <c r="I659" s="939" t="s">
        <v>2133</v>
      </c>
      <c r="J659" s="939" t="s">
        <v>2133</v>
      </c>
      <c r="K659" s="912">
        <v>1</v>
      </c>
      <c r="L659" s="912">
        <v>12</v>
      </c>
      <c r="M659" s="938">
        <f t="shared" si="29"/>
        <v>54816</v>
      </c>
      <c r="N659" s="912">
        <v>1</v>
      </c>
      <c r="O659" s="912">
        <v>6</v>
      </c>
      <c r="P659" s="938">
        <f t="shared" si="28"/>
        <v>27408</v>
      </c>
    </row>
    <row r="660" spans="1:16" x14ac:dyDescent="0.2">
      <c r="A660" s="937" t="s">
        <v>2126</v>
      </c>
      <c r="B660" s="912" t="s">
        <v>875</v>
      </c>
      <c r="C660" s="912" t="s">
        <v>80</v>
      </c>
      <c r="D660" s="912" t="s">
        <v>2127</v>
      </c>
      <c r="E660" s="938">
        <v>3344</v>
      </c>
      <c r="F660" s="926">
        <v>45780028</v>
      </c>
      <c r="G660" s="926" t="s">
        <v>2427</v>
      </c>
      <c r="H660" s="926" t="s">
        <v>1594</v>
      </c>
      <c r="I660" s="939" t="s">
        <v>2133</v>
      </c>
      <c r="J660" s="939" t="s">
        <v>2133</v>
      </c>
      <c r="K660" s="912"/>
      <c r="L660" s="912"/>
      <c r="M660" s="938"/>
      <c r="N660" s="912">
        <v>1</v>
      </c>
      <c r="O660" s="912">
        <v>6</v>
      </c>
      <c r="P660" s="938">
        <f t="shared" si="28"/>
        <v>20064</v>
      </c>
    </row>
    <row r="661" spans="1:16" x14ac:dyDescent="0.2">
      <c r="A661" s="937" t="s">
        <v>2126</v>
      </c>
      <c r="B661" s="912" t="s">
        <v>875</v>
      </c>
      <c r="C661" s="912" t="s">
        <v>80</v>
      </c>
      <c r="D661" s="912" t="s">
        <v>2127</v>
      </c>
      <c r="E661" s="938">
        <v>4568</v>
      </c>
      <c r="F661" s="926">
        <v>42268365</v>
      </c>
      <c r="G661" s="926" t="s">
        <v>2428</v>
      </c>
      <c r="H661" s="926" t="s">
        <v>1175</v>
      </c>
      <c r="I661" s="939" t="s">
        <v>2133</v>
      </c>
      <c r="J661" s="939" t="s">
        <v>2133</v>
      </c>
      <c r="K661" s="912">
        <v>1</v>
      </c>
      <c r="L661" s="912">
        <v>12</v>
      </c>
      <c r="M661" s="938">
        <f t="shared" si="29"/>
        <v>54816</v>
      </c>
      <c r="N661" s="912">
        <v>1</v>
      </c>
      <c r="O661" s="912">
        <v>6</v>
      </c>
      <c r="P661" s="938">
        <f t="shared" si="28"/>
        <v>27408</v>
      </c>
    </row>
    <row r="662" spans="1:16" x14ac:dyDescent="0.2">
      <c r="A662" s="937" t="s">
        <v>2126</v>
      </c>
      <c r="B662" s="912" t="s">
        <v>875</v>
      </c>
      <c r="C662" s="912" t="s">
        <v>80</v>
      </c>
      <c r="D662" s="912" t="s">
        <v>2127</v>
      </c>
      <c r="E662" s="938">
        <v>4568</v>
      </c>
      <c r="F662" s="926">
        <v>44968454</v>
      </c>
      <c r="G662" s="926" t="s">
        <v>2429</v>
      </c>
      <c r="H662" s="926" t="s">
        <v>1175</v>
      </c>
      <c r="I662" s="939" t="s">
        <v>2133</v>
      </c>
      <c r="J662" s="939" t="s">
        <v>2133</v>
      </c>
      <c r="K662" s="912">
        <v>1</v>
      </c>
      <c r="L662" s="912">
        <v>12</v>
      </c>
      <c r="M662" s="938">
        <f t="shared" si="29"/>
        <v>54816</v>
      </c>
      <c r="N662" s="912">
        <v>1</v>
      </c>
      <c r="O662" s="912">
        <v>6</v>
      </c>
      <c r="P662" s="938">
        <f t="shared" si="28"/>
        <v>27408</v>
      </c>
    </row>
    <row r="663" spans="1:16" x14ac:dyDescent="0.2">
      <c r="A663" s="937" t="s">
        <v>2126</v>
      </c>
      <c r="B663" s="912" t="s">
        <v>875</v>
      </c>
      <c r="C663" s="912" t="s">
        <v>80</v>
      </c>
      <c r="D663" s="912" t="s">
        <v>2127</v>
      </c>
      <c r="E663" s="938">
        <v>2041</v>
      </c>
      <c r="F663" s="926">
        <v>29713319</v>
      </c>
      <c r="G663" s="926" t="s">
        <v>2430</v>
      </c>
      <c r="H663" s="926" t="s">
        <v>1956</v>
      </c>
      <c r="I663" s="939" t="s">
        <v>2133</v>
      </c>
      <c r="J663" s="939" t="s">
        <v>2133</v>
      </c>
      <c r="K663" s="912"/>
      <c r="L663" s="912"/>
      <c r="M663" s="938"/>
      <c r="N663" s="912">
        <v>1</v>
      </c>
      <c r="O663" s="912">
        <v>6</v>
      </c>
      <c r="P663" s="938">
        <f t="shared" si="28"/>
        <v>12246</v>
      </c>
    </row>
    <row r="664" spans="1:16" x14ac:dyDescent="0.2">
      <c r="A664" s="937" t="s">
        <v>2126</v>
      </c>
      <c r="B664" s="912" t="s">
        <v>875</v>
      </c>
      <c r="C664" s="912" t="s">
        <v>80</v>
      </c>
      <c r="D664" s="912" t="s">
        <v>2127</v>
      </c>
      <c r="E664" s="938">
        <v>3344</v>
      </c>
      <c r="F664" s="926">
        <v>45544002</v>
      </c>
      <c r="G664" s="926" t="s">
        <v>2431</v>
      </c>
      <c r="H664" s="926" t="s">
        <v>1594</v>
      </c>
      <c r="I664" s="939" t="s">
        <v>2133</v>
      </c>
      <c r="J664" s="939" t="s">
        <v>2133</v>
      </c>
      <c r="K664" s="912"/>
      <c r="L664" s="912"/>
      <c r="M664" s="938"/>
      <c r="N664" s="912">
        <v>1</v>
      </c>
      <c r="O664" s="912">
        <v>6</v>
      </c>
      <c r="P664" s="938">
        <f t="shared" si="28"/>
        <v>20064</v>
      </c>
    </row>
    <row r="665" spans="1:16" x14ac:dyDescent="0.2">
      <c r="A665" s="937" t="s">
        <v>2126</v>
      </c>
      <c r="B665" s="912" t="s">
        <v>875</v>
      </c>
      <c r="C665" s="912" t="s">
        <v>80</v>
      </c>
      <c r="D665" s="912" t="s">
        <v>2127</v>
      </c>
      <c r="E665" s="938">
        <v>4568</v>
      </c>
      <c r="F665" s="926">
        <v>44455627</v>
      </c>
      <c r="G665" s="926" t="s">
        <v>2432</v>
      </c>
      <c r="H665" s="926" t="s">
        <v>2433</v>
      </c>
      <c r="I665" s="939" t="s">
        <v>2133</v>
      </c>
      <c r="J665" s="939" t="s">
        <v>2133</v>
      </c>
      <c r="K665" s="912">
        <v>1</v>
      </c>
      <c r="L665" s="912">
        <v>12</v>
      </c>
      <c r="M665" s="938">
        <f t="shared" si="29"/>
        <v>54816</v>
      </c>
      <c r="N665" s="912">
        <v>1</v>
      </c>
      <c r="O665" s="912">
        <v>6</v>
      </c>
      <c r="P665" s="938">
        <f t="shared" si="28"/>
        <v>27408</v>
      </c>
    </row>
    <row r="666" spans="1:16" x14ac:dyDescent="0.2">
      <c r="A666" s="937" t="s">
        <v>2126</v>
      </c>
      <c r="B666" s="912" t="s">
        <v>875</v>
      </c>
      <c r="C666" s="912" t="s">
        <v>80</v>
      </c>
      <c r="D666" s="912" t="s">
        <v>2127</v>
      </c>
      <c r="E666" s="938">
        <v>4568</v>
      </c>
      <c r="F666" s="926">
        <v>41616784</v>
      </c>
      <c r="G666" s="926" t="s">
        <v>2434</v>
      </c>
      <c r="H666" s="926" t="s">
        <v>1175</v>
      </c>
      <c r="I666" s="939" t="s">
        <v>2133</v>
      </c>
      <c r="J666" s="939" t="s">
        <v>2133</v>
      </c>
      <c r="K666" s="912">
        <v>1</v>
      </c>
      <c r="L666" s="912">
        <v>12</v>
      </c>
      <c r="M666" s="938">
        <f t="shared" si="29"/>
        <v>54816</v>
      </c>
      <c r="N666" s="912">
        <v>1</v>
      </c>
      <c r="O666" s="912">
        <v>6</v>
      </c>
      <c r="P666" s="938">
        <f t="shared" si="28"/>
        <v>27408</v>
      </c>
    </row>
    <row r="667" spans="1:16" x14ac:dyDescent="0.2">
      <c r="A667" s="937" t="s">
        <v>2126</v>
      </c>
      <c r="B667" s="912" t="s">
        <v>875</v>
      </c>
      <c r="C667" s="912" t="s">
        <v>80</v>
      </c>
      <c r="D667" s="912" t="s">
        <v>2127</v>
      </c>
      <c r="E667" s="938">
        <v>4568</v>
      </c>
      <c r="F667" s="926">
        <v>46231276</v>
      </c>
      <c r="G667" s="926" t="s">
        <v>2435</v>
      </c>
      <c r="H667" s="926" t="s">
        <v>1175</v>
      </c>
      <c r="I667" s="939" t="s">
        <v>2133</v>
      </c>
      <c r="J667" s="939" t="s">
        <v>2133</v>
      </c>
      <c r="K667" s="912">
        <v>1</v>
      </c>
      <c r="L667" s="912">
        <v>12</v>
      </c>
      <c r="M667" s="938">
        <f t="shared" si="29"/>
        <v>54816</v>
      </c>
      <c r="N667" s="912">
        <v>1</v>
      </c>
      <c r="O667" s="912">
        <v>6</v>
      </c>
      <c r="P667" s="938">
        <f t="shared" si="28"/>
        <v>27408</v>
      </c>
    </row>
    <row r="668" spans="1:16" x14ac:dyDescent="0.2">
      <c r="A668" s="937" t="s">
        <v>2126</v>
      </c>
      <c r="B668" s="912" t="s">
        <v>875</v>
      </c>
      <c r="C668" s="912" t="s">
        <v>80</v>
      </c>
      <c r="D668" s="912" t="s">
        <v>2127</v>
      </c>
      <c r="E668" s="938">
        <v>4568</v>
      </c>
      <c r="F668" s="926">
        <v>40687439</v>
      </c>
      <c r="G668" s="926" t="s">
        <v>2436</v>
      </c>
      <c r="H668" s="926" t="s">
        <v>1175</v>
      </c>
      <c r="I668" s="939" t="s">
        <v>2133</v>
      </c>
      <c r="J668" s="939" t="s">
        <v>2133</v>
      </c>
      <c r="K668" s="912">
        <v>1</v>
      </c>
      <c r="L668" s="912">
        <v>12</v>
      </c>
      <c r="M668" s="938">
        <f t="shared" si="29"/>
        <v>54816</v>
      </c>
      <c r="N668" s="912">
        <v>1</v>
      </c>
      <c r="O668" s="912">
        <v>6</v>
      </c>
      <c r="P668" s="938">
        <f t="shared" si="28"/>
        <v>27408</v>
      </c>
    </row>
    <row r="669" spans="1:16" x14ac:dyDescent="0.2">
      <c r="A669" s="937" t="s">
        <v>2126</v>
      </c>
      <c r="B669" s="912" t="s">
        <v>875</v>
      </c>
      <c r="C669" s="912" t="s">
        <v>80</v>
      </c>
      <c r="D669" s="912" t="s">
        <v>2127</v>
      </c>
      <c r="E669" s="938">
        <v>2239</v>
      </c>
      <c r="F669" s="926">
        <v>74843122</v>
      </c>
      <c r="G669" s="926" t="s">
        <v>2437</v>
      </c>
      <c r="H669" s="926" t="s">
        <v>1666</v>
      </c>
      <c r="I669" s="939" t="s">
        <v>2133</v>
      </c>
      <c r="J669" s="939" t="s">
        <v>2133</v>
      </c>
      <c r="K669" s="912">
        <v>1</v>
      </c>
      <c r="L669" s="912">
        <v>12</v>
      </c>
      <c r="M669" s="938">
        <f t="shared" si="29"/>
        <v>26868</v>
      </c>
      <c r="N669" s="912">
        <v>1</v>
      </c>
      <c r="O669" s="912">
        <v>6</v>
      </c>
      <c r="P669" s="938">
        <f t="shared" si="28"/>
        <v>13434</v>
      </c>
    </row>
    <row r="670" spans="1:16" x14ac:dyDescent="0.2">
      <c r="A670" s="937" t="s">
        <v>2126</v>
      </c>
      <c r="B670" s="912" t="s">
        <v>875</v>
      </c>
      <c r="C670" s="912" t="s">
        <v>80</v>
      </c>
      <c r="D670" s="912" t="s">
        <v>2127</v>
      </c>
      <c r="E670" s="938">
        <v>3344</v>
      </c>
      <c r="F670" s="926">
        <v>44394645</v>
      </c>
      <c r="G670" s="926" t="s">
        <v>2438</v>
      </c>
      <c r="H670" s="926" t="s">
        <v>740</v>
      </c>
      <c r="I670" s="939" t="s">
        <v>2133</v>
      </c>
      <c r="J670" s="939" t="s">
        <v>2133</v>
      </c>
      <c r="K670" s="912"/>
      <c r="L670" s="912"/>
      <c r="M670" s="938"/>
      <c r="N670" s="912">
        <v>1</v>
      </c>
      <c r="O670" s="912">
        <v>6</v>
      </c>
      <c r="P670" s="938">
        <f t="shared" si="28"/>
        <v>20064</v>
      </c>
    </row>
    <row r="671" spans="1:16" x14ac:dyDescent="0.2">
      <c r="A671" s="937" t="s">
        <v>2126</v>
      </c>
      <c r="B671" s="912" t="s">
        <v>875</v>
      </c>
      <c r="C671" s="912" t="s">
        <v>80</v>
      </c>
      <c r="D671" s="912" t="s">
        <v>2127</v>
      </c>
      <c r="E671" s="938">
        <v>1800</v>
      </c>
      <c r="F671" s="926">
        <v>44079577</v>
      </c>
      <c r="G671" s="926" t="s">
        <v>2439</v>
      </c>
      <c r="H671" s="926" t="s">
        <v>1626</v>
      </c>
      <c r="I671" s="939" t="s">
        <v>2133</v>
      </c>
      <c r="J671" s="939" t="s">
        <v>2133</v>
      </c>
      <c r="K671" s="912">
        <v>1</v>
      </c>
      <c r="L671" s="912">
        <v>12</v>
      </c>
      <c r="M671" s="938">
        <f t="shared" si="29"/>
        <v>21600</v>
      </c>
      <c r="N671" s="912">
        <v>1</v>
      </c>
      <c r="O671" s="912">
        <v>6</v>
      </c>
      <c r="P671" s="938">
        <f t="shared" si="28"/>
        <v>10800</v>
      </c>
    </row>
    <row r="672" spans="1:16" x14ac:dyDescent="0.2">
      <c r="A672" s="937" t="s">
        <v>2126</v>
      </c>
      <c r="B672" s="912" t="s">
        <v>875</v>
      </c>
      <c r="C672" s="912" t="s">
        <v>80</v>
      </c>
      <c r="D672" s="912" t="s">
        <v>2136</v>
      </c>
      <c r="E672" s="938">
        <v>1300</v>
      </c>
      <c r="F672" s="926">
        <v>46547850</v>
      </c>
      <c r="G672" s="926" t="s">
        <v>2440</v>
      </c>
      <c r="H672" s="926" t="s">
        <v>1028</v>
      </c>
      <c r="I672" s="939" t="s">
        <v>2133</v>
      </c>
      <c r="J672" s="939" t="s">
        <v>2133</v>
      </c>
      <c r="K672" s="912">
        <v>1</v>
      </c>
      <c r="L672" s="912">
        <v>12</v>
      </c>
      <c r="M672" s="938">
        <f t="shared" si="29"/>
        <v>15600</v>
      </c>
      <c r="N672" s="912">
        <v>1</v>
      </c>
      <c r="O672" s="912">
        <v>6</v>
      </c>
      <c r="P672" s="938">
        <f t="shared" si="28"/>
        <v>7800</v>
      </c>
    </row>
    <row r="673" spans="1:16" x14ac:dyDescent="0.2">
      <c r="A673" s="937" t="s">
        <v>2126</v>
      </c>
      <c r="B673" s="912" t="s">
        <v>875</v>
      </c>
      <c r="C673" s="912" t="s">
        <v>80</v>
      </c>
      <c r="D673" s="912" t="s">
        <v>2127</v>
      </c>
      <c r="E673" s="938">
        <v>2041</v>
      </c>
      <c r="F673" s="926">
        <v>45121080</v>
      </c>
      <c r="G673" s="926" t="s">
        <v>2441</v>
      </c>
      <c r="H673" s="926" t="s">
        <v>1028</v>
      </c>
      <c r="I673" s="939" t="s">
        <v>2133</v>
      </c>
      <c r="J673" s="939" t="s">
        <v>2133</v>
      </c>
      <c r="K673" s="912"/>
      <c r="L673" s="912"/>
      <c r="M673" s="938"/>
      <c r="N673" s="912">
        <v>1</v>
      </c>
      <c r="O673" s="912">
        <v>6</v>
      </c>
      <c r="P673" s="938">
        <f t="shared" si="28"/>
        <v>12246</v>
      </c>
    </row>
    <row r="674" spans="1:16" x14ac:dyDescent="0.2">
      <c r="A674" s="937" t="s">
        <v>2126</v>
      </c>
      <c r="B674" s="912" t="s">
        <v>875</v>
      </c>
      <c r="C674" s="912" t="s">
        <v>80</v>
      </c>
      <c r="D674" s="912" t="s">
        <v>2127</v>
      </c>
      <c r="E674" s="938">
        <v>1300</v>
      </c>
      <c r="F674" s="926">
        <v>29575006</v>
      </c>
      <c r="G674" s="926" t="s">
        <v>2442</v>
      </c>
      <c r="H674" s="926" t="s">
        <v>1956</v>
      </c>
      <c r="I674" s="939" t="s">
        <v>2133</v>
      </c>
      <c r="J674" s="939" t="s">
        <v>2133</v>
      </c>
      <c r="K674" s="912">
        <v>1</v>
      </c>
      <c r="L674" s="912">
        <v>12</v>
      </c>
      <c r="M674" s="938">
        <f t="shared" si="29"/>
        <v>15600</v>
      </c>
      <c r="N674" s="912">
        <v>1</v>
      </c>
      <c r="O674" s="912">
        <v>6</v>
      </c>
      <c r="P674" s="938">
        <f t="shared" si="28"/>
        <v>7800</v>
      </c>
    </row>
    <row r="675" spans="1:16" x14ac:dyDescent="0.2">
      <c r="A675" s="937" t="s">
        <v>2126</v>
      </c>
      <c r="B675" s="912" t="s">
        <v>875</v>
      </c>
      <c r="C675" s="912" t="s">
        <v>80</v>
      </c>
      <c r="D675" s="912" t="s">
        <v>2127</v>
      </c>
      <c r="E675" s="938">
        <v>930</v>
      </c>
      <c r="F675" s="926">
        <v>29394802</v>
      </c>
      <c r="G675" s="926" t="s">
        <v>2443</v>
      </c>
      <c r="H675" s="926" t="s">
        <v>1028</v>
      </c>
      <c r="I675" s="939" t="s">
        <v>2133</v>
      </c>
      <c r="J675" s="939" t="s">
        <v>2133</v>
      </c>
      <c r="K675" s="912">
        <v>1</v>
      </c>
      <c r="L675" s="912">
        <v>12</v>
      </c>
      <c r="M675" s="938">
        <f t="shared" si="29"/>
        <v>11160</v>
      </c>
      <c r="N675" s="912">
        <v>1</v>
      </c>
      <c r="O675" s="912">
        <v>6</v>
      </c>
      <c r="P675" s="938">
        <f t="shared" si="28"/>
        <v>5580</v>
      </c>
    </row>
    <row r="676" spans="1:16" x14ac:dyDescent="0.2">
      <c r="A676" s="937" t="s">
        <v>2126</v>
      </c>
      <c r="B676" s="912" t="s">
        <v>875</v>
      </c>
      <c r="C676" s="912" t="s">
        <v>80</v>
      </c>
      <c r="D676" s="912" t="s">
        <v>2136</v>
      </c>
      <c r="E676" s="938">
        <v>2041</v>
      </c>
      <c r="F676" s="926">
        <v>43436286</v>
      </c>
      <c r="G676" s="926" t="s">
        <v>2444</v>
      </c>
      <c r="H676" s="926" t="s">
        <v>1878</v>
      </c>
      <c r="I676" s="939" t="s">
        <v>1412</v>
      </c>
      <c r="J676" s="939" t="s">
        <v>1412</v>
      </c>
      <c r="K676" s="912"/>
      <c r="L676" s="912"/>
      <c r="M676" s="938"/>
      <c r="N676" s="912">
        <v>1</v>
      </c>
      <c r="O676" s="912">
        <v>1</v>
      </c>
      <c r="P676" s="938">
        <f t="shared" si="28"/>
        <v>2041</v>
      </c>
    </row>
    <row r="677" spans="1:16" x14ac:dyDescent="0.2">
      <c r="A677" s="937" t="s">
        <v>2126</v>
      </c>
      <c r="B677" s="912" t="s">
        <v>875</v>
      </c>
      <c r="C677" s="912" t="s">
        <v>80</v>
      </c>
      <c r="D677" s="912" t="s">
        <v>2127</v>
      </c>
      <c r="E677" s="938">
        <v>2041</v>
      </c>
      <c r="F677" s="926">
        <v>29409834</v>
      </c>
      <c r="G677" s="926" t="s">
        <v>2445</v>
      </c>
      <c r="H677" s="926" t="s">
        <v>2446</v>
      </c>
      <c r="I677" s="939" t="s">
        <v>1412</v>
      </c>
      <c r="J677" s="939" t="s">
        <v>1412</v>
      </c>
      <c r="K677" s="912"/>
      <c r="L677" s="912"/>
      <c r="M677" s="938"/>
      <c r="N677" s="912">
        <v>1</v>
      </c>
      <c r="O677" s="912">
        <v>6</v>
      </c>
      <c r="P677" s="938">
        <f t="shared" si="28"/>
        <v>12246</v>
      </c>
    </row>
    <row r="678" spans="1:16" x14ac:dyDescent="0.2">
      <c r="A678" s="937" t="s">
        <v>2126</v>
      </c>
      <c r="B678" s="912" t="s">
        <v>875</v>
      </c>
      <c r="C678" s="912" t="s">
        <v>80</v>
      </c>
      <c r="D678" s="912" t="s">
        <v>2127</v>
      </c>
      <c r="E678" s="938">
        <v>2041</v>
      </c>
      <c r="F678" s="926">
        <v>46423725</v>
      </c>
      <c r="G678" s="926" t="s">
        <v>2447</v>
      </c>
      <c r="H678" s="926" t="s">
        <v>2410</v>
      </c>
      <c r="I678" s="939" t="s">
        <v>2133</v>
      </c>
      <c r="J678" s="939" t="s">
        <v>2133</v>
      </c>
      <c r="K678" s="912"/>
      <c r="L678" s="912"/>
      <c r="M678" s="938"/>
      <c r="N678" s="912">
        <v>1</v>
      </c>
      <c r="O678" s="912">
        <v>6</v>
      </c>
      <c r="P678" s="938">
        <f t="shared" si="28"/>
        <v>12246</v>
      </c>
    </row>
    <row r="679" spans="1:16" x14ac:dyDescent="0.2">
      <c r="A679" s="937" t="s">
        <v>2126</v>
      </c>
      <c r="B679" s="912" t="s">
        <v>875</v>
      </c>
      <c r="C679" s="912" t="s">
        <v>80</v>
      </c>
      <c r="D679" s="912" t="s">
        <v>2127</v>
      </c>
      <c r="E679" s="938">
        <v>2041</v>
      </c>
      <c r="F679" s="926">
        <v>76664877</v>
      </c>
      <c r="G679" s="926" t="s">
        <v>2448</v>
      </c>
      <c r="H679" s="926" t="s">
        <v>1956</v>
      </c>
      <c r="I679" s="939" t="s">
        <v>2133</v>
      </c>
      <c r="J679" s="939" t="s">
        <v>2133</v>
      </c>
      <c r="K679" s="912"/>
      <c r="L679" s="912"/>
      <c r="M679" s="938"/>
      <c r="N679" s="912">
        <v>1</v>
      </c>
      <c r="O679" s="912">
        <v>6</v>
      </c>
      <c r="P679" s="938">
        <f t="shared" si="28"/>
        <v>12246</v>
      </c>
    </row>
    <row r="680" spans="1:16" x14ac:dyDescent="0.2">
      <c r="A680" s="937" t="s">
        <v>2126</v>
      </c>
      <c r="B680" s="912" t="s">
        <v>875</v>
      </c>
      <c r="C680" s="912" t="s">
        <v>80</v>
      </c>
      <c r="D680" s="912" t="s">
        <v>2136</v>
      </c>
      <c r="E680" s="938">
        <v>1800</v>
      </c>
      <c r="F680" s="926">
        <v>73146960</v>
      </c>
      <c r="G680" s="926" t="s">
        <v>2449</v>
      </c>
      <c r="H680" s="926" t="s">
        <v>2450</v>
      </c>
      <c r="I680" s="939" t="s">
        <v>2133</v>
      </c>
      <c r="J680" s="939" t="s">
        <v>2133</v>
      </c>
      <c r="K680" s="912"/>
      <c r="L680" s="912"/>
      <c r="M680" s="938"/>
      <c r="N680" s="912">
        <v>1</v>
      </c>
      <c r="O680" s="912">
        <v>6</v>
      </c>
      <c r="P680" s="938">
        <f t="shared" si="28"/>
        <v>10800</v>
      </c>
    </row>
    <row r="681" spans="1:16" x14ac:dyDescent="0.2">
      <c r="A681" s="937" t="s">
        <v>2126</v>
      </c>
      <c r="B681" s="912" t="s">
        <v>875</v>
      </c>
      <c r="C681" s="912" t="s">
        <v>80</v>
      </c>
      <c r="D681" s="912" t="s">
        <v>2136</v>
      </c>
      <c r="E681" s="938">
        <v>1300</v>
      </c>
      <c r="F681" s="926">
        <v>45998876</v>
      </c>
      <c r="G681" s="926" t="s">
        <v>2451</v>
      </c>
      <c r="H681" s="926" t="s">
        <v>2452</v>
      </c>
      <c r="I681" s="939" t="s">
        <v>1412</v>
      </c>
      <c r="J681" s="939" t="s">
        <v>1412</v>
      </c>
      <c r="K681" s="912">
        <v>1</v>
      </c>
      <c r="L681" s="912">
        <v>12</v>
      </c>
      <c r="M681" s="938">
        <f t="shared" si="29"/>
        <v>15600</v>
      </c>
      <c r="N681" s="912">
        <v>1</v>
      </c>
      <c r="O681" s="912">
        <v>6</v>
      </c>
      <c r="P681" s="938">
        <f t="shared" si="28"/>
        <v>7800</v>
      </c>
    </row>
    <row r="682" spans="1:16" x14ac:dyDescent="0.2">
      <c r="A682" s="937" t="s">
        <v>2126</v>
      </c>
      <c r="B682" s="912" t="s">
        <v>875</v>
      </c>
      <c r="C682" s="912" t="s">
        <v>80</v>
      </c>
      <c r="D682" s="912" t="s">
        <v>2127</v>
      </c>
      <c r="E682" s="938">
        <v>1300</v>
      </c>
      <c r="F682" s="926">
        <v>47554929</v>
      </c>
      <c r="G682" s="926" t="s">
        <v>2453</v>
      </c>
      <c r="H682" s="926" t="s">
        <v>1028</v>
      </c>
      <c r="I682" s="939" t="s">
        <v>2133</v>
      </c>
      <c r="J682" s="939" t="s">
        <v>2133</v>
      </c>
      <c r="K682" s="912">
        <v>1</v>
      </c>
      <c r="L682" s="912">
        <v>12</v>
      </c>
      <c r="M682" s="938">
        <f t="shared" si="29"/>
        <v>15600</v>
      </c>
      <c r="N682" s="912">
        <v>1</v>
      </c>
      <c r="O682" s="912">
        <v>6</v>
      </c>
      <c r="P682" s="938">
        <f t="shared" si="28"/>
        <v>7800</v>
      </c>
    </row>
    <row r="683" spans="1:16" x14ac:dyDescent="0.2">
      <c r="A683" s="937" t="s">
        <v>2126</v>
      </c>
      <c r="B683" s="912" t="s">
        <v>875</v>
      </c>
      <c r="C683" s="912" t="s">
        <v>80</v>
      </c>
      <c r="D683" s="912" t="s">
        <v>2127</v>
      </c>
      <c r="E683" s="938">
        <v>1724</v>
      </c>
      <c r="F683" s="926">
        <v>72907237</v>
      </c>
      <c r="G683" s="926" t="s">
        <v>2454</v>
      </c>
      <c r="H683" s="926" t="s">
        <v>1956</v>
      </c>
      <c r="I683" s="939" t="s">
        <v>2133</v>
      </c>
      <c r="J683" s="939" t="s">
        <v>2133</v>
      </c>
      <c r="K683" s="912">
        <v>1</v>
      </c>
      <c r="L683" s="912">
        <v>12</v>
      </c>
      <c r="M683" s="938">
        <f t="shared" si="29"/>
        <v>20688</v>
      </c>
      <c r="N683" s="912">
        <v>1</v>
      </c>
      <c r="O683" s="912">
        <v>6</v>
      </c>
      <c r="P683" s="938">
        <f t="shared" si="28"/>
        <v>10344</v>
      </c>
    </row>
    <row r="684" spans="1:16" x14ac:dyDescent="0.2">
      <c r="A684" s="937" t="s">
        <v>2126</v>
      </c>
      <c r="B684" s="912" t="s">
        <v>875</v>
      </c>
      <c r="C684" s="912" t="s">
        <v>80</v>
      </c>
      <c r="D684" s="912" t="s">
        <v>2127</v>
      </c>
      <c r="E684" s="938">
        <v>2041</v>
      </c>
      <c r="F684" s="926">
        <v>40694450</v>
      </c>
      <c r="G684" s="926" t="s">
        <v>2455</v>
      </c>
      <c r="H684" s="926" t="s">
        <v>1028</v>
      </c>
      <c r="I684" s="939" t="s">
        <v>2133</v>
      </c>
      <c r="J684" s="939" t="s">
        <v>2133</v>
      </c>
      <c r="K684" s="912">
        <v>1</v>
      </c>
      <c r="L684" s="912">
        <v>12</v>
      </c>
      <c r="M684" s="938"/>
      <c r="N684" s="912">
        <v>1</v>
      </c>
      <c r="O684" s="912">
        <v>6</v>
      </c>
      <c r="P684" s="938">
        <f t="shared" si="28"/>
        <v>12246</v>
      </c>
    </row>
    <row r="685" spans="1:16" x14ac:dyDescent="0.2">
      <c r="A685" s="937" t="s">
        <v>2126</v>
      </c>
      <c r="B685" s="912" t="s">
        <v>875</v>
      </c>
      <c r="C685" s="912" t="s">
        <v>80</v>
      </c>
      <c r="D685" s="912" t="s">
        <v>2127</v>
      </c>
      <c r="E685" s="938">
        <v>2041</v>
      </c>
      <c r="F685" s="926">
        <v>43088684</v>
      </c>
      <c r="G685" s="926" t="s">
        <v>2456</v>
      </c>
      <c r="H685" s="926" t="s">
        <v>1028</v>
      </c>
      <c r="I685" s="939" t="s">
        <v>2133</v>
      </c>
      <c r="J685" s="939" t="s">
        <v>2133</v>
      </c>
      <c r="K685" s="912">
        <v>1</v>
      </c>
      <c r="L685" s="912">
        <v>12</v>
      </c>
      <c r="M685" s="938"/>
      <c r="N685" s="912">
        <v>1</v>
      </c>
      <c r="O685" s="912">
        <v>6</v>
      </c>
      <c r="P685" s="938">
        <f t="shared" ref="P685:P748" si="30">E685*O685</f>
        <v>12246</v>
      </c>
    </row>
    <row r="686" spans="1:16" x14ac:dyDescent="0.2">
      <c r="A686" s="937" t="s">
        <v>2126</v>
      </c>
      <c r="B686" s="912" t="s">
        <v>875</v>
      </c>
      <c r="C686" s="912" t="s">
        <v>80</v>
      </c>
      <c r="D686" s="912" t="s">
        <v>2127</v>
      </c>
      <c r="E686" s="938">
        <v>2041</v>
      </c>
      <c r="F686" s="926">
        <v>40507009</v>
      </c>
      <c r="G686" s="926" t="s">
        <v>2457</v>
      </c>
      <c r="H686" s="926" t="s">
        <v>1028</v>
      </c>
      <c r="I686" s="939" t="s">
        <v>2133</v>
      </c>
      <c r="J686" s="939" t="s">
        <v>2133</v>
      </c>
      <c r="K686" s="912"/>
      <c r="L686" s="912"/>
      <c r="M686" s="938"/>
      <c r="N686" s="912">
        <v>1</v>
      </c>
      <c r="O686" s="912">
        <v>6</v>
      </c>
      <c r="P686" s="938">
        <f t="shared" si="30"/>
        <v>12246</v>
      </c>
    </row>
    <row r="687" spans="1:16" x14ac:dyDescent="0.2">
      <c r="A687" s="937" t="s">
        <v>2126</v>
      </c>
      <c r="B687" s="912" t="s">
        <v>875</v>
      </c>
      <c r="C687" s="912" t="s">
        <v>80</v>
      </c>
      <c r="D687" s="912" t="s">
        <v>2127</v>
      </c>
      <c r="E687" s="938">
        <v>5532</v>
      </c>
      <c r="F687" s="926">
        <v>44891645</v>
      </c>
      <c r="G687" s="926" t="s">
        <v>2458</v>
      </c>
      <c r="H687" s="926" t="s">
        <v>1175</v>
      </c>
      <c r="I687" s="939" t="s">
        <v>2133</v>
      </c>
      <c r="J687" s="939" t="s">
        <v>2133</v>
      </c>
      <c r="K687" s="912"/>
      <c r="L687" s="912"/>
      <c r="M687" s="938"/>
      <c r="N687" s="912">
        <v>1</v>
      </c>
      <c r="O687" s="912">
        <v>5</v>
      </c>
      <c r="P687" s="938">
        <f t="shared" si="30"/>
        <v>27660</v>
      </c>
    </row>
    <row r="688" spans="1:16" x14ac:dyDescent="0.2">
      <c r="A688" s="937" t="s">
        <v>2126</v>
      </c>
      <c r="B688" s="912" t="s">
        <v>875</v>
      </c>
      <c r="C688" s="912" t="s">
        <v>80</v>
      </c>
      <c r="D688" s="912" t="s">
        <v>2127</v>
      </c>
      <c r="E688" s="938">
        <v>3344</v>
      </c>
      <c r="F688" s="926">
        <v>46650299</v>
      </c>
      <c r="G688" s="926" t="s">
        <v>2459</v>
      </c>
      <c r="H688" s="926" t="s">
        <v>1594</v>
      </c>
      <c r="I688" s="939" t="s">
        <v>2133</v>
      </c>
      <c r="J688" s="939" t="s">
        <v>2133</v>
      </c>
      <c r="K688" s="912"/>
      <c r="L688" s="912"/>
      <c r="M688" s="938"/>
      <c r="N688" s="912">
        <v>1</v>
      </c>
      <c r="O688" s="912">
        <v>5</v>
      </c>
      <c r="P688" s="938">
        <f t="shared" si="30"/>
        <v>16720</v>
      </c>
    </row>
    <row r="689" spans="1:16" x14ac:dyDescent="0.2">
      <c r="A689" s="937" t="s">
        <v>2126</v>
      </c>
      <c r="B689" s="912" t="s">
        <v>875</v>
      </c>
      <c r="C689" s="912" t="s">
        <v>80</v>
      </c>
      <c r="D689" s="912" t="s">
        <v>2127</v>
      </c>
      <c r="E689" s="938">
        <v>5532</v>
      </c>
      <c r="F689" s="926">
        <v>45593327</v>
      </c>
      <c r="G689" s="926" t="s">
        <v>2460</v>
      </c>
      <c r="H689" s="926" t="s">
        <v>1175</v>
      </c>
      <c r="I689" s="939" t="s">
        <v>2133</v>
      </c>
      <c r="J689" s="939" t="s">
        <v>2133</v>
      </c>
      <c r="K689" s="912"/>
      <c r="L689" s="912"/>
      <c r="M689" s="938"/>
      <c r="N689" s="912">
        <v>1</v>
      </c>
      <c r="O689" s="912">
        <v>5</v>
      </c>
      <c r="P689" s="938">
        <f t="shared" si="30"/>
        <v>27660</v>
      </c>
    </row>
    <row r="690" spans="1:16" x14ac:dyDescent="0.2">
      <c r="A690" s="937" t="s">
        <v>2126</v>
      </c>
      <c r="B690" s="912" t="s">
        <v>875</v>
      </c>
      <c r="C690" s="912" t="s">
        <v>80</v>
      </c>
      <c r="D690" s="912" t="s">
        <v>2127</v>
      </c>
      <c r="E690" s="938">
        <v>5532</v>
      </c>
      <c r="F690" s="926">
        <v>74593345</v>
      </c>
      <c r="G690" s="926" t="s">
        <v>2461</v>
      </c>
      <c r="H690" s="926" t="s">
        <v>1175</v>
      </c>
      <c r="I690" s="939" t="s">
        <v>2133</v>
      </c>
      <c r="J690" s="939" t="s">
        <v>2133</v>
      </c>
      <c r="K690" s="912"/>
      <c r="L690" s="912"/>
      <c r="M690" s="938"/>
      <c r="N690" s="912">
        <v>1</v>
      </c>
      <c r="O690" s="912">
        <v>5</v>
      </c>
      <c r="P690" s="938">
        <f t="shared" si="30"/>
        <v>27660</v>
      </c>
    </row>
    <row r="691" spans="1:16" x14ac:dyDescent="0.2">
      <c r="A691" s="937" t="s">
        <v>2126</v>
      </c>
      <c r="B691" s="912" t="s">
        <v>875</v>
      </c>
      <c r="C691" s="912" t="s">
        <v>80</v>
      </c>
      <c r="D691" s="912" t="s">
        <v>2127</v>
      </c>
      <c r="E691" s="938">
        <v>2239</v>
      </c>
      <c r="F691" s="926">
        <v>46524560</v>
      </c>
      <c r="G691" s="926" t="s">
        <v>2462</v>
      </c>
      <c r="H691" s="926" t="s">
        <v>2163</v>
      </c>
      <c r="I691" s="939" t="s">
        <v>2133</v>
      </c>
      <c r="J691" s="939" t="s">
        <v>2133</v>
      </c>
      <c r="K691" s="912"/>
      <c r="L691" s="912"/>
      <c r="M691" s="938"/>
      <c r="N691" s="912">
        <v>1</v>
      </c>
      <c r="O691" s="912">
        <v>5</v>
      </c>
      <c r="P691" s="938">
        <f t="shared" si="30"/>
        <v>11195</v>
      </c>
    </row>
    <row r="692" spans="1:16" x14ac:dyDescent="0.2">
      <c r="A692" s="937" t="s">
        <v>2126</v>
      </c>
      <c r="B692" s="912" t="s">
        <v>875</v>
      </c>
      <c r="C692" s="912" t="s">
        <v>80</v>
      </c>
      <c r="D692" s="912" t="s">
        <v>2127</v>
      </c>
      <c r="E692" s="938">
        <v>3344</v>
      </c>
      <c r="F692" s="926">
        <v>45960242</v>
      </c>
      <c r="G692" s="926" t="s">
        <v>2463</v>
      </c>
      <c r="H692" s="926" t="s">
        <v>1594</v>
      </c>
      <c r="I692" s="939" t="s">
        <v>2133</v>
      </c>
      <c r="J692" s="939" t="s">
        <v>2133</v>
      </c>
      <c r="K692" s="912"/>
      <c r="L692" s="912"/>
      <c r="M692" s="938"/>
      <c r="N692" s="912">
        <v>1</v>
      </c>
      <c r="O692" s="912">
        <v>5</v>
      </c>
      <c r="P692" s="938">
        <f t="shared" si="30"/>
        <v>16720</v>
      </c>
    </row>
    <row r="693" spans="1:16" x14ac:dyDescent="0.2">
      <c r="A693" s="937" t="s">
        <v>2126</v>
      </c>
      <c r="B693" s="912" t="s">
        <v>875</v>
      </c>
      <c r="C693" s="912" t="s">
        <v>80</v>
      </c>
      <c r="D693" s="912" t="s">
        <v>2127</v>
      </c>
      <c r="E693" s="938">
        <v>3344</v>
      </c>
      <c r="F693" s="926">
        <v>43546581</v>
      </c>
      <c r="G693" s="926" t="s">
        <v>2464</v>
      </c>
      <c r="H693" s="926" t="s">
        <v>1594</v>
      </c>
      <c r="I693" s="939" t="s">
        <v>2133</v>
      </c>
      <c r="J693" s="939" t="s">
        <v>2133</v>
      </c>
      <c r="K693" s="912"/>
      <c r="L693" s="912"/>
      <c r="M693" s="938"/>
      <c r="N693" s="912">
        <v>1</v>
      </c>
      <c r="O693" s="912">
        <v>5</v>
      </c>
      <c r="P693" s="938">
        <f t="shared" si="30"/>
        <v>16720</v>
      </c>
    </row>
    <row r="694" spans="1:16" x14ac:dyDescent="0.2">
      <c r="A694" s="937" t="s">
        <v>2126</v>
      </c>
      <c r="B694" s="912" t="s">
        <v>875</v>
      </c>
      <c r="C694" s="912" t="s">
        <v>80</v>
      </c>
      <c r="D694" s="912" t="s">
        <v>2127</v>
      </c>
      <c r="E694" s="938">
        <v>3344</v>
      </c>
      <c r="F694" s="926">
        <v>45208567</v>
      </c>
      <c r="G694" s="926" t="s">
        <v>2465</v>
      </c>
      <c r="H694" s="926" t="s">
        <v>1594</v>
      </c>
      <c r="I694" s="939" t="s">
        <v>2133</v>
      </c>
      <c r="J694" s="939" t="s">
        <v>2133</v>
      </c>
      <c r="K694" s="912"/>
      <c r="L694" s="912"/>
      <c r="M694" s="938"/>
      <c r="N694" s="912">
        <v>1</v>
      </c>
      <c r="O694" s="912">
        <v>5</v>
      </c>
      <c r="P694" s="938">
        <f t="shared" si="30"/>
        <v>16720</v>
      </c>
    </row>
    <row r="695" spans="1:16" x14ac:dyDescent="0.2">
      <c r="A695" s="937" t="s">
        <v>2126</v>
      </c>
      <c r="B695" s="912" t="s">
        <v>875</v>
      </c>
      <c r="C695" s="912" t="s">
        <v>80</v>
      </c>
      <c r="D695" s="912" t="s">
        <v>2127</v>
      </c>
      <c r="E695" s="938">
        <v>3344</v>
      </c>
      <c r="F695" s="926">
        <v>47216283</v>
      </c>
      <c r="G695" s="926" t="s">
        <v>2466</v>
      </c>
      <c r="H695" s="926" t="s">
        <v>1594</v>
      </c>
      <c r="I695" s="939" t="s">
        <v>2133</v>
      </c>
      <c r="J695" s="939" t="s">
        <v>2133</v>
      </c>
      <c r="K695" s="912"/>
      <c r="L695" s="912"/>
      <c r="M695" s="938"/>
      <c r="N695" s="912">
        <v>1</v>
      </c>
      <c r="O695" s="912">
        <v>5</v>
      </c>
      <c r="P695" s="938">
        <f t="shared" si="30"/>
        <v>16720</v>
      </c>
    </row>
    <row r="696" spans="1:16" x14ac:dyDescent="0.2">
      <c r="A696" s="937" t="s">
        <v>2126</v>
      </c>
      <c r="B696" s="912" t="s">
        <v>875</v>
      </c>
      <c r="C696" s="912" t="s">
        <v>80</v>
      </c>
      <c r="D696" s="912" t="s">
        <v>2127</v>
      </c>
      <c r="E696" s="938">
        <v>3344</v>
      </c>
      <c r="F696" s="926">
        <v>43394964</v>
      </c>
      <c r="G696" s="926" t="s">
        <v>2467</v>
      </c>
      <c r="H696" s="926" t="s">
        <v>1594</v>
      </c>
      <c r="I696" s="939" t="s">
        <v>2133</v>
      </c>
      <c r="J696" s="939" t="s">
        <v>2133</v>
      </c>
      <c r="K696" s="912"/>
      <c r="L696" s="912"/>
      <c r="M696" s="938"/>
      <c r="N696" s="912">
        <v>1</v>
      </c>
      <c r="O696" s="912">
        <v>5</v>
      </c>
      <c r="P696" s="938">
        <f t="shared" si="30"/>
        <v>16720</v>
      </c>
    </row>
    <row r="697" spans="1:16" x14ac:dyDescent="0.2">
      <c r="A697" s="937" t="s">
        <v>2126</v>
      </c>
      <c r="B697" s="912" t="s">
        <v>875</v>
      </c>
      <c r="C697" s="912" t="s">
        <v>80</v>
      </c>
      <c r="D697" s="912" t="s">
        <v>2127</v>
      </c>
      <c r="E697" s="938">
        <v>5532</v>
      </c>
      <c r="F697" s="926">
        <v>47163619</v>
      </c>
      <c r="G697" s="926" t="s">
        <v>2468</v>
      </c>
      <c r="H697" s="926" t="s">
        <v>1175</v>
      </c>
      <c r="I697" s="939" t="s">
        <v>2133</v>
      </c>
      <c r="J697" s="939" t="s">
        <v>2133</v>
      </c>
      <c r="K697" s="912"/>
      <c r="L697" s="912"/>
      <c r="M697" s="938"/>
      <c r="N697" s="912">
        <v>1</v>
      </c>
      <c r="O697" s="912">
        <v>3</v>
      </c>
      <c r="P697" s="938">
        <f t="shared" si="30"/>
        <v>16596</v>
      </c>
    </row>
    <row r="698" spans="1:16" x14ac:dyDescent="0.2">
      <c r="A698" s="937" t="s">
        <v>2126</v>
      </c>
      <c r="B698" s="912" t="s">
        <v>875</v>
      </c>
      <c r="C698" s="912" t="s">
        <v>80</v>
      </c>
      <c r="D698" s="912" t="s">
        <v>2127</v>
      </c>
      <c r="E698" s="938">
        <v>3344</v>
      </c>
      <c r="F698" s="926">
        <v>45079748</v>
      </c>
      <c r="G698" s="926" t="s">
        <v>2469</v>
      </c>
      <c r="H698" s="926" t="s">
        <v>1594</v>
      </c>
      <c r="I698" s="939" t="s">
        <v>2133</v>
      </c>
      <c r="J698" s="939" t="s">
        <v>2133</v>
      </c>
      <c r="K698" s="912"/>
      <c r="L698" s="912"/>
      <c r="M698" s="938"/>
      <c r="N698" s="912">
        <v>1</v>
      </c>
      <c r="O698" s="912">
        <v>5</v>
      </c>
      <c r="P698" s="938">
        <f t="shared" si="30"/>
        <v>16720</v>
      </c>
    </row>
    <row r="699" spans="1:16" x14ac:dyDescent="0.2">
      <c r="A699" s="937" t="s">
        <v>2126</v>
      </c>
      <c r="B699" s="912" t="s">
        <v>875</v>
      </c>
      <c r="C699" s="912" t="s">
        <v>80</v>
      </c>
      <c r="D699" s="912" t="s">
        <v>2127</v>
      </c>
      <c r="E699" s="938">
        <v>3344</v>
      </c>
      <c r="F699" s="926">
        <v>45602540</v>
      </c>
      <c r="G699" s="926" t="s">
        <v>2470</v>
      </c>
      <c r="H699" s="926" t="s">
        <v>1594</v>
      </c>
      <c r="I699" s="939" t="s">
        <v>2133</v>
      </c>
      <c r="J699" s="939" t="s">
        <v>2133</v>
      </c>
      <c r="K699" s="912"/>
      <c r="L699" s="912"/>
      <c r="M699" s="938"/>
      <c r="N699" s="912">
        <v>1</v>
      </c>
      <c r="O699" s="912">
        <v>5</v>
      </c>
      <c r="P699" s="938">
        <f t="shared" si="30"/>
        <v>16720</v>
      </c>
    </row>
    <row r="700" spans="1:16" x14ac:dyDescent="0.2">
      <c r="A700" s="937" t="s">
        <v>2126</v>
      </c>
      <c r="B700" s="912" t="s">
        <v>875</v>
      </c>
      <c r="C700" s="912" t="s">
        <v>80</v>
      </c>
      <c r="D700" s="912" t="s">
        <v>2127</v>
      </c>
      <c r="E700" s="938">
        <v>2041</v>
      </c>
      <c r="F700" s="926">
        <v>40638317</v>
      </c>
      <c r="G700" s="926" t="s">
        <v>2471</v>
      </c>
      <c r="H700" s="926" t="s">
        <v>1028</v>
      </c>
      <c r="I700" s="939" t="s">
        <v>2133</v>
      </c>
      <c r="J700" s="939" t="s">
        <v>2133</v>
      </c>
      <c r="K700" s="912"/>
      <c r="L700" s="912"/>
      <c r="M700" s="938"/>
      <c r="N700" s="912">
        <v>1</v>
      </c>
      <c r="O700" s="912">
        <v>5</v>
      </c>
      <c r="P700" s="938">
        <f t="shared" si="30"/>
        <v>10205</v>
      </c>
    </row>
    <row r="701" spans="1:16" x14ac:dyDescent="0.2">
      <c r="A701" s="937" t="s">
        <v>2126</v>
      </c>
      <c r="B701" s="912" t="s">
        <v>875</v>
      </c>
      <c r="C701" s="912" t="s">
        <v>80</v>
      </c>
      <c r="D701" s="912" t="s">
        <v>2127</v>
      </c>
      <c r="E701" s="938">
        <v>2041</v>
      </c>
      <c r="F701" s="926">
        <v>44648940</v>
      </c>
      <c r="G701" s="926" t="s">
        <v>2472</v>
      </c>
      <c r="H701" s="926" t="s">
        <v>1028</v>
      </c>
      <c r="I701" s="939" t="s">
        <v>2133</v>
      </c>
      <c r="J701" s="939" t="s">
        <v>2133</v>
      </c>
      <c r="K701" s="912"/>
      <c r="L701" s="912"/>
      <c r="M701" s="938"/>
      <c r="N701" s="912">
        <v>1</v>
      </c>
      <c r="O701" s="912">
        <v>5</v>
      </c>
      <c r="P701" s="938">
        <f t="shared" si="30"/>
        <v>10205</v>
      </c>
    </row>
    <row r="702" spans="1:16" x14ac:dyDescent="0.2">
      <c r="A702" s="937" t="s">
        <v>2126</v>
      </c>
      <c r="B702" s="912" t="s">
        <v>875</v>
      </c>
      <c r="C702" s="912" t="s">
        <v>80</v>
      </c>
      <c r="D702" s="912" t="s">
        <v>2127</v>
      </c>
      <c r="E702" s="938">
        <v>5532</v>
      </c>
      <c r="F702" s="926">
        <v>44043506</v>
      </c>
      <c r="G702" s="926" t="s">
        <v>2473</v>
      </c>
      <c r="H702" s="926" t="s">
        <v>1175</v>
      </c>
      <c r="I702" s="939" t="s">
        <v>2133</v>
      </c>
      <c r="J702" s="939" t="s">
        <v>2133</v>
      </c>
      <c r="K702" s="912"/>
      <c r="L702" s="912"/>
      <c r="M702" s="938"/>
      <c r="N702" s="912">
        <v>1</v>
      </c>
      <c r="O702" s="912">
        <v>5</v>
      </c>
      <c r="P702" s="938">
        <f t="shared" si="30"/>
        <v>27660</v>
      </c>
    </row>
    <row r="703" spans="1:16" x14ac:dyDescent="0.2">
      <c r="A703" s="937" t="s">
        <v>2126</v>
      </c>
      <c r="B703" s="912" t="s">
        <v>875</v>
      </c>
      <c r="C703" s="912" t="s">
        <v>80</v>
      </c>
      <c r="D703" s="912" t="s">
        <v>2127</v>
      </c>
      <c r="E703" s="938">
        <v>3344</v>
      </c>
      <c r="F703" s="926">
        <v>47515796</v>
      </c>
      <c r="G703" s="926" t="s">
        <v>2474</v>
      </c>
      <c r="H703" s="926" t="s">
        <v>1594</v>
      </c>
      <c r="I703" s="939" t="s">
        <v>2133</v>
      </c>
      <c r="J703" s="939" t="s">
        <v>2133</v>
      </c>
      <c r="K703" s="912"/>
      <c r="L703" s="912"/>
      <c r="M703" s="938"/>
      <c r="N703" s="912">
        <v>1</v>
      </c>
      <c r="O703" s="912">
        <v>5</v>
      </c>
      <c r="P703" s="938">
        <f t="shared" si="30"/>
        <v>16720</v>
      </c>
    </row>
    <row r="704" spans="1:16" x14ac:dyDescent="0.2">
      <c r="A704" s="937" t="s">
        <v>2126</v>
      </c>
      <c r="B704" s="912" t="s">
        <v>875</v>
      </c>
      <c r="C704" s="912" t="s">
        <v>80</v>
      </c>
      <c r="D704" s="912" t="s">
        <v>2127</v>
      </c>
      <c r="E704" s="938">
        <v>2041</v>
      </c>
      <c r="F704" s="926">
        <v>40087715</v>
      </c>
      <c r="G704" s="926" t="s">
        <v>2475</v>
      </c>
      <c r="H704" s="926" t="s">
        <v>1028</v>
      </c>
      <c r="I704" s="939" t="s">
        <v>2133</v>
      </c>
      <c r="J704" s="939" t="s">
        <v>2133</v>
      </c>
      <c r="K704" s="912"/>
      <c r="L704" s="912"/>
      <c r="M704" s="938"/>
      <c r="N704" s="912">
        <v>1</v>
      </c>
      <c r="O704" s="912">
        <v>2</v>
      </c>
      <c r="P704" s="938">
        <f t="shared" si="30"/>
        <v>4082</v>
      </c>
    </row>
    <row r="705" spans="1:16" x14ac:dyDescent="0.2">
      <c r="A705" s="937" t="s">
        <v>2126</v>
      </c>
      <c r="B705" s="912" t="s">
        <v>875</v>
      </c>
      <c r="C705" s="912" t="s">
        <v>80</v>
      </c>
      <c r="D705" s="912" t="s">
        <v>2127</v>
      </c>
      <c r="E705" s="938">
        <v>3344</v>
      </c>
      <c r="F705" s="926">
        <v>41547529</v>
      </c>
      <c r="G705" s="926" t="s">
        <v>2476</v>
      </c>
      <c r="H705" s="926" t="s">
        <v>1594</v>
      </c>
      <c r="I705" s="939" t="s">
        <v>2133</v>
      </c>
      <c r="J705" s="939" t="s">
        <v>2133</v>
      </c>
      <c r="K705" s="912"/>
      <c r="L705" s="912"/>
      <c r="M705" s="938"/>
      <c r="N705" s="912">
        <v>1</v>
      </c>
      <c r="O705" s="912">
        <v>5</v>
      </c>
      <c r="P705" s="938">
        <f t="shared" si="30"/>
        <v>16720</v>
      </c>
    </row>
    <row r="706" spans="1:16" x14ac:dyDescent="0.2">
      <c r="A706" s="937" t="s">
        <v>2126</v>
      </c>
      <c r="B706" s="912" t="s">
        <v>875</v>
      </c>
      <c r="C706" s="912" t="s">
        <v>80</v>
      </c>
      <c r="D706" s="912" t="s">
        <v>2127</v>
      </c>
      <c r="E706" s="938">
        <v>5532</v>
      </c>
      <c r="F706" s="926">
        <v>45214842</v>
      </c>
      <c r="G706" s="926" t="s">
        <v>2477</v>
      </c>
      <c r="H706" s="926" t="s">
        <v>1175</v>
      </c>
      <c r="I706" s="939" t="s">
        <v>2133</v>
      </c>
      <c r="J706" s="939" t="s">
        <v>2133</v>
      </c>
      <c r="K706" s="912"/>
      <c r="L706" s="912"/>
      <c r="M706" s="938"/>
      <c r="N706" s="912">
        <v>1</v>
      </c>
      <c r="O706" s="912">
        <v>5</v>
      </c>
      <c r="P706" s="938">
        <f t="shared" si="30"/>
        <v>27660</v>
      </c>
    </row>
    <row r="707" spans="1:16" x14ac:dyDescent="0.2">
      <c r="A707" s="937" t="s">
        <v>2126</v>
      </c>
      <c r="B707" s="912" t="s">
        <v>875</v>
      </c>
      <c r="C707" s="912" t="s">
        <v>80</v>
      </c>
      <c r="D707" s="912" t="s">
        <v>2127</v>
      </c>
      <c r="E707" s="938">
        <v>5532</v>
      </c>
      <c r="F707" s="926">
        <v>43300694</v>
      </c>
      <c r="G707" s="926" t="s">
        <v>2478</v>
      </c>
      <c r="H707" s="926" t="s">
        <v>1175</v>
      </c>
      <c r="I707" s="939" t="s">
        <v>2133</v>
      </c>
      <c r="J707" s="939" t="s">
        <v>2133</v>
      </c>
      <c r="K707" s="912"/>
      <c r="L707" s="912"/>
      <c r="M707" s="938"/>
      <c r="N707" s="912">
        <v>1</v>
      </c>
      <c r="O707" s="912">
        <v>5</v>
      </c>
      <c r="P707" s="938">
        <f t="shared" si="30"/>
        <v>27660</v>
      </c>
    </row>
    <row r="708" spans="1:16" x14ac:dyDescent="0.2">
      <c r="A708" s="937" t="s">
        <v>2126</v>
      </c>
      <c r="B708" s="912" t="s">
        <v>875</v>
      </c>
      <c r="C708" s="912" t="s">
        <v>80</v>
      </c>
      <c r="D708" s="912" t="s">
        <v>2127</v>
      </c>
      <c r="E708" s="938">
        <v>5532</v>
      </c>
      <c r="F708" s="926">
        <v>72552321</v>
      </c>
      <c r="G708" s="926" t="s">
        <v>2479</v>
      </c>
      <c r="H708" s="926" t="s">
        <v>1175</v>
      </c>
      <c r="I708" s="939" t="s">
        <v>2133</v>
      </c>
      <c r="J708" s="939" t="s">
        <v>2133</v>
      </c>
      <c r="K708" s="912"/>
      <c r="L708" s="912"/>
      <c r="M708" s="938"/>
      <c r="N708" s="912">
        <v>1</v>
      </c>
      <c r="O708" s="912">
        <v>5</v>
      </c>
      <c r="P708" s="938">
        <f t="shared" si="30"/>
        <v>27660</v>
      </c>
    </row>
    <row r="709" spans="1:16" x14ac:dyDescent="0.2">
      <c r="A709" s="937" t="s">
        <v>2126</v>
      </c>
      <c r="B709" s="912" t="s">
        <v>875</v>
      </c>
      <c r="C709" s="912" t="s">
        <v>80</v>
      </c>
      <c r="D709" s="912" t="s">
        <v>2127</v>
      </c>
      <c r="E709" s="938">
        <v>5532</v>
      </c>
      <c r="F709" s="926">
        <v>45729369</v>
      </c>
      <c r="G709" s="926" t="s">
        <v>2480</v>
      </c>
      <c r="H709" s="926" t="s">
        <v>1175</v>
      </c>
      <c r="I709" s="939" t="s">
        <v>2133</v>
      </c>
      <c r="J709" s="939" t="s">
        <v>2133</v>
      </c>
      <c r="K709" s="912"/>
      <c r="L709" s="912"/>
      <c r="M709" s="938"/>
      <c r="N709" s="912">
        <v>1</v>
      </c>
      <c r="O709" s="912">
        <v>5</v>
      </c>
      <c r="P709" s="938">
        <f t="shared" si="30"/>
        <v>27660</v>
      </c>
    </row>
    <row r="710" spans="1:16" x14ac:dyDescent="0.2">
      <c r="A710" s="937" t="s">
        <v>2126</v>
      </c>
      <c r="B710" s="912" t="s">
        <v>875</v>
      </c>
      <c r="C710" s="912" t="s">
        <v>80</v>
      </c>
      <c r="D710" s="912" t="s">
        <v>2127</v>
      </c>
      <c r="E710" s="938">
        <v>2041</v>
      </c>
      <c r="F710" s="926">
        <v>46375247</v>
      </c>
      <c r="G710" s="926" t="s">
        <v>2481</v>
      </c>
      <c r="H710" s="926" t="s">
        <v>1028</v>
      </c>
      <c r="I710" s="939" t="s">
        <v>2133</v>
      </c>
      <c r="J710" s="939" t="s">
        <v>2133</v>
      </c>
      <c r="K710" s="912"/>
      <c r="L710" s="912"/>
      <c r="M710" s="938"/>
      <c r="N710" s="912">
        <v>1</v>
      </c>
      <c r="O710" s="912">
        <v>5</v>
      </c>
      <c r="P710" s="938">
        <f t="shared" si="30"/>
        <v>10205</v>
      </c>
    </row>
    <row r="711" spans="1:16" x14ac:dyDescent="0.2">
      <c r="A711" s="937" t="s">
        <v>2126</v>
      </c>
      <c r="B711" s="912" t="s">
        <v>875</v>
      </c>
      <c r="C711" s="912" t="s">
        <v>80</v>
      </c>
      <c r="D711" s="912" t="s">
        <v>2127</v>
      </c>
      <c r="E711" s="938">
        <v>2041</v>
      </c>
      <c r="F711" s="926">
        <v>70901179</v>
      </c>
      <c r="G711" s="926" t="s">
        <v>2482</v>
      </c>
      <c r="H711" s="926" t="s">
        <v>1028</v>
      </c>
      <c r="I711" s="939" t="s">
        <v>2133</v>
      </c>
      <c r="J711" s="939" t="s">
        <v>2133</v>
      </c>
      <c r="K711" s="912"/>
      <c r="L711" s="912"/>
      <c r="M711" s="938"/>
      <c r="N711" s="912">
        <v>1</v>
      </c>
      <c r="O711" s="912">
        <v>5</v>
      </c>
      <c r="P711" s="938">
        <f t="shared" si="30"/>
        <v>10205</v>
      </c>
    </row>
    <row r="712" spans="1:16" x14ac:dyDescent="0.2">
      <c r="A712" s="937" t="s">
        <v>2126</v>
      </c>
      <c r="B712" s="912" t="s">
        <v>875</v>
      </c>
      <c r="C712" s="912" t="s">
        <v>80</v>
      </c>
      <c r="D712" s="912" t="s">
        <v>2127</v>
      </c>
      <c r="E712" s="938">
        <v>8000</v>
      </c>
      <c r="F712" s="926">
        <v>40723195</v>
      </c>
      <c r="G712" s="926" t="s">
        <v>2483</v>
      </c>
      <c r="H712" s="926" t="s">
        <v>1175</v>
      </c>
      <c r="I712" s="939" t="s">
        <v>2133</v>
      </c>
      <c r="J712" s="939" t="s">
        <v>2133</v>
      </c>
      <c r="K712" s="912"/>
      <c r="L712" s="912"/>
      <c r="M712" s="938"/>
      <c r="N712" s="912">
        <v>1</v>
      </c>
      <c r="O712" s="912">
        <v>5</v>
      </c>
      <c r="P712" s="938">
        <f t="shared" si="30"/>
        <v>40000</v>
      </c>
    </row>
    <row r="713" spans="1:16" x14ac:dyDescent="0.2">
      <c r="A713" s="937" t="s">
        <v>2126</v>
      </c>
      <c r="B713" s="912" t="s">
        <v>875</v>
      </c>
      <c r="C713" s="912" t="s">
        <v>80</v>
      </c>
      <c r="D713" s="912" t="s">
        <v>2127</v>
      </c>
      <c r="E713" s="938">
        <v>5532</v>
      </c>
      <c r="F713" s="926">
        <v>77147996</v>
      </c>
      <c r="G713" s="926" t="s">
        <v>2484</v>
      </c>
      <c r="H713" s="926" t="s">
        <v>1175</v>
      </c>
      <c r="I713" s="939" t="s">
        <v>2133</v>
      </c>
      <c r="J713" s="939" t="s">
        <v>2133</v>
      </c>
      <c r="K713" s="912"/>
      <c r="L713" s="912"/>
      <c r="M713" s="938"/>
      <c r="N713" s="912">
        <v>1</v>
      </c>
      <c r="O713" s="912">
        <v>5</v>
      </c>
      <c r="P713" s="938">
        <f t="shared" si="30"/>
        <v>27660</v>
      </c>
    </row>
    <row r="714" spans="1:16" x14ac:dyDescent="0.2">
      <c r="A714" s="937" t="s">
        <v>2126</v>
      </c>
      <c r="B714" s="912" t="s">
        <v>875</v>
      </c>
      <c r="C714" s="912" t="s">
        <v>80</v>
      </c>
      <c r="D714" s="912" t="s">
        <v>2127</v>
      </c>
      <c r="E714" s="938">
        <v>3344</v>
      </c>
      <c r="F714" s="926">
        <v>44588896</v>
      </c>
      <c r="G714" s="926" t="s">
        <v>2485</v>
      </c>
      <c r="H714" s="926" t="s">
        <v>1594</v>
      </c>
      <c r="I714" s="939" t="s">
        <v>2133</v>
      </c>
      <c r="J714" s="939" t="s">
        <v>2133</v>
      </c>
      <c r="K714" s="912"/>
      <c r="L714" s="912"/>
      <c r="M714" s="938"/>
      <c r="N714" s="912">
        <v>1</v>
      </c>
      <c r="O714" s="912">
        <v>5</v>
      </c>
      <c r="P714" s="938">
        <f t="shared" si="30"/>
        <v>16720</v>
      </c>
    </row>
    <row r="715" spans="1:16" x14ac:dyDescent="0.2">
      <c r="A715" s="937" t="s">
        <v>2126</v>
      </c>
      <c r="B715" s="912" t="s">
        <v>875</v>
      </c>
      <c r="C715" s="912" t="s">
        <v>80</v>
      </c>
      <c r="D715" s="912" t="s">
        <v>2127</v>
      </c>
      <c r="E715" s="938">
        <v>3344</v>
      </c>
      <c r="F715" s="926">
        <v>10835341</v>
      </c>
      <c r="G715" s="926" t="s">
        <v>2486</v>
      </c>
      <c r="H715" s="926" t="s">
        <v>2259</v>
      </c>
      <c r="I715" s="939" t="s">
        <v>2133</v>
      </c>
      <c r="J715" s="939" t="s">
        <v>2133</v>
      </c>
      <c r="K715" s="912"/>
      <c r="L715" s="912"/>
      <c r="M715" s="938"/>
      <c r="N715" s="912">
        <v>1</v>
      </c>
      <c r="O715" s="912">
        <v>3</v>
      </c>
      <c r="P715" s="938">
        <f t="shared" si="30"/>
        <v>10032</v>
      </c>
    </row>
    <row r="716" spans="1:16" x14ac:dyDescent="0.2">
      <c r="A716" s="937" t="s">
        <v>2126</v>
      </c>
      <c r="B716" s="912" t="s">
        <v>875</v>
      </c>
      <c r="C716" s="912" t="s">
        <v>80</v>
      </c>
      <c r="D716" s="912" t="s">
        <v>2127</v>
      </c>
      <c r="E716" s="938">
        <v>3344</v>
      </c>
      <c r="F716" s="926">
        <v>42161283</v>
      </c>
      <c r="G716" s="926" t="s">
        <v>2487</v>
      </c>
      <c r="H716" s="926" t="s">
        <v>1594</v>
      </c>
      <c r="I716" s="939" t="s">
        <v>2133</v>
      </c>
      <c r="J716" s="939" t="s">
        <v>2133</v>
      </c>
      <c r="K716" s="912"/>
      <c r="L716" s="912"/>
      <c r="M716" s="938"/>
      <c r="N716" s="912">
        <v>1</v>
      </c>
      <c r="O716" s="912">
        <v>5</v>
      </c>
      <c r="P716" s="938">
        <f t="shared" si="30"/>
        <v>16720</v>
      </c>
    </row>
    <row r="717" spans="1:16" x14ac:dyDescent="0.2">
      <c r="A717" s="937" t="s">
        <v>2126</v>
      </c>
      <c r="B717" s="912" t="s">
        <v>875</v>
      </c>
      <c r="C717" s="912" t="s">
        <v>80</v>
      </c>
      <c r="D717" s="912" t="s">
        <v>2127</v>
      </c>
      <c r="E717" s="938">
        <v>5532</v>
      </c>
      <c r="F717" s="926">
        <v>42301707</v>
      </c>
      <c r="G717" s="926" t="s">
        <v>2488</v>
      </c>
      <c r="H717" s="926" t="s">
        <v>1175</v>
      </c>
      <c r="I717" s="939" t="s">
        <v>2133</v>
      </c>
      <c r="J717" s="939" t="s">
        <v>2133</v>
      </c>
      <c r="K717" s="912"/>
      <c r="L717" s="912"/>
      <c r="M717" s="938"/>
      <c r="N717" s="912">
        <v>1</v>
      </c>
      <c r="O717" s="912">
        <v>5</v>
      </c>
      <c r="P717" s="938">
        <f t="shared" si="30"/>
        <v>27660</v>
      </c>
    </row>
    <row r="718" spans="1:16" x14ac:dyDescent="0.2">
      <c r="A718" s="937" t="s">
        <v>2126</v>
      </c>
      <c r="B718" s="912" t="s">
        <v>875</v>
      </c>
      <c r="C718" s="912" t="s">
        <v>80</v>
      </c>
      <c r="D718" s="912" t="s">
        <v>2127</v>
      </c>
      <c r="E718" s="938">
        <v>5532</v>
      </c>
      <c r="F718" s="926">
        <v>29427770</v>
      </c>
      <c r="G718" s="926" t="s">
        <v>2489</v>
      </c>
      <c r="H718" s="926" t="s">
        <v>1175</v>
      </c>
      <c r="I718" s="939" t="s">
        <v>2133</v>
      </c>
      <c r="J718" s="939" t="s">
        <v>2133</v>
      </c>
      <c r="K718" s="912"/>
      <c r="L718" s="912"/>
      <c r="M718" s="938"/>
      <c r="N718" s="912">
        <v>1</v>
      </c>
      <c r="O718" s="912">
        <v>5</v>
      </c>
      <c r="P718" s="938">
        <f t="shared" si="30"/>
        <v>27660</v>
      </c>
    </row>
    <row r="719" spans="1:16" x14ac:dyDescent="0.2">
      <c r="A719" s="937" t="s">
        <v>2126</v>
      </c>
      <c r="B719" s="912" t="s">
        <v>875</v>
      </c>
      <c r="C719" s="912" t="s">
        <v>80</v>
      </c>
      <c r="D719" s="912" t="s">
        <v>2127</v>
      </c>
      <c r="E719" s="938">
        <v>5532</v>
      </c>
      <c r="F719" s="926">
        <v>45506822</v>
      </c>
      <c r="G719" s="926" t="s">
        <v>2490</v>
      </c>
      <c r="H719" s="926" t="s">
        <v>1175</v>
      </c>
      <c r="I719" s="939" t="s">
        <v>2133</v>
      </c>
      <c r="J719" s="939" t="s">
        <v>2133</v>
      </c>
      <c r="K719" s="912"/>
      <c r="L719" s="912"/>
      <c r="M719" s="938"/>
      <c r="N719" s="912">
        <v>1</v>
      </c>
      <c r="O719" s="912">
        <v>5</v>
      </c>
      <c r="P719" s="938">
        <f t="shared" si="30"/>
        <v>27660</v>
      </c>
    </row>
    <row r="720" spans="1:16" x14ac:dyDescent="0.2">
      <c r="A720" s="937" t="s">
        <v>2126</v>
      </c>
      <c r="B720" s="912" t="s">
        <v>875</v>
      </c>
      <c r="C720" s="912" t="s">
        <v>80</v>
      </c>
      <c r="D720" s="912" t="s">
        <v>2127</v>
      </c>
      <c r="E720" s="938">
        <v>3344</v>
      </c>
      <c r="F720" s="926">
        <v>45674102</v>
      </c>
      <c r="G720" s="926" t="s">
        <v>2491</v>
      </c>
      <c r="H720" s="926" t="s">
        <v>1594</v>
      </c>
      <c r="I720" s="939" t="s">
        <v>2133</v>
      </c>
      <c r="J720" s="939" t="s">
        <v>2133</v>
      </c>
      <c r="K720" s="912"/>
      <c r="L720" s="912"/>
      <c r="M720" s="938"/>
      <c r="N720" s="912">
        <v>1</v>
      </c>
      <c r="O720" s="912">
        <v>5</v>
      </c>
      <c r="P720" s="938">
        <f t="shared" si="30"/>
        <v>16720</v>
      </c>
    </row>
    <row r="721" spans="1:16" x14ac:dyDescent="0.2">
      <c r="A721" s="937" t="s">
        <v>2126</v>
      </c>
      <c r="B721" s="912" t="s">
        <v>875</v>
      </c>
      <c r="C721" s="912" t="s">
        <v>80</v>
      </c>
      <c r="D721" s="912" t="s">
        <v>2127</v>
      </c>
      <c r="E721" s="938">
        <v>3344</v>
      </c>
      <c r="F721" s="926">
        <v>40373711</v>
      </c>
      <c r="G721" s="926" t="s">
        <v>2492</v>
      </c>
      <c r="H721" s="926" t="s">
        <v>1594</v>
      </c>
      <c r="I721" s="939" t="s">
        <v>2133</v>
      </c>
      <c r="J721" s="939" t="s">
        <v>2133</v>
      </c>
      <c r="K721" s="912"/>
      <c r="L721" s="912"/>
      <c r="M721" s="938"/>
      <c r="N721" s="912">
        <v>1</v>
      </c>
      <c r="O721" s="912">
        <v>5</v>
      </c>
      <c r="P721" s="938">
        <f t="shared" si="30"/>
        <v>16720</v>
      </c>
    </row>
    <row r="722" spans="1:16" x14ac:dyDescent="0.2">
      <c r="A722" s="937" t="s">
        <v>2126</v>
      </c>
      <c r="B722" s="912" t="s">
        <v>875</v>
      </c>
      <c r="C722" s="912" t="s">
        <v>80</v>
      </c>
      <c r="D722" s="912" t="s">
        <v>2127</v>
      </c>
      <c r="E722" s="938">
        <v>3344</v>
      </c>
      <c r="F722" s="926">
        <v>45990692</v>
      </c>
      <c r="G722" s="926" t="s">
        <v>2493</v>
      </c>
      <c r="H722" s="926" t="s">
        <v>1594</v>
      </c>
      <c r="I722" s="939" t="s">
        <v>2133</v>
      </c>
      <c r="J722" s="939" t="s">
        <v>2133</v>
      </c>
      <c r="K722" s="912"/>
      <c r="L722" s="912"/>
      <c r="M722" s="938"/>
      <c r="N722" s="912">
        <v>1</v>
      </c>
      <c r="O722" s="912">
        <v>5</v>
      </c>
      <c r="P722" s="938">
        <f t="shared" si="30"/>
        <v>16720</v>
      </c>
    </row>
    <row r="723" spans="1:16" x14ac:dyDescent="0.2">
      <c r="A723" s="937" t="s">
        <v>2126</v>
      </c>
      <c r="B723" s="912" t="s">
        <v>875</v>
      </c>
      <c r="C723" s="912" t="s">
        <v>80</v>
      </c>
      <c r="D723" s="912" t="s">
        <v>2127</v>
      </c>
      <c r="E723" s="938">
        <v>3344</v>
      </c>
      <c r="F723" s="926">
        <v>43930848</v>
      </c>
      <c r="G723" s="926" t="s">
        <v>2494</v>
      </c>
      <c r="H723" s="926" t="s">
        <v>1594</v>
      </c>
      <c r="I723" s="939" t="s">
        <v>2133</v>
      </c>
      <c r="J723" s="939" t="s">
        <v>2133</v>
      </c>
      <c r="K723" s="912"/>
      <c r="L723" s="912"/>
      <c r="M723" s="938"/>
      <c r="N723" s="912">
        <v>1</v>
      </c>
      <c r="O723" s="912">
        <v>5</v>
      </c>
      <c r="P723" s="938">
        <f t="shared" si="30"/>
        <v>16720</v>
      </c>
    </row>
    <row r="724" spans="1:16" x14ac:dyDescent="0.2">
      <c r="A724" s="937" t="s">
        <v>2126</v>
      </c>
      <c r="B724" s="912" t="s">
        <v>875</v>
      </c>
      <c r="C724" s="912" t="s">
        <v>80</v>
      </c>
      <c r="D724" s="912" t="s">
        <v>2127</v>
      </c>
      <c r="E724" s="938">
        <v>3344</v>
      </c>
      <c r="F724" s="926">
        <v>45589852</v>
      </c>
      <c r="G724" s="926" t="s">
        <v>2495</v>
      </c>
      <c r="H724" s="926" t="s">
        <v>1594</v>
      </c>
      <c r="I724" s="939" t="s">
        <v>2133</v>
      </c>
      <c r="J724" s="939" t="s">
        <v>2133</v>
      </c>
      <c r="K724" s="912"/>
      <c r="L724" s="912"/>
      <c r="M724" s="938"/>
      <c r="N724" s="912">
        <v>1</v>
      </c>
      <c r="O724" s="912">
        <v>5</v>
      </c>
      <c r="P724" s="938">
        <f t="shared" si="30"/>
        <v>16720</v>
      </c>
    </row>
    <row r="725" spans="1:16" x14ac:dyDescent="0.2">
      <c r="A725" s="937" t="s">
        <v>2126</v>
      </c>
      <c r="B725" s="912" t="s">
        <v>875</v>
      </c>
      <c r="C725" s="912" t="s">
        <v>80</v>
      </c>
      <c r="D725" s="912" t="s">
        <v>2127</v>
      </c>
      <c r="E725" s="938">
        <v>3344</v>
      </c>
      <c r="F725" s="926">
        <v>43463307</v>
      </c>
      <c r="G725" s="926" t="s">
        <v>2496</v>
      </c>
      <c r="H725" s="926" t="s">
        <v>1594</v>
      </c>
      <c r="I725" s="939" t="s">
        <v>2133</v>
      </c>
      <c r="J725" s="939" t="s">
        <v>2133</v>
      </c>
      <c r="K725" s="912"/>
      <c r="L725" s="912"/>
      <c r="M725" s="938"/>
      <c r="N725" s="912">
        <v>1</v>
      </c>
      <c r="O725" s="912">
        <v>5</v>
      </c>
      <c r="P725" s="938">
        <f t="shared" si="30"/>
        <v>16720</v>
      </c>
    </row>
    <row r="726" spans="1:16" x14ac:dyDescent="0.2">
      <c r="A726" s="937" t="s">
        <v>2126</v>
      </c>
      <c r="B726" s="912" t="s">
        <v>875</v>
      </c>
      <c r="C726" s="912" t="s">
        <v>80</v>
      </c>
      <c r="D726" s="912" t="s">
        <v>2127</v>
      </c>
      <c r="E726" s="938">
        <v>5532</v>
      </c>
      <c r="F726" s="926">
        <v>45039557</v>
      </c>
      <c r="G726" s="926" t="s">
        <v>2497</v>
      </c>
      <c r="H726" s="926" t="s">
        <v>1175</v>
      </c>
      <c r="I726" s="939" t="s">
        <v>2133</v>
      </c>
      <c r="J726" s="939" t="s">
        <v>2133</v>
      </c>
      <c r="K726" s="912"/>
      <c r="L726" s="912"/>
      <c r="M726" s="938"/>
      <c r="N726" s="912">
        <v>1</v>
      </c>
      <c r="O726" s="912">
        <v>5</v>
      </c>
      <c r="P726" s="938">
        <f t="shared" si="30"/>
        <v>27660</v>
      </c>
    </row>
    <row r="727" spans="1:16" x14ac:dyDescent="0.2">
      <c r="A727" s="937" t="s">
        <v>2126</v>
      </c>
      <c r="B727" s="912" t="s">
        <v>875</v>
      </c>
      <c r="C727" s="912" t="s">
        <v>80</v>
      </c>
      <c r="D727" s="912" t="s">
        <v>2127</v>
      </c>
      <c r="E727" s="938">
        <v>5532</v>
      </c>
      <c r="F727" s="926">
        <v>46958729</v>
      </c>
      <c r="G727" s="926" t="s">
        <v>2498</v>
      </c>
      <c r="H727" s="926" t="s">
        <v>1175</v>
      </c>
      <c r="I727" s="939" t="s">
        <v>2133</v>
      </c>
      <c r="J727" s="939" t="s">
        <v>2133</v>
      </c>
      <c r="K727" s="912"/>
      <c r="L727" s="912"/>
      <c r="M727" s="938"/>
      <c r="N727" s="912">
        <v>1</v>
      </c>
      <c r="O727" s="912">
        <v>5</v>
      </c>
      <c r="P727" s="938">
        <f t="shared" si="30"/>
        <v>27660</v>
      </c>
    </row>
    <row r="728" spans="1:16" x14ac:dyDescent="0.2">
      <c r="A728" s="937" t="s">
        <v>2126</v>
      </c>
      <c r="B728" s="912" t="s">
        <v>875</v>
      </c>
      <c r="C728" s="912" t="s">
        <v>80</v>
      </c>
      <c r="D728" s="912" t="s">
        <v>2127</v>
      </c>
      <c r="E728" s="938">
        <v>3344</v>
      </c>
      <c r="F728" s="926">
        <v>40469102</v>
      </c>
      <c r="G728" s="926" t="s">
        <v>2499</v>
      </c>
      <c r="H728" s="926" t="s">
        <v>1594</v>
      </c>
      <c r="I728" s="939" t="s">
        <v>2133</v>
      </c>
      <c r="J728" s="939" t="s">
        <v>2133</v>
      </c>
      <c r="K728" s="912"/>
      <c r="L728" s="912"/>
      <c r="M728" s="938"/>
      <c r="N728" s="912">
        <v>1</v>
      </c>
      <c r="O728" s="912">
        <v>5</v>
      </c>
      <c r="P728" s="938">
        <f t="shared" si="30"/>
        <v>16720</v>
      </c>
    </row>
    <row r="729" spans="1:16" x14ac:dyDescent="0.2">
      <c r="A729" s="937" t="s">
        <v>2126</v>
      </c>
      <c r="B729" s="912" t="s">
        <v>875</v>
      </c>
      <c r="C729" s="912" t="s">
        <v>80</v>
      </c>
      <c r="D729" s="912" t="s">
        <v>2127</v>
      </c>
      <c r="E729" s="938">
        <v>2239</v>
      </c>
      <c r="F729" s="926">
        <v>29668752</v>
      </c>
      <c r="G729" s="926" t="s">
        <v>2500</v>
      </c>
      <c r="H729" s="926" t="s">
        <v>1634</v>
      </c>
      <c r="I729" s="939" t="s">
        <v>2133</v>
      </c>
      <c r="J729" s="939" t="s">
        <v>2133</v>
      </c>
      <c r="K729" s="912"/>
      <c r="L729" s="912"/>
      <c r="M729" s="938"/>
      <c r="N729" s="912">
        <v>1</v>
      </c>
      <c r="O729" s="912">
        <v>5</v>
      </c>
      <c r="P729" s="938">
        <f t="shared" si="30"/>
        <v>11195</v>
      </c>
    </row>
    <row r="730" spans="1:16" x14ac:dyDescent="0.2">
      <c r="A730" s="937" t="s">
        <v>2126</v>
      </c>
      <c r="B730" s="912" t="s">
        <v>875</v>
      </c>
      <c r="C730" s="912" t="s">
        <v>80</v>
      </c>
      <c r="D730" s="912" t="s">
        <v>2127</v>
      </c>
      <c r="E730" s="938">
        <v>3344</v>
      </c>
      <c r="F730" s="926">
        <v>29553783</v>
      </c>
      <c r="G730" s="926" t="s">
        <v>2501</v>
      </c>
      <c r="H730" s="926" t="s">
        <v>1626</v>
      </c>
      <c r="I730" s="939" t="s">
        <v>2133</v>
      </c>
      <c r="J730" s="939" t="s">
        <v>2133</v>
      </c>
      <c r="K730" s="912"/>
      <c r="L730" s="912"/>
      <c r="M730" s="938"/>
      <c r="N730" s="912">
        <v>1</v>
      </c>
      <c r="O730" s="912">
        <v>5</v>
      </c>
      <c r="P730" s="938">
        <f t="shared" si="30"/>
        <v>16720</v>
      </c>
    </row>
    <row r="731" spans="1:16" x14ac:dyDescent="0.2">
      <c r="A731" s="937" t="s">
        <v>2126</v>
      </c>
      <c r="B731" s="912" t="s">
        <v>875</v>
      </c>
      <c r="C731" s="912" t="s">
        <v>80</v>
      </c>
      <c r="D731" s="912" t="s">
        <v>2127</v>
      </c>
      <c r="E731" s="938">
        <v>3334</v>
      </c>
      <c r="F731" s="926">
        <v>46426719</v>
      </c>
      <c r="G731" s="926" t="s">
        <v>2502</v>
      </c>
      <c r="H731" s="926" t="s">
        <v>1594</v>
      </c>
      <c r="I731" s="939" t="s">
        <v>2133</v>
      </c>
      <c r="J731" s="939" t="s">
        <v>2133</v>
      </c>
      <c r="K731" s="912"/>
      <c r="L731" s="912"/>
      <c r="M731" s="938"/>
      <c r="N731" s="912">
        <v>1</v>
      </c>
      <c r="O731" s="912">
        <v>5</v>
      </c>
      <c r="P731" s="938">
        <f t="shared" si="30"/>
        <v>16670</v>
      </c>
    </row>
    <row r="732" spans="1:16" x14ac:dyDescent="0.2">
      <c r="A732" s="937" t="s">
        <v>2126</v>
      </c>
      <c r="B732" s="912" t="s">
        <v>875</v>
      </c>
      <c r="C732" s="912" t="s">
        <v>80</v>
      </c>
      <c r="D732" s="912" t="s">
        <v>2127</v>
      </c>
      <c r="E732" s="938">
        <v>2041</v>
      </c>
      <c r="F732" s="926">
        <v>43853009</v>
      </c>
      <c r="G732" s="926" t="s">
        <v>2503</v>
      </c>
      <c r="H732" s="926" t="s">
        <v>1028</v>
      </c>
      <c r="I732" s="939" t="s">
        <v>2133</v>
      </c>
      <c r="J732" s="939" t="s">
        <v>2133</v>
      </c>
      <c r="K732" s="912"/>
      <c r="L732" s="912"/>
      <c r="M732" s="938"/>
      <c r="N732" s="912">
        <v>1</v>
      </c>
      <c r="O732" s="912">
        <v>5</v>
      </c>
      <c r="P732" s="938">
        <f t="shared" si="30"/>
        <v>10205</v>
      </c>
    </row>
    <row r="733" spans="1:16" x14ac:dyDescent="0.2">
      <c r="A733" s="937" t="s">
        <v>2126</v>
      </c>
      <c r="B733" s="912" t="s">
        <v>875</v>
      </c>
      <c r="C733" s="912" t="s">
        <v>80</v>
      </c>
      <c r="D733" s="912" t="s">
        <v>2127</v>
      </c>
      <c r="E733" s="938">
        <v>3344</v>
      </c>
      <c r="F733" s="926">
        <v>44441122</v>
      </c>
      <c r="G733" s="926" t="s">
        <v>2504</v>
      </c>
      <c r="H733" s="926" t="s">
        <v>1594</v>
      </c>
      <c r="I733" s="939" t="s">
        <v>2133</v>
      </c>
      <c r="J733" s="939" t="s">
        <v>2133</v>
      </c>
      <c r="K733" s="912"/>
      <c r="L733" s="912"/>
      <c r="M733" s="938"/>
      <c r="N733" s="912">
        <v>1</v>
      </c>
      <c r="O733" s="912">
        <v>5</v>
      </c>
      <c r="P733" s="938">
        <f t="shared" si="30"/>
        <v>16720</v>
      </c>
    </row>
    <row r="734" spans="1:16" x14ac:dyDescent="0.2">
      <c r="A734" s="937" t="s">
        <v>2126</v>
      </c>
      <c r="B734" s="912" t="s">
        <v>875</v>
      </c>
      <c r="C734" s="912" t="s">
        <v>80</v>
      </c>
      <c r="D734" s="912" t="s">
        <v>2127</v>
      </c>
      <c r="E734" s="938">
        <v>2900</v>
      </c>
      <c r="F734" s="926">
        <v>42049398</v>
      </c>
      <c r="G734" s="926" t="s">
        <v>2505</v>
      </c>
      <c r="H734" s="926" t="s">
        <v>1641</v>
      </c>
      <c r="I734" s="939" t="s">
        <v>2133</v>
      </c>
      <c r="J734" s="939" t="s">
        <v>2133</v>
      </c>
      <c r="K734" s="912"/>
      <c r="L734" s="912"/>
      <c r="M734" s="938"/>
      <c r="N734" s="912">
        <v>1</v>
      </c>
      <c r="O734" s="912">
        <v>5</v>
      </c>
      <c r="P734" s="938">
        <f t="shared" si="30"/>
        <v>14500</v>
      </c>
    </row>
    <row r="735" spans="1:16" x14ac:dyDescent="0.2">
      <c r="A735" s="937" t="s">
        <v>2126</v>
      </c>
      <c r="B735" s="912" t="s">
        <v>875</v>
      </c>
      <c r="C735" s="912" t="s">
        <v>80</v>
      </c>
      <c r="D735" s="912" t="s">
        <v>2127</v>
      </c>
      <c r="E735" s="938">
        <v>2041</v>
      </c>
      <c r="F735" s="926">
        <v>71947927</v>
      </c>
      <c r="G735" s="926" t="s">
        <v>2506</v>
      </c>
      <c r="H735" s="926" t="s">
        <v>1028</v>
      </c>
      <c r="I735" s="939" t="s">
        <v>2133</v>
      </c>
      <c r="J735" s="939" t="s">
        <v>2133</v>
      </c>
      <c r="K735" s="912"/>
      <c r="L735" s="912"/>
      <c r="M735" s="938"/>
      <c r="N735" s="912">
        <v>1</v>
      </c>
      <c r="O735" s="912">
        <v>5</v>
      </c>
      <c r="P735" s="938">
        <f t="shared" si="30"/>
        <v>10205</v>
      </c>
    </row>
    <row r="736" spans="1:16" x14ac:dyDescent="0.2">
      <c r="A736" s="937" t="s">
        <v>2126</v>
      </c>
      <c r="B736" s="912" t="s">
        <v>875</v>
      </c>
      <c r="C736" s="912" t="s">
        <v>80</v>
      </c>
      <c r="D736" s="912" t="s">
        <v>2127</v>
      </c>
      <c r="E736" s="938">
        <v>3344</v>
      </c>
      <c r="F736" s="926">
        <v>32969748</v>
      </c>
      <c r="G736" s="926" t="s">
        <v>2507</v>
      </c>
      <c r="H736" s="926" t="s">
        <v>1594</v>
      </c>
      <c r="I736" s="939" t="s">
        <v>2133</v>
      </c>
      <c r="J736" s="939" t="s">
        <v>2133</v>
      </c>
      <c r="K736" s="912"/>
      <c r="L736" s="912"/>
      <c r="M736" s="938"/>
      <c r="N736" s="912">
        <v>1</v>
      </c>
      <c r="O736" s="912">
        <v>5</v>
      </c>
      <c r="P736" s="938">
        <f t="shared" si="30"/>
        <v>16720</v>
      </c>
    </row>
    <row r="737" spans="1:16" x14ac:dyDescent="0.2">
      <c r="A737" s="937" t="s">
        <v>2126</v>
      </c>
      <c r="B737" s="912" t="s">
        <v>875</v>
      </c>
      <c r="C737" s="912" t="s">
        <v>80</v>
      </c>
      <c r="D737" s="912" t="s">
        <v>2127</v>
      </c>
      <c r="E737" s="938">
        <v>3344</v>
      </c>
      <c r="F737" s="926">
        <v>47354049</v>
      </c>
      <c r="G737" s="926" t="s">
        <v>2508</v>
      </c>
      <c r="H737" s="926" t="s">
        <v>1594</v>
      </c>
      <c r="I737" s="939" t="s">
        <v>2133</v>
      </c>
      <c r="J737" s="939" t="s">
        <v>2133</v>
      </c>
      <c r="K737" s="912"/>
      <c r="L737" s="912"/>
      <c r="M737" s="938"/>
      <c r="N737" s="912">
        <v>1</v>
      </c>
      <c r="O737" s="912">
        <v>5</v>
      </c>
      <c r="P737" s="938">
        <f t="shared" si="30"/>
        <v>16720</v>
      </c>
    </row>
    <row r="738" spans="1:16" x14ac:dyDescent="0.2">
      <c r="A738" s="937" t="s">
        <v>2126</v>
      </c>
      <c r="B738" s="912" t="s">
        <v>875</v>
      </c>
      <c r="C738" s="912" t="s">
        <v>80</v>
      </c>
      <c r="D738" s="912" t="s">
        <v>2127</v>
      </c>
      <c r="E738" s="938">
        <v>3344</v>
      </c>
      <c r="F738" s="926">
        <v>40178350</v>
      </c>
      <c r="G738" s="926" t="s">
        <v>2509</v>
      </c>
      <c r="H738" s="926" t="s">
        <v>1594</v>
      </c>
      <c r="I738" s="939" t="s">
        <v>2133</v>
      </c>
      <c r="J738" s="939" t="s">
        <v>2133</v>
      </c>
      <c r="K738" s="912"/>
      <c r="L738" s="912"/>
      <c r="M738" s="938"/>
      <c r="N738" s="912">
        <v>1</v>
      </c>
      <c r="O738" s="912">
        <v>5</v>
      </c>
      <c r="P738" s="938">
        <f t="shared" si="30"/>
        <v>16720</v>
      </c>
    </row>
    <row r="739" spans="1:16" x14ac:dyDescent="0.2">
      <c r="A739" s="937" t="s">
        <v>2126</v>
      </c>
      <c r="B739" s="912" t="s">
        <v>875</v>
      </c>
      <c r="C739" s="912" t="s">
        <v>80</v>
      </c>
      <c r="D739" s="912" t="s">
        <v>2127</v>
      </c>
      <c r="E739" s="938">
        <v>3344</v>
      </c>
      <c r="F739" s="926">
        <v>46301135</v>
      </c>
      <c r="G739" s="926" t="s">
        <v>2510</v>
      </c>
      <c r="H739" s="926" t="s">
        <v>1594</v>
      </c>
      <c r="I739" s="939" t="s">
        <v>2133</v>
      </c>
      <c r="J739" s="939" t="s">
        <v>2133</v>
      </c>
      <c r="K739" s="912"/>
      <c r="L739" s="912"/>
      <c r="M739" s="938"/>
      <c r="N739" s="912">
        <v>1</v>
      </c>
      <c r="O739" s="912">
        <v>5</v>
      </c>
      <c r="P739" s="938">
        <f t="shared" si="30"/>
        <v>16720</v>
      </c>
    </row>
    <row r="740" spans="1:16" x14ac:dyDescent="0.2">
      <c r="A740" s="937" t="s">
        <v>2126</v>
      </c>
      <c r="B740" s="912" t="s">
        <v>875</v>
      </c>
      <c r="C740" s="912" t="s">
        <v>80</v>
      </c>
      <c r="D740" s="912" t="s">
        <v>2127</v>
      </c>
      <c r="E740" s="938">
        <v>2041</v>
      </c>
      <c r="F740" s="926">
        <v>43657199</v>
      </c>
      <c r="G740" s="926" t="s">
        <v>2511</v>
      </c>
      <c r="H740" s="926" t="s">
        <v>1028</v>
      </c>
      <c r="I740" s="939" t="s">
        <v>2133</v>
      </c>
      <c r="J740" s="939" t="s">
        <v>2133</v>
      </c>
      <c r="K740" s="912"/>
      <c r="L740" s="912"/>
      <c r="M740" s="938"/>
      <c r="N740" s="912">
        <v>1</v>
      </c>
      <c r="O740" s="912">
        <v>5</v>
      </c>
      <c r="P740" s="938">
        <f t="shared" si="30"/>
        <v>10205</v>
      </c>
    </row>
    <row r="741" spans="1:16" x14ac:dyDescent="0.2">
      <c r="A741" s="937" t="s">
        <v>2126</v>
      </c>
      <c r="B741" s="912" t="s">
        <v>875</v>
      </c>
      <c r="C741" s="912" t="s">
        <v>80</v>
      </c>
      <c r="D741" s="912" t="s">
        <v>2127</v>
      </c>
      <c r="E741" s="938">
        <v>5532</v>
      </c>
      <c r="F741" s="926">
        <v>41567830</v>
      </c>
      <c r="G741" s="926" t="s">
        <v>2512</v>
      </c>
      <c r="H741" s="926" t="s">
        <v>1175</v>
      </c>
      <c r="I741" s="939" t="s">
        <v>2133</v>
      </c>
      <c r="J741" s="939" t="s">
        <v>2133</v>
      </c>
      <c r="K741" s="912"/>
      <c r="L741" s="912"/>
      <c r="M741" s="938"/>
      <c r="N741" s="912">
        <v>1</v>
      </c>
      <c r="O741" s="912">
        <v>5</v>
      </c>
      <c r="P741" s="938">
        <f t="shared" si="30"/>
        <v>27660</v>
      </c>
    </row>
    <row r="742" spans="1:16" x14ac:dyDescent="0.2">
      <c r="A742" s="937" t="s">
        <v>2126</v>
      </c>
      <c r="B742" s="912" t="s">
        <v>875</v>
      </c>
      <c r="C742" s="912" t="s">
        <v>80</v>
      </c>
      <c r="D742" s="912" t="s">
        <v>2127</v>
      </c>
      <c r="E742" s="938">
        <v>2041</v>
      </c>
      <c r="F742" s="926">
        <v>43137900</v>
      </c>
      <c r="G742" s="926" t="s">
        <v>2513</v>
      </c>
      <c r="H742" s="926" t="s">
        <v>1028</v>
      </c>
      <c r="I742" s="939" t="s">
        <v>2133</v>
      </c>
      <c r="J742" s="939" t="s">
        <v>2133</v>
      </c>
      <c r="K742" s="912"/>
      <c r="L742" s="912"/>
      <c r="M742" s="938"/>
      <c r="N742" s="912">
        <v>1</v>
      </c>
      <c r="O742" s="912">
        <v>5</v>
      </c>
      <c r="P742" s="938">
        <f t="shared" si="30"/>
        <v>10205</v>
      </c>
    </row>
    <row r="743" spans="1:16" x14ac:dyDescent="0.2">
      <c r="A743" s="937" t="s">
        <v>2126</v>
      </c>
      <c r="B743" s="912" t="s">
        <v>875</v>
      </c>
      <c r="C743" s="912" t="s">
        <v>80</v>
      </c>
      <c r="D743" s="912" t="s">
        <v>2127</v>
      </c>
      <c r="E743" s="938">
        <v>5532</v>
      </c>
      <c r="F743" s="926">
        <v>71741972</v>
      </c>
      <c r="G743" s="926" t="s">
        <v>2514</v>
      </c>
      <c r="H743" s="926" t="s">
        <v>1175</v>
      </c>
      <c r="I743" s="939" t="s">
        <v>2133</v>
      </c>
      <c r="J743" s="939" t="s">
        <v>2133</v>
      </c>
      <c r="K743" s="912"/>
      <c r="L743" s="912"/>
      <c r="M743" s="938"/>
      <c r="N743" s="912">
        <v>1</v>
      </c>
      <c r="O743" s="912">
        <v>5</v>
      </c>
      <c r="P743" s="938">
        <f t="shared" si="30"/>
        <v>27660</v>
      </c>
    </row>
    <row r="744" spans="1:16" x14ac:dyDescent="0.2">
      <c r="A744" s="937" t="s">
        <v>2126</v>
      </c>
      <c r="B744" s="912" t="s">
        <v>875</v>
      </c>
      <c r="C744" s="912" t="s">
        <v>80</v>
      </c>
      <c r="D744" s="912" t="s">
        <v>2127</v>
      </c>
      <c r="E744" s="938">
        <v>3344</v>
      </c>
      <c r="F744" s="926">
        <v>45056357</v>
      </c>
      <c r="G744" s="926" t="s">
        <v>2515</v>
      </c>
      <c r="H744" s="926" t="s">
        <v>1594</v>
      </c>
      <c r="I744" s="939" t="s">
        <v>2133</v>
      </c>
      <c r="J744" s="939" t="s">
        <v>2133</v>
      </c>
      <c r="K744" s="912"/>
      <c r="L744" s="912"/>
      <c r="M744" s="938"/>
      <c r="N744" s="912">
        <v>1</v>
      </c>
      <c r="O744" s="912">
        <v>5</v>
      </c>
      <c r="P744" s="938">
        <f t="shared" si="30"/>
        <v>16720</v>
      </c>
    </row>
    <row r="745" spans="1:16" x14ac:dyDescent="0.2">
      <c r="A745" s="937" t="s">
        <v>2126</v>
      </c>
      <c r="B745" s="912" t="s">
        <v>875</v>
      </c>
      <c r="C745" s="912" t="s">
        <v>80</v>
      </c>
      <c r="D745" s="912" t="s">
        <v>2127</v>
      </c>
      <c r="E745" s="938">
        <v>2900</v>
      </c>
      <c r="F745" s="926">
        <v>41384343</v>
      </c>
      <c r="G745" s="926" t="s">
        <v>2516</v>
      </c>
      <c r="H745" s="926" t="s">
        <v>1641</v>
      </c>
      <c r="I745" s="939" t="s">
        <v>2133</v>
      </c>
      <c r="J745" s="939" t="s">
        <v>2133</v>
      </c>
      <c r="K745" s="912"/>
      <c r="L745" s="912"/>
      <c r="M745" s="938"/>
      <c r="N745" s="912">
        <v>1</v>
      </c>
      <c r="O745" s="912">
        <v>5</v>
      </c>
      <c r="P745" s="938">
        <f t="shared" si="30"/>
        <v>14500</v>
      </c>
    </row>
    <row r="746" spans="1:16" x14ac:dyDescent="0.2">
      <c r="A746" s="937" t="s">
        <v>2126</v>
      </c>
      <c r="B746" s="912" t="s">
        <v>875</v>
      </c>
      <c r="C746" s="912" t="s">
        <v>80</v>
      </c>
      <c r="D746" s="912" t="s">
        <v>2127</v>
      </c>
      <c r="E746" s="938">
        <v>5532</v>
      </c>
      <c r="F746" s="926">
        <v>80213834</v>
      </c>
      <c r="G746" s="926" t="s">
        <v>2517</v>
      </c>
      <c r="H746" s="926" t="s">
        <v>1175</v>
      </c>
      <c r="I746" s="939" t="s">
        <v>2133</v>
      </c>
      <c r="J746" s="939" t="s">
        <v>2133</v>
      </c>
      <c r="K746" s="912"/>
      <c r="L746" s="912"/>
      <c r="M746" s="938"/>
      <c r="N746" s="912">
        <v>1</v>
      </c>
      <c r="O746" s="912">
        <v>5</v>
      </c>
      <c r="P746" s="938">
        <f t="shared" si="30"/>
        <v>27660</v>
      </c>
    </row>
    <row r="747" spans="1:16" x14ac:dyDescent="0.2">
      <c r="A747" s="937" t="s">
        <v>2126</v>
      </c>
      <c r="B747" s="912" t="s">
        <v>875</v>
      </c>
      <c r="C747" s="912" t="s">
        <v>80</v>
      </c>
      <c r="D747" s="912" t="s">
        <v>2127</v>
      </c>
      <c r="E747" s="938">
        <v>3344</v>
      </c>
      <c r="F747" s="926">
        <v>43885403</v>
      </c>
      <c r="G747" s="926" t="s">
        <v>2518</v>
      </c>
      <c r="H747" s="926" t="s">
        <v>2163</v>
      </c>
      <c r="I747" s="939" t="s">
        <v>2133</v>
      </c>
      <c r="J747" s="939" t="s">
        <v>2133</v>
      </c>
      <c r="K747" s="912"/>
      <c r="L747" s="912"/>
      <c r="M747" s="938"/>
      <c r="N747" s="912">
        <v>1</v>
      </c>
      <c r="O747" s="912">
        <v>5</v>
      </c>
      <c r="P747" s="938">
        <f t="shared" si="30"/>
        <v>16720</v>
      </c>
    </row>
    <row r="748" spans="1:16" x14ac:dyDescent="0.2">
      <c r="A748" s="937" t="s">
        <v>2126</v>
      </c>
      <c r="B748" s="912" t="s">
        <v>875</v>
      </c>
      <c r="C748" s="912" t="s">
        <v>80</v>
      </c>
      <c r="D748" s="912" t="s">
        <v>2127</v>
      </c>
      <c r="E748" s="938">
        <v>3344</v>
      </c>
      <c r="F748" s="926">
        <v>70393458</v>
      </c>
      <c r="G748" s="926" t="s">
        <v>2519</v>
      </c>
      <c r="H748" s="926" t="s">
        <v>1594</v>
      </c>
      <c r="I748" s="939" t="s">
        <v>2133</v>
      </c>
      <c r="J748" s="939" t="s">
        <v>2133</v>
      </c>
      <c r="K748" s="912"/>
      <c r="L748" s="912"/>
      <c r="M748" s="938"/>
      <c r="N748" s="912">
        <v>1</v>
      </c>
      <c r="O748" s="912">
        <v>5</v>
      </c>
      <c r="P748" s="938">
        <f t="shared" si="30"/>
        <v>16720</v>
      </c>
    </row>
    <row r="749" spans="1:16" x14ac:dyDescent="0.2">
      <c r="A749" s="937" t="s">
        <v>2126</v>
      </c>
      <c r="B749" s="912" t="s">
        <v>875</v>
      </c>
      <c r="C749" s="912" t="s">
        <v>80</v>
      </c>
      <c r="D749" s="912" t="s">
        <v>2127</v>
      </c>
      <c r="E749" s="938">
        <v>2041</v>
      </c>
      <c r="F749" s="926">
        <v>29706979</v>
      </c>
      <c r="G749" s="926" t="s">
        <v>2520</v>
      </c>
      <c r="H749" s="926" t="s">
        <v>1663</v>
      </c>
      <c r="I749" s="939" t="s">
        <v>2133</v>
      </c>
      <c r="J749" s="939" t="s">
        <v>2133</v>
      </c>
      <c r="K749" s="912"/>
      <c r="L749" s="912"/>
      <c r="M749" s="938"/>
      <c r="N749" s="912">
        <v>1</v>
      </c>
      <c r="O749" s="912">
        <v>5</v>
      </c>
      <c r="P749" s="938">
        <f t="shared" ref="P749:P812" si="31">E749*O749</f>
        <v>10205</v>
      </c>
    </row>
    <row r="750" spans="1:16" x14ac:dyDescent="0.2">
      <c r="A750" s="937" t="s">
        <v>2126</v>
      </c>
      <c r="B750" s="912" t="s">
        <v>875</v>
      </c>
      <c r="C750" s="912" t="s">
        <v>80</v>
      </c>
      <c r="D750" s="912" t="s">
        <v>2127</v>
      </c>
      <c r="E750" s="938">
        <v>3344</v>
      </c>
      <c r="F750" s="926">
        <v>29649485</v>
      </c>
      <c r="G750" s="926" t="s">
        <v>2521</v>
      </c>
      <c r="H750" s="926" t="s">
        <v>1594</v>
      </c>
      <c r="I750" s="939" t="s">
        <v>2133</v>
      </c>
      <c r="J750" s="939" t="s">
        <v>2133</v>
      </c>
      <c r="K750" s="912"/>
      <c r="L750" s="912"/>
      <c r="M750" s="938"/>
      <c r="N750" s="912">
        <v>1</v>
      </c>
      <c r="O750" s="912">
        <v>5</v>
      </c>
      <c r="P750" s="938">
        <f t="shared" si="31"/>
        <v>16720</v>
      </c>
    </row>
    <row r="751" spans="1:16" x14ac:dyDescent="0.2">
      <c r="A751" s="937" t="s">
        <v>2126</v>
      </c>
      <c r="B751" s="912" t="s">
        <v>875</v>
      </c>
      <c r="C751" s="912" t="s">
        <v>80</v>
      </c>
      <c r="D751" s="912" t="s">
        <v>2127</v>
      </c>
      <c r="E751" s="938">
        <v>3344</v>
      </c>
      <c r="F751" s="926">
        <v>45103867</v>
      </c>
      <c r="G751" s="926" t="s">
        <v>2522</v>
      </c>
      <c r="H751" s="926" t="s">
        <v>1594</v>
      </c>
      <c r="I751" s="939" t="s">
        <v>2133</v>
      </c>
      <c r="J751" s="939" t="s">
        <v>2133</v>
      </c>
      <c r="K751" s="912"/>
      <c r="L751" s="912"/>
      <c r="M751" s="938"/>
      <c r="N751" s="912">
        <v>1</v>
      </c>
      <c r="O751" s="912">
        <v>5</v>
      </c>
      <c r="P751" s="938">
        <f t="shared" si="31"/>
        <v>16720</v>
      </c>
    </row>
    <row r="752" spans="1:16" x14ac:dyDescent="0.2">
      <c r="A752" s="937" t="s">
        <v>2126</v>
      </c>
      <c r="B752" s="912" t="s">
        <v>875</v>
      </c>
      <c r="C752" s="912" t="s">
        <v>80</v>
      </c>
      <c r="D752" s="912" t="s">
        <v>2127</v>
      </c>
      <c r="E752" s="938">
        <v>5532</v>
      </c>
      <c r="F752" s="926">
        <v>42341932</v>
      </c>
      <c r="G752" s="926" t="s">
        <v>2523</v>
      </c>
      <c r="H752" s="926" t="s">
        <v>1175</v>
      </c>
      <c r="I752" s="939" t="s">
        <v>2133</v>
      </c>
      <c r="J752" s="939" t="s">
        <v>2133</v>
      </c>
      <c r="K752" s="912"/>
      <c r="L752" s="912"/>
      <c r="M752" s="938"/>
      <c r="N752" s="912">
        <v>1</v>
      </c>
      <c r="O752" s="912">
        <v>3</v>
      </c>
      <c r="P752" s="938">
        <f t="shared" si="31"/>
        <v>16596</v>
      </c>
    </row>
    <row r="753" spans="1:16" x14ac:dyDescent="0.2">
      <c r="A753" s="937" t="s">
        <v>2126</v>
      </c>
      <c r="B753" s="912" t="s">
        <v>875</v>
      </c>
      <c r="C753" s="912" t="s">
        <v>80</v>
      </c>
      <c r="D753" s="912" t="s">
        <v>2127</v>
      </c>
      <c r="E753" s="938">
        <v>5532</v>
      </c>
      <c r="F753" s="926">
        <v>43495787</v>
      </c>
      <c r="G753" s="926" t="s">
        <v>2524</v>
      </c>
      <c r="H753" s="926" t="s">
        <v>1175</v>
      </c>
      <c r="I753" s="939" t="s">
        <v>2133</v>
      </c>
      <c r="J753" s="939" t="s">
        <v>2133</v>
      </c>
      <c r="K753" s="912"/>
      <c r="L753" s="912"/>
      <c r="M753" s="938"/>
      <c r="N753" s="912">
        <v>1</v>
      </c>
      <c r="O753" s="912">
        <v>5</v>
      </c>
      <c r="P753" s="938">
        <f t="shared" si="31"/>
        <v>27660</v>
      </c>
    </row>
    <row r="754" spans="1:16" x14ac:dyDescent="0.2">
      <c r="A754" s="937" t="s">
        <v>2126</v>
      </c>
      <c r="B754" s="912" t="s">
        <v>875</v>
      </c>
      <c r="C754" s="912" t="s">
        <v>80</v>
      </c>
      <c r="D754" s="912" t="s">
        <v>2127</v>
      </c>
      <c r="E754" s="938">
        <v>3344</v>
      </c>
      <c r="F754" s="926">
        <v>40427399</v>
      </c>
      <c r="G754" s="926" t="s">
        <v>2525</v>
      </c>
      <c r="H754" s="926" t="s">
        <v>1594</v>
      </c>
      <c r="I754" s="939" t="s">
        <v>2133</v>
      </c>
      <c r="J754" s="939" t="s">
        <v>2133</v>
      </c>
      <c r="K754" s="912"/>
      <c r="L754" s="912"/>
      <c r="M754" s="938"/>
      <c r="N754" s="912">
        <v>1</v>
      </c>
      <c r="O754" s="912">
        <v>5</v>
      </c>
      <c r="P754" s="938">
        <f t="shared" si="31"/>
        <v>16720</v>
      </c>
    </row>
    <row r="755" spans="1:16" x14ac:dyDescent="0.2">
      <c r="A755" s="937" t="s">
        <v>2126</v>
      </c>
      <c r="B755" s="912" t="s">
        <v>875</v>
      </c>
      <c r="C755" s="912" t="s">
        <v>80</v>
      </c>
      <c r="D755" s="912" t="s">
        <v>2127</v>
      </c>
      <c r="E755" s="938">
        <v>3344</v>
      </c>
      <c r="F755" s="926">
        <v>72239499</v>
      </c>
      <c r="G755" s="926" t="s">
        <v>2526</v>
      </c>
      <c r="H755" s="926" t="s">
        <v>1594</v>
      </c>
      <c r="I755" s="939" t="s">
        <v>2133</v>
      </c>
      <c r="J755" s="939" t="s">
        <v>2133</v>
      </c>
      <c r="K755" s="912"/>
      <c r="L755" s="912"/>
      <c r="M755" s="938"/>
      <c r="N755" s="912">
        <v>1</v>
      </c>
      <c r="O755" s="912">
        <v>5</v>
      </c>
      <c r="P755" s="938">
        <f t="shared" si="31"/>
        <v>16720</v>
      </c>
    </row>
    <row r="756" spans="1:16" x14ac:dyDescent="0.2">
      <c r="A756" s="937" t="s">
        <v>2126</v>
      </c>
      <c r="B756" s="912" t="s">
        <v>875</v>
      </c>
      <c r="C756" s="912" t="s">
        <v>80</v>
      </c>
      <c r="D756" s="912" t="s">
        <v>2127</v>
      </c>
      <c r="E756" s="938">
        <v>5532</v>
      </c>
      <c r="F756" s="926">
        <v>70365448</v>
      </c>
      <c r="G756" s="926" t="s">
        <v>2527</v>
      </c>
      <c r="H756" s="926" t="s">
        <v>1175</v>
      </c>
      <c r="I756" s="939" t="s">
        <v>2133</v>
      </c>
      <c r="J756" s="939" t="s">
        <v>2133</v>
      </c>
      <c r="K756" s="912"/>
      <c r="L756" s="912"/>
      <c r="M756" s="938"/>
      <c r="N756" s="912">
        <v>1</v>
      </c>
      <c r="O756" s="912">
        <v>5</v>
      </c>
      <c r="P756" s="938">
        <f t="shared" si="31"/>
        <v>27660</v>
      </c>
    </row>
    <row r="757" spans="1:16" x14ac:dyDescent="0.2">
      <c r="A757" s="937" t="s">
        <v>2126</v>
      </c>
      <c r="B757" s="912" t="s">
        <v>875</v>
      </c>
      <c r="C757" s="912" t="s">
        <v>80</v>
      </c>
      <c r="D757" s="912" t="s">
        <v>2127</v>
      </c>
      <c r="E757" s="938">
        <v>3344</v>
      </c>
      <c r="F757" s="926">
        <v>29711765</v>
      </c>
      <c r="G757" s="926" t="s">
        <v>2528</v>
      </c>
      <c r="H757" s="926" t="s">
        <v>1594</v>
      </c>
      <c r="I757" s="939" t="s">
        <v>2133</v>
      </c>
      <c r="J757" s="939" t="s">
        <v>2133</v>
      </c>
      <c r="K757" s="912"/>
      <c r="L757" s="912"/>
      <c r="M757" s="938"/>
      <c r="N757" s="912">
        <v>1</v>
      </c>
      <c r="O757" s="912">
        <v>5</v>
      </c>
      <c r="P757" s="938">
        <f t="shared" si="31"/>
        <v>16720</v>
      </c>
    </row>
    <row r="758" spans="1:16" x14ac:dyDescent="0.2">
      <c r="A758" s="937" t="s">
        <v>2126</v>
      </c>
      <c r="B758" s="912" t="s">
        <v>875</v>
      </c>
      <c r="C758" s="912" t="s">
        <v>80</v>
      </c>
      <c r="D758" s="912" t="s">
        <v>2127</v>
      </c>
      <c r="E758" s="938">
        <v>3344</v>
      </c>
      <c r="F758" s="926">
        <v>31179153</v>
      </c>
      <c r="G758" s="926" t="s">
        <v>2529</v>
      </c>
      <c r="H758" s="926" t="s">
        <v>1594</v>
      </c>
      <c r="I758" s="939" t="s">
        <v>2133</v>
      </c>
      <c r="J758" s="939" t="s">
        <v>2133</v>
      </c>
      <c r="K758" s="912"/>
      <c r="L758" s="912"/>
      <c r="M758" s="938"/>
      <c r="N758" s="912">
        <v>1</v>
      </c>
      <c r="O758" s="912">
        <v>5</v>
      </c>
      <c r="P758" s="938">
        <f t="shared" si="31"/>
        <v>16720</v>
      </c>
    </row>
    <row r="759" spans="1:16" x14ac:dyDescent="0.2">
      <c r="A759" s="937" t="s">
        <v>2126</v>
      </c>
      <c r="B759" s="912" t="s">
        <v>875</v>
      </c>
      <c r="C759" s="912" t="s">
        <v>80</v>
      </c>
      <c r="D759" s="912" t="s">
        <v>2127</v>
      </c>
      <c r="E759" s="938">
        <v>3344</v>
      </c>
      <c r="F759" s="926">
        <v>47160346</v>
      </c>
      <c r="G759" s="926" t="s">
        <v>2530</v>
      </c>
      <c r="H759" s="926" t="s">
        <v>1594</v>
      </c>
      <c r="I759" s="939" t="s">
        <v>2133</v>
      </c>
      <c r="J759" s="939" t="s">
        <v>2133</v>
      </c>
      <c r="K759" s="912"/>
      <c r="L759" s="912"/>
      <c r="M759" s="938"/>
      <c r="N759" s="912">
        <v>1</v>
      </c>
      <c r="O759" s="912">
        <v>5</v>
      </c>
      <c r="P759" s="938">
        <f t="shared" si="31"/>
        <v>16720</v>
      </c>
    </row>
    <row r="760" spans="1:16" x14ac:dyDescent="0.2">
      <c r="A760" s="937" t="s">
        <v>2126</v>
      </c>
      <c r="B760" s="912" t="s">
        <v>875</v>
      </c>
      <c r="C760" s="912" t="s">
        <v>80</v>
      </c>
      <c r="D760" s="912" t="s">
        <v>2127</v>
      </c>
      <c r="E760" s="938">
        <v>3344</v>
      </c>
      <c r="F760" s="926">
        <v>29720530</v>
      </c>
      <c r="G760" s="926" t="s">
        <v>2531</v>
      </c>
      <c r="H760" s="926" t="s">
        <v>1594</v>
      </c>
      <c r="I760" s="939" t="s">
        <v>2133</v>
      </c>
      <c r="J760" s="939" t="s">
        <v>2133</v>
      </c>
      <c r="K760" s="912"/>
      <c r="L760" s="912"/>
      <c r="M760" s="938"/>
      <c r="N760" s="912">
        <v>1</v>
      </c>
      <c r="O760" s="912">
        <v>5</v>
      </c>
      <c r="P760" s="938">
        <f t="shared" si="31"/>
        <v>16720</v>
      </c>
    </row>
    <row r="761" spans="1:16" x14ac:dyDescent="0.2">
      <c r="A761" s="937" t="s">
        <v>2126</v>
      </c>
      <c r="B761" s="912" t="s">
        <v>875</v>
      </c>
      <c r="C761" s="912" t="s">
        <v>80</v>
      </c>
      <c r="D761" s="912" t="s">
        <v>2127</v>
      </c>
      <c r="E761" s="938">
        <v>3344</v>
      </c>
      <c r="F761" s="926">
        <v>70011346</v>
      </c>
      <c r="G761" s="926" t="s">
        <v>2532</v>
      </c>
      <c r="H761" s="926" t="s">
        <v>1594</v>
      </c>
      <c r="I761" s="939" t="s">
        <v>2133</v>
      </c>
      <c r="J761" s="939" t="s">
        <v>2133</v>
      </c>
      <c r="K761" s="912"/>
      <c r="L761" s="912"/>
      <c r="M761" s="938"/>
      <c r="N761" s="912">
        <v>1</v>
      </c>
      <c r="O761" s="912">
        <v>5</v>
      </c>
      <c r="P761" s="938">
        <f t="shared" si="31"/>
        <v>16720</v>
      </c>
    </row>
    <row r="762" spans="1:16" x14ac:dyDescent="0.2">
      <c r="A762" s="937" t="s">
        <v>2126</v>
      </c>
      <c r="B762" s="912" t="s">
        <v>875</v>
      </c>
      <c r="C762" s="912" t="s">
        <v>80</v>
      </c>
      <c r="D762" s="912" t="s">
        <v>2127</v>
      </c>
      <c r="E762" s="938">
        <v>3344</v>
      </c>
      <c r="F762" s="926">
        <v>43885417</v>
      </c>
      <c r="G762" s="926" t="s">
        <v>2533</v>
      </c>
      <c r="H762" s="926" t="s">
        <v>1626</v>
      </c>
      <c r="I762" s="939" t="s">
        <v>2133</v>
      </c>
      <c r="J762" s="939" t="s">
        <v>2133</v>
      </c>
      <c r="K762" s="912"/>
      <c r="L762" s="912"/>
      <c r="M762" s="938"/>
      <c r="N762" s="912">
        <v>1</v>
      </c>
      <c r="O762" s="912">
        <v>5</v>
      </c>
      <c r="P762" s="938">
        <f t="shared" si="31"/>
        <v>16720</v>
      </c>
    </row>
    <row r="763" spans="1:16" x14ac:dyDescent="0.2">
      <c r="A763" s="937" t="s">
        <v>2126</v>
      </c>
      <c r="B763" s="912" t="s">
        <v>875</v>
      </c>
      <c r="C763" s="912" t="s">
        <v>80</v>
      </c>
      <c r="D763" s="912" t="s">
        <v>2127</v>
      </c>
      <c r="E763" s="938">
        <v>5532</v>
      </c>
      <c r="F763" s="926">
        <v>44607004</v>
      </c>
      <c r="G763" s="926" t="s">
        <v>2534</v>
      </c>
      <c r="H763" s="926" t="s">
        <v>1175</v>
      </c>
      <c r="I763" s="939" t="s">
        <v>2133</v>
      </c>
      <c r="J763" s="939" t="s">
        <v>2133</v>
      </c>
      <c r="K763" s="912"/>
      <c r="L763" s="912"/>
      <c r="M763" s="938"/>
      <c r="N763" s="912">
        <v>1</v>
      </c>
      <c r="O763" s="912">
        <v>5</v>
      </c>
      <c r="P763" s="938">
        <f t="shared" si="31"/>
        <v>27660</v>
      </c>
    </row>
    <row r="764" spans="1:16" x14ac:dyDescent="0.2">
      <c r="A764" s="937" t="s">
        <v>2126</v>
      </c>
      <c r="B764" s="912" t="s">
        <v>875</v>
      </c>
      <c r="C764" s="912" t="s">
        <v>80</v>
      </c>
      <c r="D764" s="912" t="s">
        <v>2127</v>
      </c>
      <c r="E764" s="938">
        <v>3344</v>
      </c>
      <c r="F764" s="926">
        <v>41524860</v>
      </c>
      <c r="G764" s="926" t="s">
        <v>2535</v>
      </c>
      <c r="H764" s="926" t="s">
        <v>1594</v>
      </c>
      <c r="I764" s="939" t="s">
        <v>2133</v>
      </c>
      <c r="J764" s="939" t="s">
        <v>2133</v>
      </c>
      <c r="K764" s="912"/>
      <c r="L764" s="912"/>
      <c r="M764" s="938"/>
      <c r="N764" s="912">
        <v>1</v>
      </c>
      <c r="O764" s="912">
        <v>5</v>
      </c>
      <c r="P764" s="938">
        <f t="shared" si="31"/>
        <v>16720</v>
      </c>
    </row>
    <row r="765" spans="1:16" x14ac:dyDescent="0.2">
      <c r="A765" s="937" t="s">
        <v>2126</v>
      </c>
      <c r="B765" s="912" t="s">
        <v>875</v>
      </c>
      <c r="C765" s="912" t="s">
        <v>80</v>
      </c>
      <c r="D765" s="912" t="s">
        <v>2127</v>
      </c>
      <c r="E765" s="938">
        <v>3344</v>
      </c>
      <c r="F765" s="926">
        <v>45318907</v>
      </c>
      <c r="G765" s="926" t="s">
        <v>2536</v>
      </c>
      <c r="H765" s="926" t="s">
        <v>1594</v>
      </c>
      <c r="I765" s="939" t="s">
        <v>2133</v>
      </c>
      <c r="J765" s="939" t="s">
        <v>2133</v>
      </c>
      <c r="K765" s="912"/>
      <c r="L765" s="912"/>
      <c r="M765" s="938"/>
      <c r="N765" s="912">
        <v>1</v>
      </c>
      <c r="O765" s="912">
        <v>5</v>
      </c>
      <c r="P765" s="938">
        <f t="shared" si="31"/>
        <v>16720</v>
      </c>
    </row>
    <row r="766" spans="1:16" x14ac:dyDescent="0.2">
      <c r="A766" s="937" t="s">
        <v>2126</v>
      </c>
      <c r="B766" s="912" t="s">
        <v>875</v>
      </c>
      <c r="C766" s="912" t="s">
        <v>80</v>
      </c>
      <c r="D766" s="912" t="s">
        <v>2127</v>
      </c>
      <c r="E766" s="938">
        <v>5532</v>
      </c>
      <c r="F766" s="926">
        <v>43937092</v>
      </c>
      <c r="G766" s="926" t="s">
        <v>2537</v>
      </c>
      <c r="H766" s="926" t="s">
        <v>1175</v>
      </c>
      <c r="I766" s="939" t="s">
        <v>2133</v>
      </c>
      <c r="J766" s="939" t="s">
        <v>2133</v>
      </c>
      <c r="K766" s="912"/>
      <c r="L766" s="912"/>
      <c r="M766" s="938"/>
      <c r="N766" s="912">
        <v>1</v>
      </c>
      <c r="O766" s="912">
        <v>5</v>
      </c>
      <c r="P766" s="938">
        <f t="shared" si="31"/>
        <v>27660</v>
      </c>
    </row>
    <row r="767" spans="1:16" x14ac:dyDescent="0.2">
      <c r="A767" s="937" t="s">
        <v>2126</v>
      </c>
      <c r="B767" s="912" t="s">
        <v>875</v>
      </c>
      <c r="C767" s="912" t="s">
        <v>80</v>
      </c>
      <c r="D767" s="912" t="s">
        <v>2127</v>
      </c>
      <c r="E767" s="938">
        <v>5532</v>
      </c>
      <c r="F767" s="926">
        <v>41785640</v>
      </c>
      <c r="G767" s="926" t="s">
        <v>2538</v>
      </c>
      <c r="H767" s="926" t="s">
        <v>1175</v>
      </c>
      <c r="I767" s="939" t="s">
        <v>2133</v>
      </c>
      <c r="J767" s="939" t="s">
        <v>2133</v>
      </c>
      <c r="K767" s="912"/>
      <c r="L767" s="912"/>
      <c r="M767" s="938"/>
      <c r="N767" s="912">
        <v>1</v>
      </c>
      <c r="O767" s="912">
        <v>5</v>
      </c>
      <c r="P767" s="938">
        <f t="shared" si="31"/>
        <v>27660</v>
      </c>
    </row>
    <row r="768" spans="1:16" x14ac:dyDescent="0.2">
      <c r="A768" s="937" t="s">
        <v>2126</v>
      </c>
      <c r="B768" s="912" t="s">
        <v>875</v>
      </c>
      <c r="C768" s="912" t="s">
        <v>80</v>
      </c>
      <c r="D768" s="912" t="s">
        <v>2127</v>
      </c>
      <c r="E768" s="938">
        <v>5532</v>
      </c>
      <c r="F768" s="926">
        <v>44797347</v>
      </c>
      <c r="G768" s="926" t="s">
        <v>2539</v>
      </c>
      <c r="H768" s="926" t="s">
        <v>1175</v>
      </c>
      <c r="I768" s="939" t="s">
        <v>2133</v>
      </c>
      <c r="J768" s="939" t="s">
        <v>2133</v>
      </c>
      <c r="K768" s="912"/>
      <c r="L768" s="912"/>
      <c r="M768" s="938"/>
      <c r="N768" s="912">
        <v>1</v>
      </c>
      <c r="O768" s="912">
        <v>5</v>
      </c>
      <c r="P768" s="938">
        <f t="shared" si="31"/>
        <v>27660</v>
      </c>
    </row>
    <row r="769" spans="1:16" x14ac:dyDescent="0.2">
      <c r="A769" s="937" t="s">
        <v>2126</v>
      </c>
      <c r="B769" s="912" t="s">
        <v>875</v>
      </c>
      <c r="C769" s="912" t="s">
        <v>80</v>
      </c>
      <c r="D769" s="912" t="s">
        <v>2127</v>
      </c>
      <c r="E769" s="938">
        <v>3344</v>
      </c>
      <c r="F769" s="926">
        <v>45218854</v>
      </c>
      <c r="G769" s="926" t="s">
        <v>2540</v>
      </c>
      <c r="H769" s="926" t="s">
        <v>1594</v>
      </c>
      <c r="I769" s="939" t="s">
        <v>2133</v>
      </c>
      <c r="J769" s="939" t="s">
        <v>2133</v>
      </c>
      <c r="K769" s="912"/>
      <c r="L769" s="912"/>
      <c r="M769" s="938"/>
      <c r="N769" s="912">
        <v>1</v>
      </c>
      <c r="O769" s="912">
        <v>5</v>
      </c>
      <c r="P769" s="938">
        <f t="shared" si="31"/>
        <v>16720</v>
      </c>
    </row>
    <row r="770" spans="1:16" x14ac:dyDescent="0.2">
      <c r="A770" s="937" t="s">
        <v>2126</v>
      </c>
      <c r="B770" s="912" t="s">
        <v>875</v>
      </c>
      <c r="C770" s="912" t="s">
        <v>80</v>
      </c>
      <c r="D770" s="912" t="s">
        <v>2127</v>
      </c>
      <c r="E770" s="938">
        <v>3344</v>
      </c>
      <c r="F770" s="926">
        <v>43924479</v>
      </c>
      <c r="G770" s="926" t="s">
        <v>2541</v>
      </c>
      <c r="H770" s="926" t="s">
        <v>1594</v>
      </c>
      <c r="I770" s="939" t="s">
        <v>2133</v>
      </c>
      <c r="J770" s="939" t="s">
        <v>2133</v>
      </c>
      <c r="K770" s="912"/>
      <c r="L770" s="912"/>
      <c r="M770" s="938"/>
      <c r="N770" s="912">
        <v>1</v>
      </c>
      <c r="O770" s="912">
        <v>5</v>
      </c>
      <c r="P770" s="938">
        <f t="shared" si="31"/>
        <v>16720</v>
      </c>
    </row>
    <row r="771" spans="1:16" x14ac:dyDescent="0.2">
      <c r="A771" s="937" t="s">
        <v>2126</v>
      </c>
      <c r="B771" s="912" t="s">
        <v>875</v>
      </c>
      <c r="C771" s="912" t="s">
        <v>80</v>
      </c>
      <c r="D771" s="912" t="s">
        <v>2127</v>
      </c>
      <c r="E771" s="938">
        <v>2041</v>
      </c>
      <c r="F771" s="926">
        <v>46016584</v>
      </c>
      <c r="G771" s="926" t="s">
        <v>2542</v>
      </c>
      <c r="H771" s="926" t="s">
        <v>1028</v>
      </c>
      <c r="I771" s="939" t="s">
        <v>2133</v>
      </c>
      <c r="J771" s="939" t="s">
        <v>2133</v>
      </c>
      <c r="K771" s="912"/>
      <c r="L771" s="912"/>
      <c r="M771" s="938"/>
      <c r="N771" s="912">
        <v>1</v>
      </c>
      <c r="O771" s="912">
        <v>5</v>
      </c>
      <c r="P771" s="938">
        <f t="shared" si="31"/>
        <v>10205</v>
      </c>
    </row>
    <row r="772" spans="1:16" x14ac:dyDescent="0.2">
      <c r="A772" s="937" t="s">
        <v>2126</v>
      </c>
      <c r="B772" s="912" t="s">
        <v>875</v>
      </c>
      <c r="C772" s="912" t="s">
        <v>80</v>
      </c>
      <c r="D772" s="912" t="s">
        <v>2127</v>
      </c>
      <c r="E772" s="938">
        <v>3344</v>
      </c>
      <c r="F772" s="926">
        <v>40931048</v>
      </c>
      <c r="G772" s="926" t="s">
        <v>2543</v>
      </c>
      <c r="H772" s="926" t="s">
        <v>1594</v>
      </c>
      <c r="I772" s="939" t="s">
        <v>2133</v>
      </c>
      <c r="J772" s="939" t="s">
        <v>2133</v>
      </c>
      <c r="K772" s="912"/>
      <c r="L772" s="912"/>
      <c r="M772" s="938"/>
      <c r="N772" s="912">
        <v>1</v>
      </c>
      <c r="O772" s="912">
        <v>5</v>
      </c>
      <c r="P772" s="938">
        <f t="shared" si="31"/>
        <v>16720</v>
      </c>
    </row>
    <row r="773" spans="1:16" x14ac:dyDescent="0.2">
      <c r="A773" s="937" t="s">
        <v>2126</v>
      </c>
      <c r="B773" s="912" t="s">
        <v>875</v>
      </c>
      <c r="C773" s="912" t="s">
        <v>80</v>
      </c>
      <c r="D773" s="912" t="s">
        <v>2127</v>
      </c>
      <c r="E773" s="938">
        <v>3344</v>
      </c>
      <c r="F773" s="926">
        <v>42066924</v>
      </c>
      <c r="G773" s="926" t="s">
        <v>2544</v>
      </c>
      <c r="H773" s="926" t="s">
        <v>1594</v>
      </c>
      <c r="I773" s="939" t="s">
        <v>2133</v>
      </c>
      <c r="J773" s="939" t="s">
        <v>2133</v>
      </c>
      <c r="K773" s="912"/>
      <c r="L773" s="912"/>
      <c r="M773" s="938"/>
      <c r="N773" s="912">
        <v>1</v>
      </c>
      <c r="O773" s="912">
        <v>5</v>
      </c>
      <c r="P773" s="938">
        <f t="shared" si="31"/>
        <v>16720</v>
      </c>
    </row>
    <row r="774" spans="1:16" x14ac:dyDescent="0.2">
      <c r="A774" s="937" t="s">
        <v>2126</v>
      </c>
      <c r="B774" s="912" t="s">
        <v>875</v>
      </c>
      <c r="C774" s="912" t="s">
        <v>80</v>
      </c>
      <c r="D774" s="912" t="s">
        <v>2127</v>
      </c>
      <c r="E774" s="938">
        <v>3344</v>
      </c>
      <c r="F774" s="926">
        <v>70318978</v>
      </c>
      <c r="G774" s="926" t="s">
        <v>2545</v>
      </c>
      <c r="H774" s="926" t="s">
        <v>1626</v>
      </c>
      <c r="I774" s="939" t="s">
        <v>2133</v>
      </c>
      <c r="J774" s="939" t="s">
        <v>2133</v>
      </c>
      <c r="K774" s="912"/>
      <c r="L774" s="912"/>
      <c r="M774" s="938"/>
      <c r="N774" s="912">
        <v>1</v>
      </c>
      <c r="O774" s="912">
        <v>5</v>
      </c>
      <c r="P774" s="938">
        <f t="shared" si="31"/>
        <v>16720</v>
      </c>
    </row>
    <row r="775" spans="1:16" x14ac:dyDescent="0.2">
      <c r="A775" s="937" t="s">
        <v>2126</v>
      </c>
      <c r="B775" s="912" t="s">
        <v>875</v>
      </c>
      <c r="C775" s="912" t="s">
        <v>80</v>
      </c>
      <c r="D775" s="912" t="s">
        <v>2127</v>
      </c>
      <c r="E775" s="938">
        <v>5532</v>
      </c>
      <c r="F775" s="926">
        <v>70683770</v>
      </c>
      <c r="G775" s="926" t="s">
        <v>2546</v>
      </c>
      <c r="H775" s="926" t="s">
        <v>1175</v>
      </c>
      <c r="I775" s="939" t="s">
        <v>2133</v>
      </c>
      <c r="J775" s="939" t="s">
        <v>2133</v>
      </c>
      <c r="K775" s="912"/>
      <c r="L775" s="912"/>
      <c r="M775" s="938"/>
      <c r="N775" s="912">
        <v>1</v>
      </c>
      <c r="O775" s="912">
        <v>5</v>
      </c>
      <c r="P775" s="938">
        <f t="shared" si="31"/>
        <v>27660</v>
      </c>
    </row>
    <row r="776" spans="1:16" x14ac:dyDescent="0.2">
      <c r="A776" s="937" t="s">
        <v>2126</v>
      </c>
      <c r="B776" s="912" t="s">
        <v>875</v>
      </c>
      <c r="C776" s="912" t="s">
        <v>80</v>
      </c>
      <c r="D776" s="912" t="s">
        <v>2127</v>
      </c>
      <c r="E776" s="938">
        <v>3344</v>
      </c>
      <c r="F776" s="926">
        <v>72203504</v>
      </c>
      <c r="G776" s="926" t="s">
        <v>2547</v>
      </c>
      <c r="H776" s="926" t="s">
        <v>1594</v>
      </c>
      <c r="I776" s="939" t="s">
        <v>2133</v>
      </c>
      <c r="J776" s="939" t="s">
        <v>2133</v>
      </c>
      <c r="K776" s="912"/>
      <c r="L776" s="912"/>
      <c r="M776" s="938"/>
      <c r="N776" s="912">
        <v>1</v>
      </c>
      <c r="O776" s="912">
        <v>5</v>
      </c>
      <c r="P776" s="938">
        <f t="shared" si="31"/>
        <v>16720</v>
      </c>
    </row>
    <row r="777" spans="1:16" x14ac:dyDescent="0.2">
      <c r="A777" s="937" t="s">
        <v>2126</v>
      </c>
      <c r="B777" s="912" t="s">
        <v>875</v>
      </c>
      <c r="C777" s="912" t="s">
        <v>80</v>
      </c>
      <c r="D777" s="912" t="s">
        <v>2127</v>
      </c>
      <c r="E777" s="938">
        <v>2041</v>
      </c>
      <c r="F777" s="926">
        <v>72229083</v>
      </c>
      <c r="G777" s="926" t="s">
        <v>2548</v>
      </c>
      <c r="H777" s="926" t="s">
        <v>1028</v>
      </c>
      <c r="I777" s="939" t="s">
        <v>2133</v>
      </c>
      <c r="J777" s="939" t="s">
        <v>2133</v>
      </c>
      <c r="K777" s="912"/>
      <c r="L777" s="912"/>
      <c r="M777" s="938"/>
      <c r="N777" s="912">
        <v>1</v>
      </c>
      <c r="O777" s="912">
        <v>5</v>
      </c>
      <c r="P777" s="938">
        <f t="shared" si="31"/>
        <v>10205</v>
      </c>
    </row>
    <row r="778" spans="1:16" x14ac:dyDescent="0.2">
      <c r="A778" s="937" t="s">
        <v>2126</v>
      </c>
      <c r="B778" s="912" t="s">
        <v>875</v>
      </c>
      <c r="C778" s="912" t="s">
        <v>80</v>
      </c>
      <c r="D778" s="912" t="s">
        <v>2127</v>
      </c>
      <c r="E778" s="938">
        <v>5532</v>
      </c>
      <c r="F778" s="926">
        <v>45780028</v>
      </c>
      <c r="G778" s="926" t="s">
        <v>2549</v>
      </c>
      <c r="H778" s="926" t="s">
        <v>1175</v>
      </c>
      <c r="I778" s="939" t="s">
        <v>2133</v>
      </c>
      <c r="J778" s="939" t="s">
        <v>2133</v>
      </c>
      <c r="K778" s="912"/>
      <c r="L778" s="912"/>
      <c r="M778" s="938"/>
      <c r="N778" s="912">
        <v>1</v>
      </c>
      <c r="O778" s="912">
        <v>5</v>
      </c>
      <c r="P778" s="938">
        <f t="shared" si="31"/>
        <v>27660</v>
      </c>
    </row>
    <row r="779" spans="1:16" x14ac:dyDescent="0.2">
      <c r="A779" s="937" t="s">
        <v>2126</v>
      </c>
      <c r="B779" s="912" t="s">
        <v>875</v>
      </c>
      <c r="C779" s="912" t="s">
        <v>80</v>
      </c>
      <c r="D779" s="912" t="s">
        <v>2127</v>
      </c>
      <c r="E779" s="938">
        <v>5532</v>
      </c>
      <c r="F779" s="926">
        <v>42268365</v>
      </c>
      <c r="G779" s="926" t="s">
        <v>2550</v>
      </c>
      <c r="H779" s="926" t="s">
        <v>1175</v>
      </c>
      <c r="I779" s="939" t="s">
        <v>2133</v>
      </c>
      <c r="J779" s="939" t="s">
        <v>2133</v>
      </c>
      <c r="K779" s="912"/>
      <c r="L779" s="912"/>
      <c r="M779" s="938"/>
      <c r="N779" s="912">
        <v>1</v>
      </c>
      <c r="O779" s="912">
        <v>6</v>
      </c>
      <c r="P779" s="938">
        <f t="shared" si="31"/>
        <v>33192</v>
      </c>
    </row>
    <row r="780" spans="1:16" x14ac:dyDescent="0.2">
      <c r="A780" s="937" t="s">
        <v>2126</v>
      </c>
      <c r="B780" s="912" t="s">
        <v>875</v>
      </c>
      <c r="C780" s="912" t="s">
        <v>80</v>
      </c>
      <c r="D780" s="912" t="s">
        <v>2127</v>
      </c>
      <c r="E780" s="938">
        <v>3344</v>
      </c>
      <c r="F780" s="926">
        <v>44968454</v>
      </c>
      <c r="G780" s="926" t="s">
        <v>2551</v>
      </c>
      <c r="H780" s="926" t="s">
        <v>1594</v>
      </c>
      <c r="I780" s="939" t="s">
        <v>2133</v>
      </c>
      <c r="J780" s="939" t="s">
        <v>2133</v>
      </c>
      <c r="K780" s="912"/>
      <c r="L780" s="912"/>
      <c r="M780" s="938"/>
      <c r="N780" s="912">
        <v>1</v>
      </c>
      <c r="O780" s="912">
        <v>6</v>
      </c>
      <c r="P780" s="938">
        <f t="shared" si="31"/>
        <v>20064</v>
      </c>
    </row>
    <row r="781" spans="1:16" x14ac:dyDescent="0.2">
      <c r="A781" s="937" t="s">
        <v>2126</v>
      </c>
      <c r="B781" s="912" t="s">
        <v>875</v>
      </c>
      <c r="C781" s="912" t="s">
        <v>80</v>
      </c>
      <c r="D781" s="912" t="s">
        <v>2127</v>
      </c>
      <c r="E781" s="938">
        <v>2041</v>
      </c>
      <c r="F781" s="926">
        <v>42755385</v>
      </c>
      <c r="G781" s="926" t="s">
        <v>2552</v>
      </c>
      <c r="H781" s="926" t="s">
        <v>1028</v>
      </c>
      <c r="I781" s="939" t="s">
        <v>2133</v>
      </c>
      <c r="J781" s="939" t="s">
        <v>2133</v>
      </c>
      <c r="K781" s="912"/>
      <c r="L781" s="912"/>
      <c r="M781" s="938"/>
      <c r="N781" s="912">
        <v>1</v>
      </c>
      <c r="O781" s="912">
        <v>6</v>
      </c>
      <c r="P781" s="938">
        <f t="shared" si="31"/>
        <v>12246</v>
      </c>
    </row>
    <row r="782" spans="1:16" x14ac:dyDescent="0.2">
      <c r="A782" s="937" t="s">
        <v>2126</v>
      </c>
      <c r="B782" s="912" t="s">
        <v>875</v>
      </c>
      <c r="C782" s="912" t="s">
        <v>80</v>
      </c>
      <c r="D782" s="912" t="s">
        <v>2127</v>
      </c>
      <c r="E782" s="938">
        <v>3344</v>
      </c>
      <c r="F782" s="926">
        <v>43406198</v>
      </c>
      <c r="G782" s="926" t="s">
        <v>2553</v>
      </c>
      <c r="H782" s="926" t="s">
        <v>1594</v>
      </c>
      <c r="I782" s="939" t="s">
        <v>2133</v>
      </c>
      <c r="J782" s="939" t="s">
        <v>2133</v>
      </c>
      <c r="K782" s="912"/>
      <c r="L782" s="912"/>
      <c r="M782" s="938"/>
      <c r="N782" s="912">
        <v>1</v>
      </c>
      <c r="O782" s="912">
        <v>5</v>
      </c>
      <c r="P782" s="938">
        <f t="shared" si="31"/>
        <v>16720</v>
      </c>
    </row>
    <row r="783" spans="1:16" x14ac:dyDescent="0.2">
      <c r="A783" s="937" t="s">
        <v>2126</v>
      </c>
      <c r="B783" s="912" t="s">
        <v>875</v>
      </c>
      <c r="C783" s="912" t="s">
        <v>80</v>
      </c>
      <c r="D783" s="912" t="s">
        <v>2127</v>
      </c>
      <c r="E783" s="938">
        <v>3344</v>
      </c>
      <c r="F783" s="926">
        <v>42526204</v>
      </c>
      <c r="G783" s="926" t="s">
        <v>2554</v>
      </c>
      <c r="H783" s="926" t="s">
        <v>1594</v>
      </c>
      <c r="I783" s="939" t="s">
        <v>2133</v>
      </c>
      <c r="J783" s="939" t="s">
        <v>2133</v>
      </c>
      <c r="K783" s="912"/>
      <c r="L783" s="912"/>
      <c r="M783" s="938"/>
      <c r="N783" s="912">
        <v>1</v>
      </c>
      <c r="O783" s="912">
        <v>5</v>
      </c>
      <c r="P783" s="938">
        <f t="shared" si="31"/>
        <v>16720</v>
      </c>
    </row>
    <row r="784" spans="1:16" x14ac:dyDescent="0.2">
      <c r="A784" s="937" t="s">
        <v>2126</v>
      </c>
      <c r="B784" s="912" t="s">
        <v>875</v>
      </c>
      <c r="C784" s="912" t="s">
        <v>80</v>
      </c>
      <c r="D784" s="912" t="s">
        <v>2127</v>
      </c>
      <c r="E784" s="938">
        <v>3344</v>
      </c>
      <c r="F784" s="926">
        <v>29713319</v>
      </c>
      <c r="G784" s="926" t="s">
        <v>2555</v>
      </c>
      <c r="H784" s="926" t="s">
        <v>1594</v>
      </c>
      <c r="I784" s="939" t="s">
        <v>2133</v>
      </c>
      <c r="J784" s="939" t="s">
        <v>2133</v>
      </c>
      <c r="K784" s="912"/>
      <c r="L784" s="912"/>
      <c r="M784" s="938"/>
      <c r="N784" s="912">
        <v>1</v>
      </c>
      <c r="O784" s="912">
        <v>5</v>
      </c>
      <c r="P784" s="938">
        <f t="shared" si="31"/>
        <v>16720</v>
      </c>
    </row>
    <row r="785" spans="1:16" x14ac:dyDescent="0.2">
      <c r="A785" s="937" t="s">
        <v>2126</v>
      </c>
      <c r="B785" s="912" t="s">
        <v>875</v>
      </c>
      <c r="C785" s="912" t="s">
        <v>80</v>
      </c>
      <c r="D785" s="912" t="s">
        <v>2127</v>
      </c>
      <c r="E785" s="938">
        <v>5532</v>
      </c>
      <c r="F785" s="926">
        <v>41576599</v>
      </c>
      <c r="G785" s="926" t="s">
        <v>2556</v>
      </c>
      <c r="H785" s="926" t="s">
        <v>1175</v>
      </c>
      <c r="I785" s="939" t="s">
        <v>2133</v>
      </c>
      <c r="J785" s="939" t="s">
        <v>2133</v>
      </c>
      <c r="K785" s="912"/>
      <c r="L785" s="912"/>
      <c r="M785" s="938"/>
      <c r="N785" s="912">
        <v>1</v>
      </c>
      <c r="O785" s="912">
        <v>5</v>
      </c>
      <c r="P785" s="938">
        <f t="shared" si="31"/>
        <v>27660</v>
      </c>
    </row>
    <row r="786" spans="1:16" x14ac:dyDescent="0.2">
      <c r="A786" s="937" t="s">
        <v>2126</v>
      </c>
      <c r="B786" s="912" t="s">
        <v>875</v>
      </c>
      <c r="C786" s="912" t="s">
        <v>80</v>
      </c>
      <c r="D786" s="912" t="s">
        <v>2127</v>
      </c>
      <c r="E786" s="938">
        <v>3344</v>
      </c>
      <c r="F786" s="926">
        <v>44112219</v>
      </c>
      <c r="G786" s="926" t="s">
        <v>2557</v>
      </c>
      <c r="H786" s="926" t="s">
        <v>1594</v>
      </c>
      <c r="I786" s="939" t="s">
        <v>2133</v>
      </c>
      <c r="J786" s="939" t="s">
        <v>2133</v>
      </c>
      <c r="K786" s="912"/>
      <c r="L786" s="912"/>
      <c r="M786" s="938"/>
      <c r="N786" s="912">
        <v>1</v>
      </c>
      <c r="O786" s="912">
        <v>5</v>
      </c>
      <c r="P786" s="938">
        <f t="shared" si="31"/>
        <v>16720</v>
      </c>
    </row>
    <row r="787" spans="1:16" x14ac:dyDescent="0.2">
      <c r="A787" s="937" t="s">
        <v>2126</v>
      </c>
      <c r="B787" s="912" t="s">
        <v>875</v>
      </c>
      <c r="C787" s="912" t="s">
        <v>80</v>
      </c>
      <c r="D787" s="912" t="s">
        <v>2127</v>
      </c>
      <c r="E787" s="938">
        <v>3344</v>
      </c>
      <c r="F787" s="926">
        <v>44332415</v>
      </c>
      <c r="G787" s="926" t="s">
        <v>2558</v>
      </c>
      <c r="H787" s="926" t="s">
        <v>1594</v>
      </c>
      <c r="I787" s="939" t="s">
        <v>2133</v>
      </c>
      <c r="J787" s="939" t="s">
        <v>2133</v>
      </c>
      <c r="K787" s="912"/>
      <c r="L787" s="912"/>
      <c r="M787" s="938"/>
      <c r="N787" s="912">
        <v>1</v>
      </c>
      <c r="O787" s="912">
        <v>5</v>
      </c>
      <c r="P787" s="938">
        <f t="shared" si="31"/>
        <v>16720</v>
      </c>
    </row>
    <row r="788" spans="1:16" x14ac:dyDescent="0.2">
      <c r="A788" s="937" t="s">
        <v>2126</v>
      </c>
      <c r="B788" s="912" t="s">
        <v>875</v>
      </c>
      <c r="C788" s="912" t="s">
        <v>80</v>
      </c>
      <c r="D788" s="912" t="s">
        <v>2127</v>
      </c>
      <c r="E788" s="938">
        <v>5532</v>
      </c>
      <c r="F788" s="926">
        <v>30675713</v>
      </c>
      <c r="G788" s="926" t="s">
        <v>2559</v>
      </c>
      <c r="H788" s="926" t="s">
        <v>1175</v>
      </c>
      <c r="I788" s="939" t="s">
        <v>2133</v>
      </c>
      <c r="J788" s="939" t="s">
        <v>2133</v>
      </c>
      <c r="K788" s="912"/>
      <c r="L788" s="912"/>
      <c r="M788" s="938"/>
      <c r="N788" s="912">
        <v>1</v>
      </c>
      <c r="O788" s="912">
        <v>3</v>
      </c>
      <c r="P788" s="938">
        <f t="shared" si="31"/>
        <v>16596</v>
      </c>
    </row>
    <row r="789" spans="1:16" x14ac:dyDescent="0.2">
      <c r="A789" s="937" t="s">
        <v>2126</v>
      </c>
      <c r="B789" s="912" t="s">
        <v>875</v>
      </c>
      <c r="C789" s="912" t="s">
        <v>80</v>
      </c>
      <c r="D789" s="912" t="s">
        <v>2127</v>
      </c>
      <c r="E789" s="938">
        <v>3344</v>
      </c>
      <c r="F789" s="926">
        <v>45205298</v>
      </c>
      <c r="G789" s="926" t="s">
        <v>2560</v>
      </c>
      <c r="H789" s="926" t="s">
        <v>1594</v>
      </c>
      <c r="I789" s="939" t="s">
        <v>2133</v>
      </c>
      <c r="J789" s="939" t="s">
        <v>2133</v>
      </c>
      <c r="K789" s="912"/>
      <c r="L789" s="912"/>
      <c r="M789" s="938"/>
      <c r="N789" s="912">
        <v>1</v>
      </c>
      <c r="O789" s="912">
        <v>5</v>
      </c>
      <c r="P789" s="938">
        <f t="shared" si="31"/>
        <v>16720</v>
      </c>
    </row>
    <row r="790" spans="1:16" x14ac:dyDescent="0.2">
      <c r="A790" s="937" t="s">
        <v>2126</v>
      </c>
      <c r="B790" s="912" t="s">
        <v>875</v>
      </c>
      <c r="C790" s="912" t="s">
        <v>80</v>
      </c>
      <c r="D790" s="912" t="s">
        <v>2127</v>
      </c>
      <c r="E790" s="938">
        <v>3344</v>
      </c>
      <c r="F790" s="926">
        <v>43587110</v>
      </c>
      <c r="G790" s="926" t="s">
        <v>2561</v>
      </c>
      <c r="H790" s="926" t="s">
        <v>1594</v>
      </c>
      <c r="I790" s="939" t="s">
        <v>2133</v>
      </c>
      <c r="J790" s="939" t="s">
        <v>2133</v>
      </c>
      <c r="K790" s="912"/>
      <c r="L790" s="912"/>
      <c r="M790" s="938"/>
      <c r="N790" s="912">
        <v>1</v>
      </c>
      <c r="O790" s="912">
        <v>3</v>
      </c>
      <c r="P790" s="938">
        <f t="shared" si="31"/>
        <v>10032</v>
      </c>
    </row>
    <row r="791" spans="1:16" x14ac:dyDescent="0.2">
      <c r="A791" s="937" t="s">
        <v>2126</v>
      </c>
      <c r="B791" s="912" t="s">
        <v>875</v>
      </c>
      <c r="C791" s="912" t="s">
        <v>80</v>
      </c>
      <c r="D791" s="912" t="s">
        <v>2127</v>
      </c>
      <c r="E791" s="938">
        <v>3344</v>
      </c>
      <c r="F791" s="926">
        <v>48170706</v>
      </c>
      <c r="G791" s="926" t="s">
        <v>2562</v>
      </c>
      <c r="H791" s="926" t="s">
        <v>1594</v>
      </c>
      <c r="I791" s="939" t="s">
        <v>2133</v>
      </c>
      <c r="J791" s="939" t="s">
        <v>2133</v>
      </c>
      <c r="K791" s="912"/>
      <c r="L791" s="912"/>
      <c r="M791" s="938"/>
      <c r="N791" s="912">
        <v>1</v>
      </c>
      <c r="O791" s="912">
        <v>5</v>
      </c>
      <c r="P791" s="938">
        <f t="shared" si="31"/>
        <v>16720</v>
      </c>
    </row>
    <row r="792" spans="1:16" x14ac:dyDescent="0.2">
      <c r="A792" s="937" t="s">
        <v>2126</v>
      </c>
      <c r="B792" s="912" t="s">
        <v>875</v>
      </c>
      <c r="C792" s="912" t="s">
        <v>80</v>
      </c>
      <c r="D792" s="912" t="s">
        <v>2127</v>
      </c>
      <c r="E792" s="938">
        <v>3344</v>
      </c>
      <c r="F792" s="926">
        <v>45544002</v>
      </c>
      <c r="G792" s="926" t="s">
        <v>2563</v>
      </c>
      <c r="H792" s="926" t="s">
        <v>1594</v>
      </c>
      <c r="I792" s="939" t="s">
        <v>2133</v>
      </c>
      <c r="J792" s="939" t="s">
        <v>2133</v>
      </c>
      <c r="K792" s="912"/>
      <c r="L792" s="912"/>
      <c r="M792" s="938"/>
      <c r="N792" s="912">
        <v>1</v>
      </c>
      <c r="O792" s="912">
        <v>5</v>
      </c>
      <c r="P792" s="938">
        <f t="shared" si="31"/>
        <v>16720</v>
      </c>
    </row>
    <row r="793" spans="1:16" x14ac:dyDescent="0.2">
      <c r="A793" s="937" t="s">
        <v>2126</v>
      </c>
      <c r="B793" s="912" t="s">
        <v>875</v>
      </c>
      <c r="C793" s="912" t="s">
        <v>80</v>
      </c>
      <c r="D793" s="912" t="s">
        <v>2127</v>
      </c>
      <c r="E793" s="938">
        <v>3344</v>
      </c>
      <c r="F793" s="926">
        <v>46754661</v>
      </c>
      <c r="G793" s="926" t="s">
        <v>2564</v>
      </c>
      <c r="H793" s="926" t="s">
        <v>1594</v>
      </c>
      <c r="I793" s="939" t="s">
        <v>2133</v>
      </c>
      <c r="J793" s="939" t="s">
        <v>2133</v>
      </c>
      <c r="K793" s="912"/>
      <c r="L793" s="912"/>
      <c r="M793" s="938"/>
      <c r="N793" s="912">
        <v>1</v>
      </c>
      <c r="O793" s="912">
        <v>5</v>
      </c>
      <c r="P793" s="938">
        <f t="shared" si="31"/>
        <v>16720</v>
      </c>
    </row>
    <row r="794" spans="1:16" x14ac:dyDescent="0.2">
      <c r="A794" s="937" t="s">
        <v>2126</v>
      </c>
      <c r="B794" s="912" t="s">
        <v>875</v>
      </c>
      <c r="C794" s="912" t="s">
        <v>80</v>
      </c>
      <c r="D794" s="912" t="s">
        <v>2127</v>
      </c>
      <c r="E794" s="938">
        <v>5532</v>
      </c>
      <c r="F794" s="926">
        <v>41736584</v>
      </c>
      <c r="G794" s="926" t="s">
        <v>2565</v>
      </c>
      <c r="H794" s="926" t="s">
        <v>1175</v>
      </c>
      <c r="I794" s="939" t="s">
        <v>2133</v>
      </c>
      <c r="J794" s="939" t="s">
        <v>2133</v>
      </c>
      <c r="K794" s="912"/>
      <c r="L794" s="912"/>
      <c r="M794" s="938"/>
      <c r="N794" s="912">
        <v>1</v>
      </c>
      <c r="O794" s="912">
        <v>5</v>
      </c>
      <c r="P794" s="938">
        <f t="shared" si="31"/>
        <v>27660</v>
      </c>
    </row>
    <row r="795" spans="1:16" x14ac:dyDescent="0.2">
      <c r="A795" s="937" t="s">
        <v>2126</v>
      </c>
      <c r="B795" s="912" t="s">
        <v>875</v>
      </c>
      <c r="C795" s="912" t="s">
        <v>80</v>
      </c>
      <c r="D795" s="912" t="s">
        <v>2127</v>
      </c>
      <c r="E795" s="938">
        <v>4568</v>
      </c>
      <c r="F795" s="926">
        <v>72561348</v>
      </c>
      <c r="G795" s="926" t="s">
        <v>2566</v>
      </c>
      <c r="H795" s="926" t="s">
        <v>1175</v>
      </c>
      <c r="I795" s="939" t="s">
        <v>2133</v>
      </c>
      <c r="J795" s="939" t="s">
        <v>2133</v>
      </c>
      <c r="K795" s="912"/>
      <c r="L795" s="912"/>
      <c r="M795" s="938"/>
      <c r="N795" s="912">
        <v>1</v>
      </c>
      <c r="O795" s="912">
        <v>5</v>
      </c>
      <c r="P795" s="938">
        <f t="shared" si="31"/>
        <v>22840</v>
      </c>
    </row>
    <row r="796" spans="1:16" x14ac:dyDescent="0.2">
      <c r="A796" s="937" t="s">
        <v>2126</v>
      </c>
      <c r="B796" s="912" t="s">
        <v>875</v>
      </c>
      <c r="C796" s="912" t="s">
        <v>80</v>
      </c>
      <c r="D796" s="912" t="s">
        <v>2127</v>
      </c>
      <c r="E796" s="938">
        <v>3344</v>
      </c>
      <c r="F796" s="926">
        <v>46607044</v>
      </c>
      <c r="G796" s="926" t="s">
        <v>2567</v>
      </c>
      <c r="H796" s="926" t="s">
        <v>1594</v>
      </c>
      <c r="I796" s="939" t="s">
        <v>2133</v>
      </c>
      <c r="J796" s="939" t="s">
        <v>2133</v>
      </c>
      <c r="K796" s="912"/>
      <c r="L796" s="912"/>
      <c r="M796" s="938"/>
      <c r="N796" s="912">
        <v>1</v>
      </c>
      <c r="O796" s="912">
        <v>3</v>
      </c>
      <c r="P796" s="938">
        <f t="shared" si="31"/>
        <v>10032</v>
      </c>
    </row>
    <row r="797" spans="1:16" x14ac:dyDescent="0.2">
      <c r="A797" s="937" t="s">
        <v>2126</v>
      </c>
      <c r="B797" s="912" t="s">
        <v>875</v>
      </c>
      <c r="C797" s="912" t="s">
        <v>80</v>
      </c>
      <c r="D797" s="912" t="s">
        <v>2127</v>
      </c>
      <c r="E797" s="938">
        <v>5532</v>
      </c>
      <c r="F797" s="926">
        <v>70656812</v>
      </c>
      <c r="G797" s="926" t="s">
        <v>2568</v>
      </c>
      <c r="H797" s="926" t="s">
        <v>1175</v>
      </c>
      <c r="I797" s="939" t="s">
        <v>2133</v>
      </c>
      <c r="J797" s="939" t="s">
        <v>2133</v>
      </c>
      <c r="K797" s="912"/>
      <c r="L797" s="912"/>
      <c r="M797" s="938"/>
      <c r="N797" s="912">
        <v>1</v>
      </c>
      <c r="O797" s="912">
        <v>5</v>
      </c>
      <c r="P797" s="938">
        <f t="shared" si="31"/>
        <v>27660</v>
      </c>
    </row>
    <row r="798" spans="1:16" x14ac:dyDescent="0.2">
      <c r="A798" s="937" t="s">
        <v>2126</v>
      </c>
      <c r="B798" s="912" t="s">
        <v>875</v>
      </c>
      <c r="C798" s="912" t="s">
        <v>80</v>
      </c>
      <c r="D798" s="912" t="s">
        <v>2127</v>
      </c>
      <c r="E798" s="938">
        <v>3344</v>
      </c>
      <c r="F798" s="926">
        <v>47000136</v>
      </c>
      <c r="G798" s="926" t="s">
        <v>2569</v>
      </c>
      <c r="H798" s="926" t="s">
        <v>1594</v>
      </c>
      <c r="I798" s="939" t="s">
        <v>2133</v>
      </c>
      <c r="J798" s="939" t="s">
        <v>2133</v>
      </c>
      <c r="K798" s="912"/>
      <c r="L798" s="912"/>
      <c r="M798" s="938"/>
      <c r="N798" s="912">
        <v>1</v>
      </c>
      <c r="O798" s="912">
        <v>3</v>
      </c>
      <c r="P798" s="938">
        <f t="shared" si="31"/>
        <v>10032</v>
      </c>
    </row>
    <row r="799" spans="1:16" x14ac:dyDescent="0.2">
      <c r="A799" s="937" t="s">
        <v>2126</v>
      </c>
      <c r="B799" s="912" t="s">
        <v>875</v>
      </c>
      <c r="C799" s="912" t="s">
        <v>80</v>
      </c>
      <c r="D799" s="912" t="s">
        <v>2127</v>
      </c>
      <c r="E799" s="938">
        <v>3344</v>
      </c>
      <c r="F799" s="926">
        <v>46082266</v>
      </c>
      <c r="G799" s="926" t="s">
        <v>2570</v>
      </c>
      <c r="H799" s="926" t="s">
        <v>1594</v>
      </c>
      <c r="I799" s="939" t="s">
        <v>2133</v>
      </c>
      <c r="J799" s="939" t="s">
        <v>2133</v>
      </c>
      <c r="K799" s="912"/>
      <c r="L799" s="912"/>
      <c r="M799" s="938"/>
      <c r="N799" s="912">
        <v>1</v>
      </c>
      <c r="O799" s="912">
        <v>5</v>
      </c>
      <c r="P799" s="938">
        <f t="shared" si="31"/>
        <v>16720</v>
      </c>
    </row>
    <row r="800" spans="1:16" x14ac:dyDescent="0.2">
      <c r="A800" s="937" t="s">
        <v>2126</v>
      </c>
      <c r="B800" s="912" t="s">
        <v>875</v>
      </c>
      <c r="C800" s="912" t="s">
        <v>80</v>
      </c>
      <c r="D800" s="912" t="s">
        <v>2136</v>
      </c>
      <c r="E800" s="938">
        <v>1300</v>
      </c>
      <c r="F800" s="926">
        <v>44027569</v>
      </c>
      <c r="G800" s="926" t="s">
        <v>2571</v>
      </c>
      <c r="H800" s="926" t="s">
        <v>1878</v>
      </c>
      <c r="I800" s="939" t="s">
        <v>1412</v>
      </c>
      <c r="J800" s="939" t="s">
        <v>1412</v>
      </c>
      <c r="K800" s="912"/>
      <c r="L800" s="912"/>
      <c r="M800" s="938"/>
      <c r="N800" s="912">
        <v>1</v>
      </c>
      <c r="O800" s="912">
        <v>1</v>
      </c>
      <c r="P800" s="938">
        <f t="shared" si="31"/>
        <v>1300</v>
      </c>
    </row>
    <row r="801" spans="1:16" x14ac:dyDescent="0.2">
      <c r="A801" s="937" t="s">
        <v>2126</v>
      </c>
      <c r="B801" s="912" t="s">
        <v>875</v>
      </c>
      <c r="C801" s="912" t="s">
        <v>80</v>
      </c>
      <c r="D801" s="912" t="s">
        <v>2127</v>
      </c>
      <c r="E801" s="938">
        <v>3344</v>
      </c>
      <c r="F801" s="926">
        <v>45399820</v>
      </c>
      <c r="G801" s="926" t="s">
        <v>2572</v>
      </c>
      <c r="H801" s="926" t="s">
        <v>1594</v>
      </c>
      <c r="I801" s="939" t="s">
        <v>2133</v>
      </c>
      <c r="J801" s="939" t="s">
        <v>2133</v>
      </c>
      <c r="K801" s="912"/>
      <c r="L801" s="912"/>
      <c r="M801" s="938"/>
      <c r="N801" s="912">
        <v>1</v>
      </c>
      <c r="O801" s="912">
        <v>5</v>
      </c>
      <c r="P801" s="938">
        <f t="shared" si="31"/>
        <v>16720</v>
      </c>
    </row>
    <row r="802" spans="1:16" x14ac:dyDescent="0.2">
      <c r="A802" s="937" t="s">
        <v>2126</v>
      </c>
      <c r="B802" s="912" t="s">
        <v>875</v>
      </c>
      <c r="C802" s="912" t="s">
        <v>80</v>
      </c>
      <c r="D802" s="912" t="s">
        <v>2127</v>
      </c>
      <c r="E802" s="938">
        <v>5532</v>
      </c>
      <c r="F802" s="926">
        <v>29579720</v>
      </c>
      <c r="G802" s="926" t="s">
        <v>2573</v>
      </c>
      <c r="H802" s="926" t="s">
        <v>1175</v>
      </c>
      <c r="I802" s="939" t="s">
        <v>2133</v>
      </c>
      <c r="J802" s="939" t="s">
        <v>2133</v>
      </c>
      <c r="K802" s="912"/>
      <c r="L802" s="912"/>
      <c r="M802" s="938"/>
      <c r="N802" s="912">
        <v>1</v>
      </c>
      <c r="O802" s="912">
        <v>3</v>
      </c>
      <c r="P802" s="938">
        <f t="shared" si="31"/>
        <v>16596</v>
      </c>
    </row>
    <row r="803" spans="1:16" x14ac:dyDescent="0.2">
      <c r="A803" s="937" t="s">
        <v>2126</v>
      </c>
      <c r="B803" s="912" t="s">
        <v>875</v>
      </c>
      <c r="C803" s="912" t="s">
        <v>80</v>
      </c>
      <c r="D803" s="912" t="s">
        <v>2127</v>
      </c>
      <c r="E803" s="938">
        <v>6000</v>
      </c>
      <c r="F803" s="926">
        <v>44455627</v>
      </c>
      <c r="G803" s="926" t="s">
        <v>2574</v>
      </c>
      <c r="H803" s="926" t="s">
        <v>1175</v>
      </c>
      <c r="I803" s="939" t="s">
        <v>2133</v>
      </c>
      <c r="J803" s="939" t="s">
        <v>2133</v>
      </c>
      <c r="K803" s="912"/>
      <c r="L803" s="912"/>
      <c r="M803" s="938"/>
      <c r="N803" s="912">
        <v>1</v>
      </c>
      <c r="O803" s="912">
        <v>3</v>
      </c>
      <c r="P803" s="938">
        <f t="shared" si="31"/>
        <v>18000</v>
      </c>
    </row>
    <row r="804" spans="1:16" x14ac:dyDescent="0.2">
      <c r="A804" s="937" t="s">
        <v>2126</v>
      </c>
      <c r="B804" s="912" t="s">
        <v>875</v>
      </c>
      <c r="C804" s="912" t="s">
        <v>80</v>
      </c>
      <c r="D804" s="912" t="s">
        <v>2127</v>
      </c>
      <c r="E804" s="938">
        <v>5532</v>
      </c>
      <c r="F804" s="926">
        <v>47370004</v>
      </c>
      <c r="G804" s="926" t="s">
        <v>2575</v>
      </c>
      <c r="H804" s="926" t="s">
        <v>1175</v>
      </c>
      <c r="I804" s="939" t="s">
        <v>2133</v>
      </c>
      <c r="J804" s="939" t="s">
        <v>2133</v>
      </c>
      <c r="K804" s="912"/>
      <c r="L804" s="912"/>
      <c r="M804" s="938"/>
      <c r="N804" s="912">
        <v>1</v>
      </c>
      <c r="O804" s="912">
        <v>3</v>
      </c>
      <c r="P804" s="938">
        <f t="shared" si="31"/>
        <v>16596</v>
      </c>
    </row>
    <row r="805" spans="1:16" x14ac:dyDescent="0.2">
      <c r="A805" s="937" t="s">
        <v>2126</v>
      </c>
      <c r="B805" s="912" t="s">
        <v>875</v>
      </c>
      <c r="C805" s="912" t="s">
        <v>80</v>
      </c>
      <c r="D805" s="912" t="s">
        <v>2127</v>
      </c>
      <c r="E805" s="938">
        <v>5532</v>
      </c>
      <c r="F805" s="926">
        <v>41616784</v>
      </c>
      <c r="G805" s="926" t="s">
        <v>2576</v>
      </c>
      <c r="H805" s="926" t="s">
        <v>1175</v>
      </c>
      <c r="I805" s="939" t="s">
        <v>2133</v>
      </c>
      <c r="J805" s="939" t="s">
        <v>2133</v>
      </c>
      <c r="K805" s="912"/>
      <c r="L805" s="912"/>
      <c r="M805" s="938"/>
      <c r="N805" s="912">
        <v>1</v>
      </c>
      <c r="O805" s="912">
        <v>3</v>
      </c>
      <c r="P805" s="938">
        <f t="shared" si="31"/>
        <v>16596</v>
      </c>
    </row>
    <row r="806" spans="1:16" x14ac:dyDescent="0.2">
      <c r="A806" s="937" t="s">
        <v>2126</v>
      </c>
      <c r="B806" s="912" t="s">
        <v>875</v>
      </c>
      <c r="C806" s="912" t="s">
        <v>80</v>
      </c>
      <c r="D806" s="912" t="s">
        <v>2127</v>
      </c>
      <c r="E806" s="938">
        <v>2041</v>
      </c>
      <c r="F806" s="926">
        <v>43357687</v>
      </c>
      <c r="G806" s="926" t="s">
        <v>2577</v>
      </c>
      <c r="H806" s="926" t="s">
        <v>1666</v>
      </c>
      <c r="I806" s="939" t="s">
        <v>2133</v>
      </c>
      <c r="J806" s="939" t="s">
        <v>2133</v>
      </c>
      <c r="K806" s="912"/>
      <c r="L806" s="912"/>
      <c r="M806" s="938"/>
      <c r="N806" s="912">
        <v>1</v>
      </c>
      <c r="O806" s="912">
        <v>5</v>
      </c>
      <c r="P806" s="938">
        <f t="shared" si="31"/>
        <v>10205</v>
      </c>
    </row>
    <row r="807" spans="1:16" x14ac:dyDescent="0.2">
      <c r="A807" s="937" t="s">
        <v>2126</v>
      </c>
      <c r="B807" s="912" t="s">
        <v>875</v>
      </c>
      <c r="C807" s="912" t="s">
        <v>80</v>
      </c>
      <c r="D807" s="912" t="s">
        <v>2127</v>
      </c>
      <c r="E807" s="938">
        <v>3344</v>
      </c>
      <c r="F807" s="926">
        <v>45239469</v>
      </c>
      <c r="G807" s="926" t="s">
        <v>2578</v>
      </c>
      <c r="H807" s="926" t="s">
        <v>1594</v>
      </c>
      <c r="I807" s="939" t="s">
        <v>2133</v>
      </c>
      <c r="J807" s="939" t="s">
        <v>2133</v>
      </c>
      <c r="K807" s="912"/>
      <c r="L807" s="912"/>
      <c r="M807" s="938"/>
      <c r="N807" s="912">
        <v>1</v>
      </c>
      <c r="O807" s="912">
        <v>5</v>
      </c>
      <c r="P807" s="938">
        <f t="shared" si="31"/>
        <v>16720</v>
      </c>
    </row>
    <row r="808" spans="1:16" x14ac:dyDescent="0.2">
      <c r="A808" s="937" t="s">
        <v>2126</v>
      </c>
      <c r="B808" s="912" t="s">
        <v>875</v>
      </c>
      <c r="C808" s="912" t="s">
        <v>80</v>
      </c>
      <c r="D808" s="912" t="s">
        <v>2127</v>
      </c>
      <c r="E808" s="938">
        <v>5532</v>
      </c>
      <c r="F808" s="926">
        <v>45912735</v>
      </c>
      <c r="G808" s="926" t="s">
        <v>2579</v>
      </c>
      <c r="H808" s="926" t="s">
        <v>1175</v>
      </c>
      <c r="I808" s="939" t="s">
        <v>2133</v>
      </c>
      <c r="J808" s="939" t="s">
        <v>2133</v>
      </c>
      <c r="K808" s="912"/>
      <c r="L808" s="912"/>
      <c r="M808" s="938"/>
      <c r="N808" s="912">
        <v>1</v>
      </c>
      <c r="O808" s="912">
        <v>5</v>
      </c>
      <c r="P808" s="938">
        <f t="shared" si="31"/>
        <v>27660</v>
      </c>
    </row>
    <row r="809" spans="1:16" x14ac:dyDescent="0.2">
      <c r="A809" s="937" t="s">
        <v>2126</v>
      </c>
      <c r="B809" s="912" t="s">
        <v>875</v>
      </c>
      <c r="C809" s="912" t="s">
        <v>80</v>
      </c>
      <c r="D809" s="912" t="s">
        <v>2127</v>
      </c>
      <c r="E809" s="938">
        <v>3344</v>
      </c>
      <c r="F809" s="926">
        <v>40687439</v>
      </c>
      <c r="G809" s="926" t="s">
        <v>2580</v>
      </c>
      <c r="H809" s="926" t="s">
        <v>1594</v>
      </c>
      <c r="I809" s="939" t="s">
        <v>2133</v>
      </c>
      <c r="J809" s="939" t="s">
        <v>2133</v>
      </c>
      <c r="K809" s="912"/>
      <c r="L809" s="912"/>
      <c r="M809" s="938"/>
      <c r="N809" s="912">
        <v>1</v>
      </c>
      <c r="O809" s="912">
        <v>5</v>
      </c>
      <c r="P809" s="938">
        <f t="shared" si="31"/>
        <v>16720</v>
      </c>
    </row>
    <row r="810" spans="1:16" x14ac:dyDescent="0.2">
      <c r="A810" s="937" t="s">
        <v>2126</v>
      </c>
      <c r="B810" s="912" t="s">
        <v>875</v>
      </c>
      <c r="C810" s="912" t="s">
        <v>80</v>
      </c>
      <c r="D810" s="912" t="s">
        <v>2127</v>
      </c>
      <c r="E810" s="938">
        <v>5532</v>
      </c>
      <c r="F810" s="926">
        <v>43977333</v>
      </c>
      <c r="G810" s="926" t="s">
        <v>2581</v>
      </c>
      <c r="H810" s="926" t="s">
        <v>1175</v>
      </c>
      <c r="I810" s="939" t="s">
        <v>2133</v>
      </c>
      <c r="J810" s="939" t="s">
        <v>2133</v>
      </c>
      <c r="K810" s="912"/>
      <c r="L810" s="912"/>
      <c r="M810" s="938"/>
      <c r="N810" s="912">
        <v>1</v>
      </c>
      <c r="O810" s="912">
        <v>2</v>
      </c>
      <c r="P810" s="938">
        <f t="shared" si="31"/>
        <v>11064</v>
      </c>
    </row>
    <row r="811" spans="1:16" x14ac:dyDescent="0.2">
      <c r="A811" s="937" t="s">
        <v>2126</v>
      </c>
      <c r="B811" s="912" t="s">
        <v>875</v>
      </c>
      <c r="C811" s="912" t="s">
        <v>80</v>
      </c>
      <c r="D811" s="912" t="s">
        <v>2127</v>
      </c>
      <c r="E811" s="938">
        <v>2041</v>
      </c>
      <c r="F811" s="926">
        <v>74843122</v>
      </c>
      <c r="G811" s="926" t="s">
        <v>2582</v>
      </c>
      <c r="H811" s="926" t="s">
        <v>740</v>
      </c>
      <c r="I811" s="939" t="s">
        <v>2133</v>
      </c>
      <c r="J811" s="939" t="s">
        <v>2133</v>
      </c>
      <c r="K811" s="912"/>
      <c r="L811" s="912"/>
      <c r="M811" s="938"/>
      <c r="N811" s="912">
        <v>1</v>
      </c>
      <c r="O811" s="912">
        <v>2</v>
      </c>
      <c r="P811" s="938">
        <f t="shared" si="31"/>
        <v>4082</v>
      </c>
    </row>
    <row r="812" spans="1:16" x14ac:dyDescent="0.2">
      <c r="A812" s="937" t="s">
        <v>2126</v>
      </c>
      <c r="B812" s="912" t="s">
        <v>875</v>
      </c>
      <c r="C812" s="912" t="s">
        <v>80</v>
      </c>
      <c r="D812" s="912" t="s">
        <v>2127</v>
      </c>
      <c r="E812" s="938">
        <v>3344</v>
      </c>
      <c r="F812" s="926">
        <v>46107945</v>
      </c>
      <c r="G812" s="926" t="s">
        <v>2583</v>
      </c>
      <c r="H812" s="926" t="s">
        <v>1594</v>
      </c>
      <c r="I812" s="939" t="s">
        <v>2133</v>
      </c>
      <c r="J812" s="939" t="s">
        <v>2133</v>
      </c>
      <c r="K812" s="912"/>
      <c r="L812" s="912"/>
      <c r="M812" s="938"/>
      <c r="N812" s="912">
        <v>1</v>
      </c>
      <c r="O812" s="912">
        <v>3</v>
      </c>
      <c r="P812" s="938">
        <f t="shared" si="31"/>
        <v>10032</v>
      </c>
    </row>
    <row r="813" spans="1:16" x14ac:dyDescent="0.2">
      <c r="A813" s="937" t="s">
        <v>2126</v>
      </c>
      <c r="B813" s="912" t="s">
        <v>875</v>
      </c>
      <c r="C813" s="912" t="s">
        <v>80</v>
      </c>
      <c r="D813" s="912" t="s">
        <v>2127</v>
      </c>
      <c r="E813" s="938">
        <v>5532</v>
      </c>
      <c r="F813" s="926">
        <v>46266472</v>
      </c>
      <c r="G813" s="926" t="s">
        <v>2584</v>
      </c>
      <c r="H813" s="926" t="s">
        <v>1175</v>
      </c>
      <c r="I813" s="939" t="s">
        <v>2133</v>
      </c>
      <c r="J813" s="939" t="s">
        <v>2133</v>
      </c>
      <c r="K813" s="912"/>
      <c r="L813" s="912"/>
      <c r="M813" s="938"/>
      <c r="N813" s="912">
        <v>1</v>
      </c>
      <c r="O813" s="912">
        <v>2</v>
      </c>
      <c r="P813" s="938">
        <f t="shared" ref="P813:P876" si="32">E813*O813</f>
        <v>11064</v>
      </c>
    </row>
    <row r="814" spans="1:16" x14ac:dyDescent="0.2">
      <c r="A814" s="937" t="s">
        <v>2126</v>
      </c>
      <c r="B814" s="912" t="s">
        <v>875</v>
      </c>
      <c r="C814" s="912" t="s">
        <v>80</v>
      </c>
      <c r="D814" s="912" t="s">
        <v>2127</v>
      </c>
      <c r="E814" s="938">
        <v>3344</v>
      </c>
      <c r="F814" s="926">
        <v>42183501</v>
      </c>
      <c r="G814" s="926" t="s">
        <v>2585</v>
      </c>
      <c r="H814" s="926" t="s">
        <v>1594</v>
      </c>
      <c r="I814" s="939" t="s">
        <v>2133</v>
      </c>
      <c r="J814" s="939" t="s">
        <v>2133</v>
      </c>
      <c r="K814" s="912"/>
      <c r="L814" s="912"/>
      <c r="M814" s="938"/>
      <c r="N814" s="912">
        <v>1</v>
      </c>
      <c r="O814" s="912">
        <v>4</v>
      </c>
      <c r="P814" s="938">
        <f t="shared" si="32"/>
        <v>13376</v>
      </c>
    </row>
    <row r="815" spans="1:16" x14ac:dyDescent="0.2">
      <c r="A815" s="937" t="s">
        <v>2126</v>
      </c>
      <c r="B815" s="912" t="s">
        <v>875</v>
      </c>
      <c r="C815" s="912" t="s">
        <v>80</v>
      </c>
      <c r="D815" s="912" t="s">
        <v>2127</v>
      </c>
      <c r="E815" s="938">
        <v>3344</v>
      </c>
      <c r="F815" s="926">
        <v>44190678</v>
      </c>
      <c r="G815" s="926" t="s">
        <v>2586</v>
      </c>
      <c r="H815" s="926" t="s">
        <v>1594</v>
      </c>
      <c r="I815" s="939" t="s">
        <v>2133</v>
      </c>
      <c r="J815" s="939" t="s">
        <v>2133</v>
      </c>
      <c r="K815" s="912"/>
      <c r="L815" s="912"/>
      <c r="M815" s="938"/>
      <c r="N815" s="912">
        <v>1</v>
      </c>
      <c r="O815" s="912">
        <v>2</v>
      </c>
      <c r="P815" s="938">
        <f t="shared" si="32"/>
        <v>6688</v>
      </c>
    </row>
    <row r="816" spans="1:16" x14ac:dyDescent="0.2">
      <c r="A816" s="937" t="s">
        <v>2126</v>
      </c>
      <c r="B816" s="912" t="s">
        <v>875</v>
      </c>
      <c r="C816" s="912" t="s">
        <v>80</v>
      </c>
      <c r="D816" s="912" t="s">
        <v>2127</v>
      </c>
      <c r="E816" s="938">
        <v>5532</v>
      </c>
      <c r="F816" s="926">
        <v>43087698</v>
      </c>
      <c r="G816" s="926" t="s">
        <v>2587</v>
      </c>
      <c r="H816" s="926" t="s">
        <v>1175</v>
      </c>
      <c r="I816" s="939" t="s">
        <v>2133</v>
      </c>
      <c r="J816" s="939" t="s">
        <v>2133</v>
      </c>
      <c r="K816" s="912"/>
      <c r="L816" s="912"/>
      <c r="M816" s="938"/>
      <c r="N816" s="912">
        <v>1</v>
      </c>
      <c r="O816" s="912">
        <v>2</v>
      </c>
      <c r="P816" s="938">
        <f t="shared" si="32"/>
        <v>11064</v>
      </c>
    </row>
    <row r="817" spans="1:16" x14ac:dyDescent="0.2">
      <c r="A817" s="937" t="s">
        <v>2126</v>
      </c>
      <c r="B817" s="912" t="s">
        <v>875</v>
      </c>
      <c r="C817" s="912" t="s">
        <v>80</v>
      </c>
      <c r="D817" s="912" t="s">
        <v>2127</v>
      </c>
      <c r="E817" s="938">
        <v>3344</v>
      </c>
      <c r="F817" s="926">
        <v>72163342</v>
      </c>
      <c r="G817" s="926" t="s">
        <v>2588</v>
      </c>
      <c r="H817" s="926" t="s">
        <v>2163</v>
      </c>
      <c r="I817" s="939" t="s">
        <v>2133</v>
      </c>
      <c r="J817" s="939" t="s">
        <v>2133</v>
      </c>
      <c r="K817" s="912"/>
      <c r="L817" s="912"/>
      <c r="M817" s="938"/>
      <c r="N817" s="912">
        <v>1</v>
      </c>
      <c r="O817" s="912">
        <v>2</v>
      </c>
      <c r="P817" s="938">
        <f t="shared" si="32"/>
        <v>6688</v>
      </c>
    </row>
    <row r="818" spans="1:16" x14ac:dyDescent="0.2">
      <c r="A818" s="937" t="s">
        <v>2126</v>
      </c>
      <c r="B818" s="912" t="s">
        <v>875</v>
      </c>
      <c r="C818" s="912" t="s">
        <v>80</v>
      </c>
      <c r="D818" s="912" t="s">
        <v>2127</v>
      </c>
      <c r="E818" s="938">
        <v>5532</v>
      </c>
      <c r="F818" s="926">
        <v>45450261</v>
      </c>
      <c r="G818" s="926" t="s">
        <v>2589</v>
      </c>
      <c r="H818" s="926" t="s">
        <v>1175</v>
      </c>
      <c r="I818" s="939" t="s">
        <v>2133</v>
      </c>
      <c r="J818" s="939" t="s">
        <v>2133</v>
      </c>
      <c r="K818" s="912"/>
      <c r="L818" s="912"/>
      <c r="M818" s="938"/>
      <c r="N818" s="912">
        <v>1</v>
      </c>
      <c r="O818" s="912">
        <v>1</v>
      </c>
      <c r="P818" s="938">
        <f t="shared" si="32"/>
        <v>5532</v>
      </c>
    </row>
    <row r="819" spans="1:16" x14ac:dyDescent="0.2">
      <c r="A819" s="937" t="s">
        <v>2126</v>
      </c>
      <c r="B819" s="912" t="s">
        <v>875</v>
      </c>
      <c r="C819" s="912" t="s">
        <v>80</v>
      </c>
      <c r="D819" s="912" t="s">
        <v>2127</v>
      </c>
      <c r="E819" s="938">
        <v>2041</v>
      </c>
      <c r="F819" s="926">
        <v>42419996</v>
      </c>
      <c r="G819" s="926" t="s">
        <v>2590</v>
      </c>
      <c r="H819" s="926" t="s">
        <v>1028</v>
      </c>
      <c r="I819" s="939" t="s">
        <v>2133</v>
      </c>
      <c r="J819" s="939" t="s">
        <v>2133</v>
      </c>
      <c r="K819" s="912"/>
      <c r="L819" s="912"/>
      <c r="M819" s="938"/>
      <c r="N819" s="912">
        <v>1</v>
      </c>
      <c r="O819" s="912">
        <v>5</v>
      </c>
      <c r="P819" s="938">
        <f t="shared" si="32"/>
        <v>10205</v>
      </c>
    </row>
    <row r="820" spans="1:16" x14ac:dyDescent="0.2">
      <c r="A820" s="937" t="s">
        <v>2126</v>
      </c>
      <c r="B820" s="912" t="s">
        <v>875</v>
      </c>
      <c r="C820" s="912" t="s">
        <v>80</v>
      </c>
      <c r="D820" s="912" t="s">
        <v>2136</v>
      </c>
      <c r="E820" s="938">
        <v>1300</v>
      </c>
      <c r="F820" s="926">
        <v>72786720</v>
      </c>
      <c r="G820" s="926" t="s">
        <v>2591</v>
      </c>
      <c r="H820" s="926" t="s">
        <v>1783</v>
      </c>
      <c r="I820" s="939" t="s">
        <v>1412</v>
      </c>
      <c r="J820" s="939" t="s">
        <v>1412</v>
      </c>
      <c r="K820" s="912"/>
      <c r="L820" s="912"/>
      <c r="M820" s="938"/>
      <c r="N820" s="912">
        <v>1</v>
      </c>
      <c r="O820" s="912">
        <v>1</v>
      </c>
      <c r="P820" s="938">
        <f t="shared" si="32"/>
        <v>1300</v>
      </c>
    </row>
    <row r="821" spans="1:16" x14ac:dyDescent="0.2">
      <c r="A821" s="937" t="s">
        <v>2126</v>
      </c>
      <c r="B821" s="912" t="s">
        <v>875</v>
      </c>
      <c r="C821" s="912" t="s">
        <v>80</v>
      </c>
      <c r="D821" s="912" t="s">
        <v>2127</v>
      </c>
      <c r="E821" s="938">
        <v>6000</v>
      </c>
      <c r="F821" s="926">
        <v>46334133</v>
      </c>
      <c r="G821" s="926" t="s">
        <v>2592</v>
      </c>
      <c r="H821" s="926" t="s">
        <v>1175</v>
      </c>
      <c r="I821" s="939" t="s">
        <v>2133</v>
      </c>
      <c r="J821" s="939" t="s">
        <v>2133</v>
      </c>
      <c r="K821" s="912"/>
      <c r="L821" s="912"/>
      <c r="M821" s="938"/>
      <c r="N821" s="912">
        <v>1</v>
      </c>
      <c r="O821" s="912">
        <v>5</v>
      </c>
      <c r="P821" s="938">
        <f t="shared" si="32"/>
        <v>30000</v>
      </c>
    </row>
    <row r="822" spans="1:16" x14ac:dyDescent="0.2">
      <c r="A822" s="937" t="s">
        <v>2126</v>
      </c>
      <c r="B822" s="912" t="s">
        <v>875</v>
      </c>
      <c r="C822" s="912" t="s">
        <v>80</v>
      </c>
      <c r="D822" s="912" t="s">
        <v>2127</v>
      </c>
      <c r="E822" s="938">
        <v>2041</v>
      </c>
      <c r="F822" s="926">
        <v>70300856</v>
      </c>
      <c r="G822" s="926" t="s">
        <v>2593</v>
      </c>
      <c r="H822" s="926" t="s">
        <v>1028</v>
      </c>
      <c r="I822" s="939" t="s">
        <v>2133</v>
      </c>
      <c r="J822" s="939" t="s">
        <v>2133</v>
      </c>
      <c r="K822" s="912"/>
      <c r="L822" s="912"/>
      <c r="M822" s="938"/>
      <c r="N822" s="912">
        <v>1</v>
      </c>
      <c r="O822" s="912">
        <v>5</v>
      </c>
      <c r="P822" s="938">
        <f t="shared" si="32"/>
        <v>10205</v>
      </c>
    </row>
    <row r="823" spans="1:16" x14ac:dyDescent="0.2">
      <c r="A823" s="937" t="s">
        <v>2126</v>
      </c>
      <c r="B823" s="912" t="s">
        <v>875</v>
      </c>
      <c r="C823" s="912" t="s">
        <v>80</v>
      </c>
      <c r="D823" s="912" t="s">
        <v>2127</v>
      </c>
      <c r="E823" s="938">
        <v>2041</v>
      </c>
      <c r="F823" s="926">
        <v>44079577</v>
      </c>
      <c r="G823" s="926" t="s">
        <v>2594</v>
      </c>
      <c r="H823" s="926" t="s">
        <v>1028</v>
      </c>
      <c r="I823" s="939" t="s">
        <v>2133</v>
      </c>
      <c r="J823" s="939" t="s">
        <v>2133</v>
      </c>
      <c r="K823" s="912"/>
      <c r="L823" s="912"/>
      <c r="M823" s="938"/>
      <c r="N823" s="912">
        <v>1</v>
      </c>
      <c r="O823" s="912">
        <v>5</v>
      </c>
      <c r="P823" s="938">
        <f t="shared" si="32"/>
        <v>10205</v>
      </c>
    </row>
    <row r="824" spans="1:16" x14ac:dyDescent="0.2">
      <c r="A824" s="937" t="s">
        <v>2126</v>
      </c>
      <c r="B824" s="912" t="s">
        <v>875</v>
      </c>
      <c r="C824" s="912" t="s">
        <v>80</v>
      </c>
      <c r="D824" s="912" t="s">
        <v>2127</v>
      </c>
      <c r="E824" s="938">
        <v>2041</v>
      </c>
      <c r="F824" s="926">
        <v>43265884</v>
      </c>
      <c r="G824" s="926" t="s">
        <v>2595</v>
      </c>
      <c r="H824" s="926" t="s">
        <v>1028</v>
      </c>
      <c r="I824" s="939" t="s">
        <v>2133</v>
      </c>
      <c r="J824" s="939" t="s">
        <v>2133</v>
      </c>
      <c r="K824" s="912"/>
      <c r="L824" s="912"/>
      <c r="M824" s="938"/>
      <c r="N824" s="912">
        <v>1</v>
      </c>
      <c r="O824" s="912">
        <v>5</v>
      </c>
      <c r="P824" s="938">
        <f t="shared" si="32"/>
        <v>10205</v>
      </c>
    </row>
    <row r="825" spans="1:16" x14ac:dyDescent="0.2">
      <c r="A825" s="937" t="s">
        <v>2126</v>
      </c>
      <c r="B825" s="912" t="s">
        <v>875</v>
      </c>
      <c r="C825" s="912" t="s">
        <v>80</v>
      </c>
      <c r="D825" s="912" t="s">
        <v>2136</v>
      </c>
      <c r="E825" s="938">
        <v>1300</v>
      </c>
      <c r="F825" s="926">
        <v>46547850</v>
      </c>
      <c r="G825" s="926" t="s">
        <v>2596</v>
      </c>
      <c r="H825" s="926" t="s">
        <v>1052</v>
      </c>
      <c r="I825" s="939" t="s">
        <v>1412</v>
      </c>
      <c r="J825" s="939" t="s">
        <v>1412</v>
      </c>
      <c r="K825" s="912"/>
      <c r="L825" s="912"/>
      <c r="M825" s="938"/>
      <c r="N825" s="912">
        <v>1</v>
      </c>
      <c r="O825" s="912">
        <v>1</v>
      </c>
      <c r="P825" s="938">
        <f t="shared" si="32"/>
        <v>1300</v>
      </c>
    </row>
    <row r="826" spans="1:16" x14ac:dyDescent="0.2">
      <c r="A826" s="937" t="s">
        <v>2126</v>
      </c>
      <c r="B826" s="912" t="s">
        <v>875</v>
      </c>
      <c r="C826" s="912" t="s">
        <v>80</v>
      </c>
      <c r="D826" s="912" t="s">
        <v>2127</v>
      </c>
      <c r="E826" s="938">
        <v>2041</v>
      </c>
      <c r="F826" s="926">
        <v>43292130</v>
      </c>
      <c r="G826" s="926" t="s">
        <v>2597</v>
      </c>
      <c r="H826" s="926" t="s">
        <v>1028</v>
      </c>
      <c r="I826" s="939" t="s">
        <v>2133</v>
      </c>
      <c r="J826" s="939" t="s">
        <v>2133</v>
      </c>
      <c r="K826" s="912"/>
      <c r="L826" s="912"/>
      <c r="M826" s="938"/>
      <c r="N826" s="912">
        <v>1</v>
      </c>
      <c r="O826" s="912">
        <v>5</v>
      </c>
      <c r="P826" s="938">
        <f t="shared" si="32"/>
        <v>10205</v>
      </c>
    </row>
    <row r="827" spans="1:16" x14ac:dyDescent="0.2">
      <c r="A827" s="937" t="s">
        <v>2126</v>
      </c>
      <c r="B827" s="912" t="s">
        <v>875</v>
      </c>
      <c r="C827" s="912" t="s">
        <v>80</v>
      </c>
      <c r="D827" s="912" t="s">
        <v>2136</v>
      </c>
      <c r="E827" s="938">
        <v>1300</v>
      </c>
      <c r="F827" s="926">
        <v>42432113</v>
      </c>
      <c r="G827" s="926" t="s">
        <v>2598</v>
      </c>
      <c r="H827" s="926" t="s">
        <v>1052</v>
      </c>
      <c r="I827" s="939" t="s">
        <v>1412</v>
      </c>
      <c r="J827" s="939" t="s">
        <v>1412</v>
      </c>
      <c r="K827" s="912"/>
      <c r="L827" s="912"/>
      <c r="M827" s="938"/>
      <c r="N827" s="912">
        <v>1</v>
      </c>
      <c r="O827" s="912">
        <v>1</v>
      </c>
      <c r="P827" s="938">
        <f t="shared" si="32"/>
        <v>1300</v>
      </c>
    </row>
    <row r="828" spans="1:16" x14ac:dyDescent="0.2">
      <c r="A828" s="937" t="s">
        <v>2126</v>
      </c>
      <c r="B828" s="912" t="s">
        <v>875</v>
      </c>
      <c r="C828" s="912" t="s">
        <v>80</v>
      </c>
      <c r="D828" s="912" t="s">
        <v>2127</v>
      </c>
      <c r="E828" s="938">
        <v>2041</v>
      </c>
      <c r="F828" s="926">
        <v>43668693</v>
      </c>
      <c r="G828" s="926" t="s">
        <v>2599</v>
      </c>
      <c r="H828" s="926" t="s">
        <v>1028</v>
      </c>
      <c r="I828" s="939" t="s">
        <v>2133</v>
      </c>
      <c r="J828" s="939" t="s">
        <v>2133</v>
      </c>
      <c r="K828" s="912"/>
      <c r="L828" s="912"/>
      <c r="M828" s="938"/>
      <c r="N828" s="912">
        <v>1</v>
      </c>
      <c r="O828" s="912">
        <v>5</v>
      </c>
      <c r="P828" s="938">
        <f t="shared" si="32"/>
        <v>10205</v>
      </c>
    </row>
    <row r="829" spans="1:16" x14ac:dyDescent="0.2">
      <c r="A829" s="937" t="s">
        <v>2126</v>
      </c>
      <c r="B829" s="912" t="s">
        <v>875</v>
      </c>
      <c r="C829" s="912" t="s">
        <v>80</v>
      </c>
      <c r="D829" s="912" t="s">
        <v>2136</v>
      </c>
      <c r="E829" s="938">
        <v>1300</v>
      </c>
      <c r="F829" s="926">
        <v>45152323</v>
      </c>
      <c r="G829" s="926" t="s">
        <v>2600</v>
      </c>
      <c r="H829" s="926" t="s">
        <v>1783</v>
      </c>
      <c r="I829" s="939" t="s">
        <v>1412</v>
      </c>
      <c r="J829" s="939" t="s">
        <v>1412</v>
      </c>
      <c r="K829" s="912"/>
      <c r="L829" s="912"/>
      <c r="M829" s="938"/>
      <c r="N829" s="912">
        <v>1</v>
      </c>
      <c r="O829" s="912">
        <v>1</v>
      </c>
      <c r="P829" s="938">
        <f t="shared" si="32"/>
        <v>1300</v>
      </c>
    </row>
    <row r="830" spans="1:16" x14ac:dyDescent="0.2">
      <c r="A830" s="937" t="s">
        <v>2126</v>
      </c>
      <c r="B830" s="912" t="s">
        <v>875</v>
      </c>
      <c r="C830" s="912" t="s">
        <v>80</v>
      </c>
      <c r="D830" s="912" t="s">
        <v>2127</v>
      </c>
      <c r="E830" s="938">
        <v>2041</v>
      </c>
      <c r="F830" s="926">
        <v>29242863</v>
      </c>
      <c r="G830" s="926" t="s">
        <v>2601</v>
      </c>
      <c r="H830" s="926" t="s">
        <v>1028</v>
      </c>
      <c r="I830" s="939" t="s">
        <v>2133</v>
      </c>
      <c r="J830" s="939" t="s">
        <v>2133</v>
      </c>
      <c r="K830" s="912"/>
      <c r="L830" s="912"/>
      <c r="M830" s="938"/>
      <c r="N830" s="912">
        <v>1</v>
      </c>
      <c r="O830" s="912">
        <v>5</v>
      </c>
      <c r="P830" s="938">
        <f t="shared" si="32"/>
        <v>10205</v>
      </c>
    </row>
    <row r="831" spans="1:16" x14ac:dyDescent="0.2">
      <c r="A831" s="937" t="s">
        <v>2126</v>
      </c>
      <c r="B831" s="912" t="s">
        <v>875</v>
      </c>
      <c r="C831" s="912" t="s">
        <v>80</v>
      </c>
      <c r="D831" s="912" t="s">
        <v>2127</v>
      </c>
      <c r="E831" s="938">
        <v>2041</v>
      </c>
      <c r="F831" s="926">
        <v>45121080</v>
      </c>
      <c r="G831" s="926" t="s">
        <v>2602</v>
      </c>
      <c r="H831" s="926" t="s">
        <v>1028</v>
      </c>
      <c r="I831" s="939" t="s">
        <v>2133</v>
      </c>
      <c r="J831" s="939" t="s">
        <v>2133</v>
      </c>
      <c r="K831" s="912"/>
      <c r="L831" s="912"/>
      <c r="M831" s="938"/>
      <c r="N831" s="912">
        <v>1</v>
      </c>
      <c r="O831" s="912">
        <v>5</v>
      </c>
      <c r="P831" s="938">
        <f t="shared" si="32"/>
        <v>10205</v>
      </c>
    </row>
    <row r="832" spans="1:16" x14ac:dyDescent="0.2">
      <c r="A832" s="937" t="s">
        <v>2126</v>
      </c>
      <c r="B832" s="912" t="s">
        <v>875</v>
      </c>
      <c r="C832" s="912" t="s">
        <v>80</v>
      </c>
      <c r="D832" s="912" t="s">
        <v>2127</v>
      </c>
      <c r="E832" s="938">
        <v>2041</v>
      </c>
      <c r="F832" s="926">
        <v>41582991</v>
      </c>
      <c r="G832" s="926" t="s">
        <v>2603</v>
      </c>
      <c r="H832" s="926" t="s">
        <v>1028</v>
      </c>
      <c r="I832" s="939" t="s">
        <v>2133</v>
      </c>
      <c r="J832" s="939" t="s">
        <v>2133</v>
      </c>
      <c r="K832" s="912"/>
      <c r="L832" s="912"/>
      <c r="M832" s="938"/>
      <c r="N832" s="912">
        <v>1</v>
      </c>
      <c r="O832" s="912">
        <v>5</v>
      </c>
      <c r="P832" s="938">
        <f t="shared" si="32"/>
        <v>10205</v>
      </c>
    </row>
    <row r="833" spans="1:16" x14ac:dyDescent="0.2">
      <c r="A833" s="937" t="s">
        <v>2126</v>
      </c>
      <c r="B833" s="912" t="s">
        <v>875</v>
      </c>
      <c r="C833" s="912" t="s">
        <v>80</v>
      </c>
      <c r="D833" s="912" t="s">
        <v>2127</v>
      </c>
      <c r="E833" s="938">
        <v>2041</v>
      </c>
      <c r="F833" s="926">
        <v>29374830</v>
      </c>
      <c r="G833" s="926" t="s">
        <v>2604</v>
      </c>
      <c r="H833" s="926" t="s">
        <v>1028</v>
      </c>
      <c r="I833" s="939" t="s">
        <v>2133</v>
      </c>
      <c r="J833" s="939" t="s">
        <v>2133</v>
      </c>
      <c r="K833" s="912"/>
      <c r="L833" s="912"/>
      <c r="M833" s="938"/>
      <c r="N833" s="912">
        <v>1</v>
      </c>
      <c r="O833" s="912">
        <v>5</v>
      </c>
      <c r="P833" s="938">
        <f t="shared" si="32"/>
        <v>10205</v>
      </c>
    </row>
    <row r="834" spans="1:16" x14ac:dyDescent="0.2">
      <c r="A834" s="937" t="s">
        <v>2126</v>
      </c>
      <c r="B834" s="912" t="s">
        <v>875</v>
      </c>
      <c r="C834" s="912" t="s">
        <v>80</v>
      </c>
      <c r="D834" s="912" t="s">
        <v>2127</v>
      </c>
      <c r="E834" s="938">
        <v>5532</v>
      </c>
      <c r="F834" s="926">
        <v>45634103</v>
      </c>
      <c r="G834" s="926" t="s">
        <v>2605</v>
      </c>
      <c r="H834" s="926" t="s">
        <v>1175</v>
      </c>
      <c r="I834" s="939" t="s">
        <v>2133</v>
      </c>
      <c r="J834" s="939" t="s">
        <v>2133</v>
      </c>
      <c r="K834" s="912"/>
      <c r="L834" s="912"/>
      <c r="M834" s="938"/>
      <c r="N834" s="912">
        <v>1</v>
      </c>
      <c r="O834" s="912">
        <v>1</v>
      </c>
      <c r="P834" s="938">
        <f t="shared" si="32"/>
        <v>5532</v>
      </c>
    </row>
    <row r="835" spans="1:16" x14ac:dyDescent="0.2">
      <c r="A835" s="937" t="s">
        <v>2126</v>
      </c>
      <c r="B835" s="912" t="s">
        <v>875</v>
      </c>
      <c r="C835" s="912" t="s">
        <v>80</v>
      </c>
      <c r="D835" s="912" t="s">
        <v>2136</v>
      </c>
      <c r="E835" s="938">
        <v>1300</v>
      </c>
      <c r="F835" s="926">
        <v>29281971</v>
      </c>
      <c r="G835" s="926" t="s">
        <v>2606</v>
      </c>
      <c r="H835" s="926" t="s">
        <v>1783</v>
      </c>
      <c r="I835" s="939" t="s">
        <v>1412</v>
      </c>
      <c r="J835" s="939" t="s">
        <v>1412</v>
      </c>
      <c r="K835" s="912"/>
      <c r="L835" s="912"/>
      <c r="M835" s="938"/>
      <c r="N835" s="912">
        <v>1</v>
      </c>
      <c r="O835" s="912">
        <v>1</v>
      </c>
      <c r="P835" s="938">
        <f t="shared" si="32"/>
        <v>1300</v>
      </c>
    </row>
    <row r="836" spans="1:16" x14ac:dyDescent="0.2">
      <c r="A836" s="937" t="s">
        <v>2126</v>
      </c>
      <c r="B836" s="912" t="s">
        <v>875</v>
      </c>
      <c r="C836" s="912" t="s">
        <v>80</v>
      </c>
      <c r="D836" s="912" t="s">
        <v>2127</v>
      </c>
      <c r="E836" s="938">
        <v>5532</v>
      </c>
      <c r="F836" s="926">
        <v>45398510</v>
      </c>
      <c r="G836" s="926" t="s">
        <v>2607</v>
      </c>
      <c r="H836" s="926" t="s">
        <v>1175</v>
      </c>
      <c r="I836" s="939" t="s">
        <v>2133</v>
      </c>
      <c r="J836" s="939" t="s">
        <v>2133</v>
      </c>
      <c r="K836" s="912"/>
      <c r="L836" s="912"/>
      <c r="M836" s="938"/>
      <c r="N836" s="912">
        <v>1</v>
      </c>
      <c r="O836" s="912">
        <v>4</v>
      </c>
      <c r="P836" s="938">
        <f t="shared" si="32"/>
        <v>22128</v>
      </c>
    </row>
    <row r="837" spans="1:16" x14ac:dyDescent="0.2">
      <c r="A837" s="937" t="s">
        <v>2126</v>
      </c>
      <c r="B837" s="912" t="s">
        <v>875</v>
      </c>
      <c r="C837" s="912" t="s">
        <v>80</v>
      </c>
      <c r="D837" s="912" t="s">
        <v>2127</v>
      </c>
      <c r="E837" s="938">
        <v>2239</v>
      </c>
      <c r="F837" s="926">
        <v>29662813</v>
      </c>
      <c r="G837" s="926" t="s">
        <v>2608</v>
      </c>
      <c r="H837" s="926" t="s">
        <v>1641</v>
      </c>
      <c r="I837" s="939" t="s">
        <v>2133</v>
      </c>
      <c r="J837" s="939" t="s">
        <v>2133</v>
      </c>
      <c r="K837" s="912"/>
      <c r="L837" s="912"/>
      <c r="M837" s="938"/>
      <c r="N837" s="912">
        <v>1</v>
      </c>
      <c r="O837" s="912">
        <v>5</v>
      </c>
      <c r="P837" s="938">
        <f t="shared" si="32"/>
        <v>11195</v>
      </c>
    </row>
    <row r="838" spans="1:16" x14ac:dyDescent="0.2">
      <c r="A838" s="937" t="s">
        <v>2126</v>
      </c>
      <c r="B838" s="912" t="s">
        <v>875</v>
      </c>
      <c r="C838" s="912" t="s">
        <v>80</v>
      </c>
      <c r="D838" s="912" t="s">
        <v>2127</v>
      </c>
      <c r="E838" s="938">
        <v>2041</v>
      </c>
      <c r="F838" s="926">
        <v>45981996</v>
      </c>
      <c r="G838" s="926" t="s">
        <v>2609</v>
      </c>
      <c r="H838" s="926" t="s">
        <v>1028</v>
      </c>
      <c r="I838" s="939" t="s">
        <v>2133</v>
      </c>
      <c r="J838" s="939" t="s">
        <v>2133</v>
      </c>
      <c r="K838" s="912"/>
      <c r="L838" s="912"/>
      <c r="M838" s="938"/>
      <c r="N838" s="912">
        <v>1</v>
      </c>
      <c r="O838" s="912">
        <v>5</v>
      </c>
      <c r="P838" s="938">
        <f t="shared" si="32"/>
        <v>10205</v>
      </c>
    </row>
    <row r="839" spans="1:16" x14ac:dyDescent="0.2">
      <c r="A839" s="937" t="s">
        <v>2126</v>
      </c>
      <c r="B839" s="912" t="s">
        <v>875</v>
      </c>
      <c r="C839" s="912" t="s">
        <v>80</v>
      </c>
      <c r="D839" s="912" t="s">
        <v>2127</v>
      </c>
      <c r="E839" s="938">
        <v>2041</v>
      </c>
      <c r="F839" s="926">
        <v>80677464</v>
      </c>
      <c r="G839" s="926" t="s">
        <v>2610</v>
      </c>
      <c r="H839" s="926" t="s">
        <v>1028</v>
      </c>
      <c r="I839" s="939" t="s">
        <v>2133</v>
      </c>
      <c r="J839" s="939" t="s">
        <v>2133</v>
      </c>
      <c r="K839" s="912"/>
      <c r="L839" s="912"/>
      <c r="M839" s="938"/>
      <c r="N839" s="912">
        <v>1</v>
      </c>
      <c r="O839" s="912">
        <v>3</v>
      </c>
      <c r="P839" s="938">
        <f t="shared" si="32"/>
        <v>6123</v>
      </c>
    </row>
    <row r="840" spans="1:16" x14ac:dyDescent="0.2">
      <c r="A840" s="937" t="s">
        <v>2126</v>
      </c>
      <c r="B840" s="912" t="s">
        <v>875</v>
      </c>
      <c r="C840" s="912" t="s">
        <v>80</v>
      </c>
      <c r="D840" s="912" t="s">
        <v>2127</v>
      </c>
      <c r="E840" s="938">
        <v>3344</v>
      </c>
      <c r="F840" s="926">
        <v>45326443</v>
      </c>
      <c r="G840" s="926" t="s">
        <v>2611</v>
      </c>
      <c r="H840" s="926" t="s">
        <v>1404</v>
      </c>
      <c r="I840" s="939" t="s">
        <v>2133</v>
      </c>
      <c r="J840" s="939" t="s">
        <v>2133</v>
      </c>
      <c r="K840" s="912"/>
      <c r="L840" s="912"/>
      <c r="M840" s="938"/>
      <c r="N840" s="912">
        <v>1</v>
      </c>
      <c r="O840" s="912">
        <v>3</v>
      </c>
      <c r="P840" s="938">
        <f t="shared" si="32"/>
        <v>10032</v>
      </c>
    </row>
    <row r="841" spans="1:16" x14ac:dyDescent="0.2">
      <c r="A841" s="937" t="s">
        <v>2126</v>
      </c>
      <c r="B841" s="912" t="s">
        <v>875</v>
      </c>
      <c r="C841" s="912" t="s">
        <v>80</v>
      </c>
      <c r="D841" s="912" t="s">
        <v>2127</v>
      </c>
      <c r="E841" s="938">
        <v>2041</v>
      </c>
      <c r="F841" s="926">
        <v>48507689</v>
      </c>
      <c r="G841" s="926" t="s">
        <v>2612</v>
      </c>
      <c r="H841" s="926" t="s">
        <v>1028</v>
      </c>
      <c r="I841" s="939" t="s">
        <v>2133</v>
      </c>
      <c r="J841" s="939" t="s">
        <v>2133</v>
      </c>
      <c r="K841" s="912"/>
      <c r="L841" s="912"/>
      <c r="M841" s="938"/>
      <c r="N841" s="912">
        <v>1</v>
      </c>
      <c r="O841" s="912">
        <v>3</v>
      </c>
      <c r="P841" s="938">
        <f t="shared" si="32"/>
        <v>6123</v>
      </c>
    </row>
    <row r="842" spans="1:16" x14ac:dyDescent="0.2">
      <c r="A842" s="937" t="s">
        <v>2126</v>
      </c>
      <c r="B842" s="912" t="s">
        <v>875</v>
      </c>
      <c r="C842" s="912" t="s">
        <v>80</v>
      </c>
      <c r="D842" s="912" t="s">
        <v>2127</v>
      </c>
      <c r="E842" s="938">
        <v>2041</v>
      </c>
      <c r="F842" s="926">
        <v>46670809</v>
      </c>
      <c r="G842" s="926" t="s">
        <v>2613</v>
      </c>
      <c r="H842" s="926" t="s">
        <v>1028</v>
      </c>
      <c r="I842" s="939" t="s">
        <v>2133</v>
      </c>
      <c r="J842" s="939" t="s">
        <v>2133</v>
      </c>
      <c r="K842" s="912"/>
      <c r="L842" s="912"/>
      <c r="M842" s="938"/>
      <c r="N842" s="912">
        <v>1</v>
      </c>
      <c r="O842" s="912">
        <v>3</v>
      </c>
      <c r="P842" s="938">
        <f t="shared" si="32"/>
        <v>6123</v>
      </c>
    </row>
    <row r="843" spans="1:16" x14ac:dyDescent="0.2">
      <c r="A843" s="937" t="s">
        <v>2126</v>
      </c>
      <c r="B843" s="912" t="s">
        <v>875</v>
      </c>
      <c r="C843" s="912" t="s">
        <v>80</v>
      </c>
      <c r="D843" s="912" t="s">
        <v>2136</v>
      </c>
      <c r="E843" s="938">
        <v>1300</v>
      </c>
      <c r="F843" s="926">
        <v>40107684</v>
      </c>
      <c r="G843" s="926" t="s">
        <v>2614</v>
      </c>
      <c r="H843" s="926" t="s">
        <v>1783</v>
      </c>
      <c r="I843" s="939" t="s">
        <v>1412</v>
      </c>
      <c r="J843" s="939" t="s">
        <v>1412</v>
      </c>
      <c r="K843" s="912"/>
      <c r="L843" s="912"/>
      <c r="M843" s="938"/>
      <c r="N843" s="912">
        <v>1</v>
      </c>
      <c r="O843" s="912">
        <v>5</v>
      </c>
      <c r="P843" s="938">
        <f t="shared" si="32"/>
        <v>6500</v>
      </c>
    </row>
    <row r="844" spans="1:16" x14ac:dyDescent="0.2">
      <c r="A844" s="937" t="s">
        <v>2126</v>
      </c>
      <c r="B844" s="912" t="s">
        <v>875</v>
      </c>
      <c r="C844" s="912" t="s">
        <v>80</v>
      </c>
      <c r="D844" s="912" t="s">
        <v>2127</v>
      </c>
      <c r="E844" s="938">
        <v>2041</v>
      </c>
      <c r="F844" s="926">
        <v>46739254</v>
      </c>
      <c r="G844" s="926" t="s">
        <v>2615</v>
      </c>
      <c r="H844" s="926" t="s">
        <v>1028</v>
      </c>
      <c r="I844" s="939" t="s">
        <v>2133</v>
      </c>
      <c r="J844" s="939" t="s">
        <v>2133</v>
      </c>
      <c r="K844" s="912"/>
      <c r="L844" s="912"/>
      <c r="M844" s="938"/>
      <c r="N844" s="912">
        <v>1</v>
      </c>
      <c r="O844" s="912">
        <v>2</v>
      </c>
      <c r="P844" s="938">
        <f t="shared" si="32"/>
        <v>4082</v>
      </c>
    </row>
    <row r="845" spans="1:16" x14ac:dyDescent="0.2">
      <c r="A845" s="937" t="s">
        <v>2126</v>
      </c>
      <c r="B845" s="912" t="s">
        <v>875</v>
      </c>
      <c r="C845" s="912" t="s">
        <v>80</v>
      </c>
      <c r="D845" s="912" t="s">
        <v>2136</v>
      </c>
      <c r="E845" s="938">
        <v>1300</v>
      </c>
      <c r="F845" s="926">
        <v>47407536</v>
      </c>
      <c r="G845" s="926" t="s">
        <v>2616</v>
      </c>
      <c r="H845" s="926" t="s">
        <v>1052</v>
      </c>
      <c r="I845" s="939" t="s">
        <v>1412</v>
      </c>
      <c r="J845" s="939" t="s">
        <v>1412</v>
      </c>
      <c r="K845" s="912"/>
      <c r="L845" s="912"/>
      <c r="M845" s="938"/>
      <c r="N845" s="912">
        <v>1</v>
      </c>
      <c r="O845" s="912">
        <v>1</v>
      </c>
      <c r="P845" s="938">
        <f t="shared" si="32"/>
        <v>1300</v>
      </c>
    </row>
    <row r="846" spans="1:16" x14ac:dyDescent="0.2">
      <c r="A846" s="937" t="s">
        <v>2126</v>
      </c>
      <c r="B846" s="912" t="s">
        <v>875</v>
      </c>
      <c r="C846" s="912" t="s">
        <v>80</v>
      </c>
      <c r="D846" s="912" t="s">
        <v>2127</v>
      </c>
      <c r="E846" s="938">
        <v>2041</v>
      </c>
      <c r="F846" s="926">
        <v>42755472</v>
      </c>
      <c r="G846" s="926" t="s">
        <v>2617</v>
      </c>
      <c r="H846" s="926" t="s">
        <v>1028</v>
      </c>
      <c r="I846" s="939" t="s">
        <v>2133</v>
      </c>
      <c r="J846" s="939" t="s">
        <v>2133</v>
      </c>
      <c r="K846" s="912"/>
      <c r="L846" s="912"/>
      <c r="M846" s="938"/>
      <c r="N846" s="912">
        <v>1</v>
      </c>
      <c r="O846" s="912">
        <v>3</v>
      </c>
      <c r="P846" s="938">
        <f t="shared" si="32"/>
        <v>6123</v>
      </c>
    </row>
    <row r="847" spans="1:16" x14ac:dyDescent="0.2">
      <c r="A847" s="937" t="s">
        <v>2126</v>
      </c>
      <c r="B847" s="912" t="s">
        <v>875</v>
      </c>
      <c r="C847" s="912" t="s">
        <v>80</v>
      </c>
      <c r="D847" s="912" t="s">
        <v>2127</v>
      </c>
      <c r="E847" s="938">
        <v>2041</v>
      </c>
      <c r="F847" s="926">
        <v>70483578</v>
      </c>
      <c r="G847" s="926" t="s">
        <v>2618</v>
      </c>
      <c r="H847" s="926" t="s">
        <v>1028</v>
      </c>
      <c r="I847" s="939" t="s">
        <v>2133</v>
      </c>
      <c r="J847" s="939" t="s">
        <v>2133</v>
      </c>
      <c r="K847" s="912"/>
      <c r="L847" s="912"/>
      <c r="M847" s="938"/>
      <c r="N847" s="912">
        <v>1</v>
      </c>
      <c r="O847" s="912">
        <v>1</v>
      </c>
      <c r="P847" s="938">
        <f t="shared" si="32"/>
        <v>2041</v>
      </c>
    </row>
    <row r="848" spans="1:16" x14ac:dyDescent="0.2">
      <c r="A848" s="937" t="s">
        <v>2126</v>
      </c>
      <c r="B848" s="912" t="s">
        <v>875</v>
      </c>
      <c r="C848" s="912" t="s">
        <v>80</v>
      </c>
      <c r="D848" s="912" t="s">
        <v>2127</v>
      </c>
      <c r="E848" s="938">
        <v>2041</v>
      </c>
      <c r="F848" s="926">
        <v>29376916</v>
      </c>
      <c r="G848" s="926" t="s">
        <v>2619</v>
      </c>
      <c r="H848" s="926" t="s">
        <v>1028</v>
      </c>
      <c r="I848" s="939" t="s">
        <v>2133</v>
      </c>
      <c r="J848" s="939" t="s">
        <v>2133</v>
      </c>
      <c r="K848" s="912"/>
      <c r="L848" s="912"/>
      <c r="M848" s="938"/>
      <c r="N848" s="912">
        <v>1</v>
      </c>
      <c r="O848" s="912">
        <v>5</v>
      </c>
      <c r="P848" s="938">
        <f t="shared" si="32"/>
        <v>10205</v>
      </c>
    </row>
    <row r="849" spans="1:16" x14ac:dyDescent="0.2">
      <c r="A849" s="937" t="s">
        <v>2126</v>
      </c>
      <c r="B849" s="912" t="s">
        <v>875</v>
      </c>
      <c r="C849" s="912" t="s">
        <v>80</v>
      </c>
      <c r="D849" s="912" t="s">
        <v>2127</v>
      </c>
      <c r="E849" s="938">
        <v>2041</v>
      </c>
      <c r="F849" s="926">
        <v>42467078</v>
      </c>
      <c r="G849" s="926" t="s">
        <v>2620</v>
      </c>
      <c r="H849" s="926" t="s">
        <v>1028</v>
      </c>
      <c r="I849" s="939" t="s">
        <v>2133</v>
      </c>
      <c r="J849" s="939" t="s">
        <v>2133</v>
      </c>
      <c r="K849" s="912"/>
      <c r="L849" s="912"/>
      <c r="M849" s="938"/>
      <c r="N849" s="912">
        <v>1</v>
      </c>
      <c r="O849" s="912">
        <v>5</v>
      </c>
      <c r="P849" s="938">
        <f t="shared" si="32"/>
        <v>10205</v>
      </c>
    </row>
    <row r="850" spans="1:16" x14ac:dyDescent="0.2">
      <c r="A850" s="937" t="s">
        <v>2126</v>
      </c>
      <c r="B850" s="912" t="s">
        <v>875</v>
      </c>
      <c r="C850" s="912" t="s">
        <v>80</v>
      </c>
      <c r="D850" s="912" t="s">
        <v>2127</v>
      </c>
      <c r="E850" s="938">
        <v>3344</v>
      </c>
      <c r="F850" s="926">
        <v>45290903</v>
      </c>
      <c r="G850" s="926" t="s">
        <v>2621</v>
      </c>
      <c r="H850" s="926" t="s">
        <v>1404</v>
      </c>
      <c r="I850" s="939" t="s">
        <v>2133</v>
      </c>
      <c r="J850" s="939" t="s">
        <v>2133</v>
      </c>
      <c r="K850" s="912"/>
      <c r="L850" s="912"/>
      <c r="M850" s="938"/>
      <c r="N850" s="912">
        <v>1</v>
      </c>
      <c r="O850" s="912">
        <v>5</v>
      </c>
      <c r="P850" s="938">
        <f t="shared" si="32"/>
        <v>16720</v>
      </c>
    </row>
    <row r="851" spans="1:16" x14ac:dyDescent="0.2">
      <c r="A851" s="937" t="s">
        <v>2126</v>
      </c>
      <c r="B851" s="912" t="s">
        <v>875</v>
      </c>
      <c r="C851" s="912" t="s">
        <v>80</v>
      </c>
      <c r="D851" s="912" t="s">
        <v>2127</v>
      </c>
      <c r="E851" s="938">
        <v>2041</v>
      </c>
      <c r="F851" s="926">
        <v>29722687</v>
      </c>
      <c r="G851" s="926" t="s">
        <v>2622</v>
      </c>
      <c r="H851" s="926" t="s">
        <v>1028</v>
      </c>
      <c r="I851" s="939" t="s">
        <v>2133</v>
      </c>
      <c r="J851" s="939" t="s">
        <v>2133</v>
      </c>
      <c r="K851" s="912"/>
      <c r="L851" s="912"/>
      <c r="M851" s="938"/>
      <c r="N851" s="912">
        <v>1</v>
      </c>
      <c r="O851" s="912">
        <v>6</v>
      </c>
      <c r="P851" s="938">
        <f t="shared" si="32"/>
        <v>12246</v>
      </c>
    </row>
    <row r="852" spans="1:16" x14ac:dyDescent="0.2">
      <c r="A852" s="937" t="s">
        <v>2126</v>
      </c>
      <c r="B852" s="912" t="s">
        <v>875</v>
      </c>
      <c r="C852" s="912" t="s">
        <v>80</v>
      </c>
      <c r="D852" s="912" t="s">
        <v>2127</v>
      </c>
      <c r="E852" s="938">
        <v>2041</v>
      </c>
      <c r="F852" s="926">
        <v>43437285</v>
      </c>
      <c r="G852" s="926" t="s">
        <v>2623</v>
      </c>
      <c r="H852" s="926" t="s">
        <v>1956</v>
      </c>
      <c r="I852" s="939" t="s">
        <v>2133</v>
      </c>
      <c r="J852" s="939" t="s">
        <v>2133</v>
      </c>
      <c r="K852" s="912"/>
      <c r="L852" s="912"/>
      <c r="M852" s="938"/>
      <c r="N852" s="912">
        <v>1</v>
      </c>
      <c r="O852" s="912">
        <v>4</v>
      </c>
      <c r="P852" s="938">
        <f t="shared" si="32"/>
        <v>8164</v>
      </c>
    </row>
    <row r="853" spans="1:16" x14ac:dyDescent="0.2">
      <c r="A853" s="937" t="s">
        <v>2126</v>
      </c>
      <c r="B853" s="912" t="s">
        <v>875</v>
      </c>
      <c r="C853" s="912" t="s">
        <v>80</v>
      </c>
      <c r="D853" s="912" t="s">
        <v>2127</v>
      </c>
      <c r="E853" s="938">
        <v>2041</v>
      </c>
      <c r="F853" s="926">
        <v>80198489</v>
      </c>
      <c r="G853" s="926" t="s">
        <v>2624</v>
      </c>
      <c r="H853" s="926" t="s">
        <v>2410</v>
      </c>
      <c r="I853" s="939" t="s">
        <v>2133</v>
      </c>
      <c r="J853" s="939" t="s">
        <v>2133</v>
      </c>
      <c r="K853" s="912"/>
      <c r="L853" s="912"/>
      <c r="M853" s="938"/>
      <c r="N853" s="912">
        <v>1</v>
      </c>
      <c r="O853" s="912">
        <v>4</v>
      </c>
      <c r="P853" s="938">
        <f t="shared" si="32"/>
        <v>8164</v>
      </c>
    </row>
    <row r="854" spans="1:16" x14ac:dyDescent="0.2">
      <c r="A854" s="937" t="s">
        <v>2126</v>
      </c>
      <c r="B854" s="912" t="s">
        <v>875</v>
      </c>
      <c r="C854" s="912" t="s">
        <v>80</v>
      </c>
      <c r="D854" s="912" t="s">
        <v>2127</v>
      </c>
      <c r="E854" s="938">
        <v>2041</v>
      </c>
      <c r="F854" s="926">
        <v>42663301</v>
      </c>
      <c r="G854" s="926" t="s">
        <v>2625</v>
      </c>
      <c r="H854" s="926" t="s">
        <v>2626</v>
      </c>
      <c r="I854" s="939" t="s">
        <v>2133</v>
      </c>
      <c r="J854" s="939" t="s">
        <v>2133</v>
      </c>
      <c r="K854" s="912"/>
      <c r="L854" s="912"/>
      <c r="M854" s="938"/>
      <c r="N854" s="912">
        <v>1</v>
      </c>
      <c r="O854" s="912">
        <v>5</v>
      </c>
      <c r="P854" s="938">
        <f t="shared" si="32"/>
        <v>10205</v>
      </c>
    </row>
    <row r="855" spans="1:16" x14ac:dyDescent="0.2">
      <c r="A855" s="937" t="s">
        <v>2126</v>
      </c>
      <c r="B855" s="912" t="s">
        <v>875</v>
      </c>
      <c r="C855" s="912" t="s">
        <v>80</v>
      </c>
      <c r="D855" s="912" t="s">
        <v>2127</v>
      </c>
      <c r="E855" s="938">
        <v>2041</v>
      </c>
      <c r="F855" s="926">
        <v>29394802</v>
      </c>
      <c r="G855" s="926" t="s">
        <v>2627</v>
      </c>
      <c r="H855" s="926" t="s">
        <v>1028</v>
      </c>
      <c r="I855" s="939" t="s">
        <v>2133</v>
      </c>
      <c r="J855" s="939" t="s">
        <v>2133</v>
      </c>
      <c r="K855" s="912"/>
      <c r="L855" s="912"/>
      <c r="M855" s="938"/>
      <c r="N855" s="912">
        <v>1</v>
      </c>
      <c r="O855" s="912">
        <v>3</v>
      </c>
      <c r="P855" s="938">
        <f t="shared" si="32"/>
        <v>6123</v>
      </c>
    </row>
    <row r="856" spans="1:16" x14ac:dyDescent="0.2">
      <c r="A856" s="937" t="s">
        <v>2126</v>
      </c>
      <c r="B856" s="912" t="s">
        <v>875</v>
      </c>
      <c r="C856" s="912" t="s">
        <v>80</v>
      </c>
      <c r="D856" s="912" t="s">
        <v>2127</v>
      </c>
      <c r="E856" s="938">
        <v>5532</v>
      </c>
      <c r="F856" s="926">
        <v>43107998</v>
      </c>
      <c r="G856" s="926" t="s">
        <v>2628</v>
      </c>
      <c r="H856" s="926" t="s">
        <v>1175</v>
      </c>
      <c r="I856" s="939" t="s">
        <v>2133</v>
      </c>
      <c r="J856" s="939" t="s">
        <v>2133</v>
      </c>
      <c r="K856" s="912"/>
      <c r="L856" s="912"/>
      <c r="M856" s="938"/>
      <c r="N856" s="912">
        <v>1</v>
      </c>
      <c r="O856" s="912">
        <v>5</v>
      </c>
      <c r="P856" s="938">
        <f t="shared" si="32"/>
        <v>27660</v>
      </c>
    </row>
    <row r="857" spans="1:16" x14ac:dyDescent="0.2">
      <c r="A857" s="937" t="s">
        <v>2126</v>
      </c>
      <c r="B857" s="912" t="s">
        <v>875</v>
      </c>
      <c r="C857" s="912" t="s">
        <v>80</v>
      </c>
      <c r="D857" s="912" t="s">
        <v>2127</v>
      </c>
      <c r="E857" s="938">
        <v>2041</v>
      </c>
      <c r="F857" s="926">
        <v>41037451</v>
      </c>
      <c r="G857" s="926" t="s">
        <v>2629</v>
      </c>
      <c r="H857" s="926" t="s">
        <v>1028</v>
      </c>
      <c r="I857" s="939" t="s">
        <v>2133</v>
      </c>
      <c r="J857" s="939" t="s">
        <v>2133</v>
      </c>
      <c r="K857" s="912"/>
      <c r="L857" s="912"/>
      <c r="M857" s="938"/>
      <c r="N857" s="912">
        <v>1</v>
      </c>
      <c r="O857" s="912">
        <v>5</v>
      </c>
      <c r="P857" s="938">
        <f t="shared" si="32"/>
        <v>10205</v>
      </c>
    </row>
    <row r="858" spans="1:16" x14ac:dyDescent="0.2">
      <c r="A858" s="937" t="s">
        <v>2126</v>
      </c>
      <c r="B858" s="912" t="s">
        <v>875</v>
      </c>
      <c r="C858" s="912" t="s">
        <v>80</v>
      </c>
      <c r="D858" s="912" t="s">
        <v>2127</v>
      </c>
      <c r="E858" s="938">
        <v>6000</v>
      </c>
      <c r="F858" s="926">
        <v>46940179</v>
      </c>
      <c r="G858" s="926" t="s">
        <v>2630</v>
      </c>
      <c r="H858" s="926" t="s">
        <v>1175</v>
      </c>
      <c r="I858" s="939" t="s">
        <v>2133</v>
      </c>
      <c r="J858" s="939" t="s">
        <v>2133</v>
      </c>
      <c r="K858" s="912"/>
      <c r="L858" s="912"/>
      <c r="M858" s="938"/>
      <c r="N858" s="912">
        <v>1</v>
      </c>
      <c r="O858" s="912">
        <v>6</v>
      </c>
      <c r="P858" s="938">
        <f t="shared" si="32"/>
        <v>36000</v>
      </c>
    </row>
    <row r="859" spans="1:16" x14ac:dyDescent="0.2">
      <c r="A859" s="937" t="s">
        <v>2126</v>
      </c>
      <c r="B859" s="912" t="s">
        <v>875</v>
      </c>
      <c r="C859" s="912" t="s">
        <v>80</v>
      </c>
      <c r="D859" s="912" t="s">
        <v>2127</v>
      </c>
      <c r="E859" s="938">
        <v>3344</v>
      </c>
      <c r="F859" s="926">
        <v>29724813</v>
      </c>
      <c r="G859" s="926" t="s">
        <v>2631</v>
      </c>
      <c r="H859" s="926" t="s">
        <v>1404</v>
      </c>
      <c r="I859" s="939" t="s">
        <v>2133</v>
      </c>
      <c r="J859" s="939" t="s">
        <v>2133</v>
      </c>
      <c r="K859" s="912"/>
      <c r="L859" s="912"/>
      <c r="M859" s="938"/>
      <c r="N859" s="912">
        <v>1</v>
      </c>
      <c r="O859" s="912">
        <v>5</v>
      </c>
      <c r="P859" s="938">
        <f t="shared" si="32"/>
        <v>16720</v>
      </c>
    </row>
    <row r="860" spans="1:16" x14ac:dyDescent="0.2">
      <c r="A860" s="937" t="s">
        <v>2126</v>
      </c>
      <c r="B860" s="912" t="s">
        <v>875</v>
      </c>
      <c r="C860" s="912" t="s">
        <v>80</v>
      </c>
      <c r="D860" s="912" t="s">
        <v>2127</v>
      </c>
      <c r="E860" s="938">
        <v>2041</v>
      </c>
      <c r="F860" s="926">
        <v>22099513</v>
      </c>
      <c r="G860" s="926" t="s">
        <v>2632</v>
      </c>
      <c r="H860" s="926" t="s">
        <v>2626</v>
      </c>
      <c r="I860" s="939" t="s">
        <v>2133</v>
      </c>
      <c r="J860" s="939" t="s">
        <v>2133</v>
      </c>
      <c r="K860" s="912"/>
      <c r="L860" s="912"/>
      <c r="M860" s="938"/>
      <c r="N860" s="912">
        <v>1</v>
      </c>
      <c r="O860" s="912">
        <v>5</v>
      </c>
      <c r="P860" s="938">
        <f t="shared" si="32"/>
        <v>10205</v>
      </c>
    </row>
    <row r="861" spans="1:16" x14ac:dyDescent="0.2">
      <c r="A861" s="937" t="s">
        <v>2126</v>
      </c>
      <c r="B861" s="912" t="s">
        <v>875</v>
      </c>
      <c r="C861" s="912" t="s">
        <v>80</v>
      </c>
      <c r="D861" s="912" t="s">
        <v>2127</v>
      </c>
      <c r="E861" s="938">
        <v>5532</v>
      </c>
      <c r="F861" s="926">
        <v>42632133</v>
      </c>
      <c r="G861" s="926" t="s">
        <v>2633</v>
      </c>
      <c r="H861" s="926" t="s">
        <v>1175</v>
      </c>
      <c r="I861" s="939" t="s">
        <v>2133</v>
      </c>
      <c r="J861" s="939" t="s">
        <v>2133</v>
      </c>
      <c r="K861" s="912"/>
      <c r="L861" s="912"/>
      <c r="M861" s="938"/>
      <c r="N861" s="912">
        <v>1</v>
      </c>
      <c r="O861" s="912">
        <v>6</v>
      </c>
      <c r="P861" s="938">
        <f t="shared" si="32"/>
        <v>33192</v>
      </c>
    </row>
    <row r="862" spans="1:16" x14ac:dyDescent="0.2">
      <c r="A862" s="937" t="s">
        <v>2126</v>
      </c>
      <c r="B862" s="912" t="s">
        <v>875</v>
      </c>
      <c r="C862" s="912" t="s">
        <v>80</v>
      </c>
      <c r="D862" s="912" t="s">
        <v>2127</v>
      </c>
      <c r="E862" s="938">
        <v>2041</v>
      </c>
      <c r="F862" s="926">
        <v>42951066</v>
      </c>
      <c r="G862" s="926" t="s">
        <v>2634</v>
      </c>
      <c r="H862" s="926" t="s">
        <v>1028</v>
      </c>
      <c r="I862" s="939" t="s">
        <v>2133</v>
      </c>
      <c r="J862" s="939" t="s">
        <v>2133</v>
      </c>
      <c r="K862" s="912"/>
      <c r="L862" s="912"/>
      <c r="M862" s="938"/>
      <c r="N862" s="912">
        <v>1</v>
      </c>
      <c r="O862" s="912">
        <v>5</v>
      </c>
      <c r="P862" s="938">
        <f t="shared" si="32"/>
        <v>10205</v>
      </c>
    </row>
    <row r="863" spans="1:16" x14ac:dyDescent="0.2">
      <c r="A863" s="937" t="s">
        <v>2126</v>
      </c>
      <c r="B863" s="912" t="s">
        <v>875</v>
      </c>
      <c r="C863" s="912" t="s">
        <v>80</v>
      </c>
      <c r="D863" s="912" t="s">
        <v>2127</v>
      </c>
      <c r="E863" s="938">
        <v>2041</v>
      </c>
      <c r="F863" s="926">
        <v>71992200</v>
      </c>
      <c r="G863" s="926" t="s">
        <v>2635</v>
      </c>
      <c r="H863" s="926" t="s">
        <v>1028</v>
      </c>
      <c r="I863" s="939" t="s">
        <v>2133</v>
      </c>
      <c r="J863" s="939" t="s">
        <v>2133</v>
      </c>
      <c r="K863" s="912"/>
      <c r="L863" s="912"/>
      <c r="M863" s="938"/>
      <c r="N863" s="912">
        <v>1</v>
      </c>
      <c r="O863" s="912">
        <v>5</v>
      </c>
      <c r="P863" s="938">
        <f t="shared" si="32"/>
        <v>10205</v>
      </c>
    </row>
    <row r="864" spans="1:16" x14ac:dyDescent="0.2">
      <c r="A864" s="937" t="s">
        <v>2126</v>
      </c>
      <c r="B864" s="912" t="s">
        <v>875</v>
      </c>
      <c r="C864" s="912" t="s">
        <v>80</v>
      </c>
      <c r="D864" s="912" t="s">
        <v>2127</v>
      </c>
      <c r="E864" s="938">
        <v>2041</v>
      </c>
      <c r="F864" s="926">
        <v>43436286</v>
      </c>
      <c r="G864" s="926" t="s">
        <v>2636</v>
      </c>
      <c r="H864" s="926" t="s">
        <v>1028</v>
      </c>
      <c r="I864" s="939" t="s">
        <v>2133</v>
      </c>
      <c r="J864" s="939" t="s">
        <v>2133</v>
      </c>
      <c r="K864" s="912"/>
      <c r="L864" s="912"/>
      <c r="M864" s="938"/>
      <c r="N864" s="912">
        <v>1</v>
      </c>
      <c r="O864" s="912">
        <v>5</v>
      </c>
      <c r="P864" s="938">
        <f t="shared" si="32"/>
        <v>10205</v>
      </c>
    </row>
    <row r="865" spans="1:16" x14ac:dyDescent="0.2">
      <c r="A865" s="937" t="s">
        <v>2126</v>
      </c>
      <c r="B865" s="912" t="s">
        <v>875</v>
      </c>
      <c r="C865" s="912" t="s">
        <v>80</v>
      </c>
      <c r="D865" s="912" t="s">
        <v>2127</v>
      </c>
      <c r="E865" s="938">
        <v>2041</v>
      </c>
      <c r="F865" s="926">
        <v>29409834</v>
      </c>
      <c r="G865" s="926" t="s">
        <v>2637</v>
      </c>
      <c r="H865" s="926" t="s">
        <v>1028</v>
      </c>
      <c r="I865" s="939" t="s">
        <v>2133</v>
      </c>
      <c r="J865" s="939" t="s">
        <v>2133</v>
      </c>
      <c r="K865" s="912"/>
      <c r="L865" s="912"/>
      <c r="M865" s="938"/>
      <c r="N865" s="912">
        <v>1</v>
      </c>
      <c r="O865" s="912">
        <v>5</v>
      </c>
      <c r="P865" s="938">
        <f t="shared" si="32"/>
        <v>10205</v>
      </c>
    </row>
    <row r="866" spans="1:16" x14ac:dyDescent="0.2">
      <c r="A866" s="937" t="s">
        <v>2126</v>
      </c>
      <c r="B866" s="912" t="s">
        <v>875</v>
      </c>
      <c r="C866" s="912" t="s">
        <v>80</v>
      </c>
      <c r="D866" s="912" t="s">
        <v>2127</v>
      </c>
      <c r="E866" s="938">
        <v>2041</v>
      </c>
      <c r="F866" s="926">
        <v>42965853</v>
      </c>
      <c r="G866" s="926" t="s">
        <v>2638</v>
      </c>
      <c r="H866" s="926" t="s">
        <v>1028</v>
      </c>
      <c r="I866" s="939" t="s">
        <v>2133</v>
      </c>
      <c r="J866" s="939" t="s">
        <v>2133</v>
      </c>
      <c r="K866" s="912"/>
      <c r="L866" s="912"/>
      <c r="M866" s="938"/>
      <c r="N866" s="912">
        <v>1</v>
      </c>
      <c r="O866" s="912">
        <v>6</v>
      </c>
      <c r="P866" s="938">
        <f t="shared" si="32"/>
        <v>12246</v>
      </c>
    </row>
    <row r="867" spans="1:16" x14ac:dyDescent="0.2">
      <c r="A867" s="937" t="s">
        <v>2126</v>
      </c>
      <c r="B867" s="912" t="s">
        <v>875</v>
      </c>
      <c r="C867" s="912" t="s">
        <v>80</v>
      </c>
      <c r="D867" s="912" t="s">
        <v>2127</v>
      </c>
      <c r="E867" s="938">
        <v>2041</v>
      </c>
      <c r="F867" s="926">
        <v>29406662</v>
      </c>
      <c r="G867" s="926" t="s">
        <v>2639</v>
      </c>
      <c r="H867" s="926" t="s">
        <v>1028</v>
      </c>
      <c r="I867" s="939" t="s">
        <v>2133</v>
      </c>
      <c r="J867" s="939" t="s">
        <v>2133</v>
      </c>
      <c r="K867" s="912"/>
      <c r="L867" s="912"/>
      <c r="M867" s="938"/>
      <c r="N867" s="912">
        <v>1</v>
      </c>
      <c r="O867" s="912">
        <v>6</v>
      </c>
      <c r="P867" s="938">
        <f t="shared" si="32"/>
        <v>12246</v>
      </c>
    </row>
    <row r="868" spans="1:16" x14ac:dyDescent="0.2">
      <c r="A868" s="937" t="s">
        <v>2126</v>
      </c>
      <c r="B868" s="912" t="s">
        <v>875</v>
      </c>
      <c r="C868" s="912" t="s">
        <v>80</v>
      </c>
      <c r="D868" s="912" t="s">
        <v>2136</v>
      </c>
      <c r="E868" s="938">
        <v>1300</v>
      </c>
      <c r="F868" s="926">
        <v>43837192</v>
      </c>
      <c r="G868" s="926" t="s">
        <v>2640</v>
      </c>
      <c r="H868" s="926" t="s">
        <v>1052</v>
      </c>
      <c r="I868" s="939" t="s">
        <v>1412</v>
      </c>
      <c r="J868" s="939" t="s">
        <v>1412</v>
      </c>
      <c r="K868" s="912"/>
      <c r="L868" s="912"/>
      <c r="M868" s="938"/>
      <c r="N868" s="912">
        <v>1</v>
      </c>
      <c r="O868" s="912">
        <v>1</v>
      </c>
      <c r="P868" s="938">
        <f t="shared" si="32"/>
        <v>1300</v>
      </c>
    </row>
    <row r="869" spans="1:16" x14ac:dyDescent="0.2">
      <c r="A869" s="937" t="s">
        <v>2126</v>
      </c>
      <c r="B869" s="912" t="s">
        <v>875</v>
      </c>
      <c r="C869" s="912" t="s">
        <v>80</v>
      </c>
      <c r="D869" s="912" t="s">
        <v>2136</v>
      </c>
      <c r="E869" s="938">
        <v>1300</v>
      </c>
      <c r="F869" s="926">
        <v>40621722</v>
      </c>
      <c r="G869" s="926" t="s">
        <v>2641</v>
      </c>
      <c r="H869" s="926" t="s">
        <v>1052</v>
      </c>
      <c r="I869" s="939" t="s">
        <v>1412</v>
      </c>
      <c r="J869" s="939" t="s">
        <v>1412</v>
      </c>
      <c r="K869" s="912"/>
      <c r="L869" s="912"/>
      <c r="M869" s="938"/>
      <c r="N869" s="912">
        <v>1</v>
      </c>
      <c r="O869" s="912">
        <v>1</v>
      </c>
      <c r="P869" s="938">
        <f t="shared" si="32"/>
        <v>1300</v>
      </c>
    </row>
    <row r="870" spans="1:16" x14ac:dyDescent="0.2">
      <c r="A870" s="937" t="s">
        <v>2126</v>
      </c>
      <c r="B870" s="912" t="s">
        <v>875</v>
      </c>
      <c r="C870" s="912" t="s">
        <v>80</v>
      </c>
      <c r="D870" s="912" t="s">
        <v>2127</v>
      </c>
      <c r="E870" s="938">
        <v>930</v>
      </c>
      <c r="F870" s="926">
        <v>42692829</v>
      </c>
      <c r="G870" s="926" t="s">
        <v>2642</v>
      </c>
      <c r="H870" s="926" t="s">
        <v>1956</v>
      </c>
      <c r="I870" s="939" t="s">
        <v>2133</v>
      </c>
      <c r="J870" s="939" t="s">
        <v>2133</v>
      </c>
      <c r="K870" s="912"/>
      <c r="L870" s="912"/>
      <c r="M870" s="938"/>
      <c r="N870" s="912">
        <v>1</v>
      </c>
      <c r="O870" s="912">
        <v>5</v>
      </c>
      <c r="P870" s="938">
        <f t="shared" si="32"/>
        <v>4650</v>
      </c>
    </row>
    <row r="871" spans="1:16" x14ac:dyDescent="0.2">
      <c r="A871" s="937" t="s">
        <v>2126</v>
      </c>
      <c r="B871" s="912" t="s">
        <v>875</v>
      </c>
      <c r="C871" s="912" t="s">
        <v>80</v>
      </c>
      <c r="D871" s="912" t="s">
        <v>2127</v>
      </c>
      <c r="E871" s="938">
        <v>2041</v>
      </c>
      <c r="F871" s="926">
        <v>44865792</v>
      </c>
      <c r="G871" s="926" t="s">
        <v>2643</v>
      </c>
      <c r="H871" s="926" t="s">
        <v>2410</v>
      </c>
      <c r="I871" s="939" t="s">
        <v>2133</v>
      </c>
      <c r="J871" s="939" t="s">
        <v>2133</v>
      </c>
      <c r="K871" s="912"/>
      <c r="L871" s="912"/>
      <c r="M871" s="938"/>
      <c r="N871" s="912">
        <v>1</v>
      </c>
      <c r="O871" s="912">
        <v>5</v>
      </c>
      <c r="P871" s="938">
        <f t="shared" si="32"/>
        <v>10205</v>
      </c>
    </row>
    <row r="872" spans="1:16" x14ac:dyDescent="0.2">
      <c r="A872" s="937" t="s">
        <v>2126</v>
      </c>
      <c r="B872" s="912" t="s">
        <v>875</v>
      </c>
      <c r="C872" s="912" t="s">
        <v>80</v>
      </c>
      <c r="D872" s="912" t="s">
        <v>2127</v>
      </c>
      <c r="E872" s="938">
        <v>2041</v>
      </c>
      <c r="F872" s="926">
        <v>29709508</v>
      </c>
      <c r="G872" s="926" t="s">
        <v>2644</v>
      </c>
      <c r="H872" s="926" t="s">
        <v>1028</v>
      </c>
      <c r="I872" s="939" t="s">
        <v>2133</v>
      </c>
      <c r="J872" s="939" t="s">
        <v>2133</v>
      </c>
      <c r="K872" s="912"/>
      <c r="L872" s="912"/>
      <c r="M872" s="938"/>
      <c r="N872" s="912">
        <v>1</v>
      </c>
      <c r="O872" s="912">
        <v>5</v>
      </c>
      <c r="P872" s="938">
        <f t="shared" si="32"/>
        <v>10205</v>
      </c>
    </row>
    <row r="873" spans="1:16" x14ac:dyDescent="0.2">
      <c r="A873" s="937" t="s">
        <v>2126</v>
      </c>
      <c r="B873" s="912" t="s">
        <v>875</v>
      </c>
      <c r="C873" s="912" t="s">
        <v>80</v>
      </c>
      <c r="D873" s="912" t="s">
        <v>2127</v>
      </c>
      <c r="E873" s="938">
        <v>5532</v>
      </c>
      <c r="F873" s="926">
        <v>29354592</v>
      </c>
      <c r="G873" s="926" t="s">
        <v>2645</v>
      </c>
      <c r="H873" s="926" t="s">
        <v>1175</v>
      </c>
      <c r="I873" s="939" t="s">
        <v>2133</v>
      </c>
      <c r="J873" s="939" t="s">
        <v>2133</v>
      </c>
      <c r="K873" s="912"/>
      <c r="L873" s="912"/>
      <c r="M873" s="938"/>
      <c r="N873" s="912">
        <v>1</v>
      </c>
      <c r="O873" s="912">
        <v>5</v>
      </c>
      <c r="P873" s="938">
        <f t="shared" si="32"/>
        <v>27660</v>
      </c>
    </row>
    <row r="874" spans="1:16" x14ac:dyDescent="0.2">
      <c r="A874" s="937" t="s">
        <v>2126</v>
      </c>
      <c r="B874" s="912" t="s">
        <v>875</v>
      </c>
      <c r="C874" s="912" t="s">
        <v>80</v>
      </c>
      <c r="D874" s="912" t="s">
        <v>2127</v>
      </c>
      <c r="E874" s="938">
        <v>2041</v>
      </c>
      <c r="F874" s="926">
        <v>80387355</v>
      </c>
      <c r="G874" s="926" t="s">
        <v>2646</v>
      </c>
      <c r="H874" s="926" t="s">
        <v>1028</v>
      </c>
      <c r="I874" s="939" t="s">
        <v>2133</v>
      </c>
      <c r="J874" s="939" t="s">
        <v>2133</v>
      </c>
      <c r="K874" s="912"/>
      <c r="L874" s="912"/>
      <c r="M874" s="938"/>
      <c r="N874" s="912">
        <v>1</v>
      </c>
      <c r="O874" s="912">
        <v>3</v>
      </c>
      <c r="P874" s="938">
        <f t="shared" si="32"/>
        <v>6123</v>
      </c>
    </row>
    <row r="875" spans="1:16" x14ac:dyDescent="0.2">
      <c r="A875" s="937" t="s">
        <v>2126</v>
      </c>
      <c r="B875" s="912" t="s">
        <v>875</v>
      </c>
      <c r="C875" s="912" t="s">
        <v>80</v>
      </c>
      <c r="D875" s="912" t="s">
        <v>2127</v>
      </c>
      <c r="E875" s="938">
        <v>2041</v>
      </c>
      <c r="F875" s="926">
        <v>44475672</v>
      </c>
      <c r="G875" s="926" t="s">
        <v>2647</v>
      </c>
      <c r="H875" s="926" t="s">
        <v>1028</v>
      </c>
      <c r="I875" s="939" t="s">
        <v>2133</v>
      </c>
      <c r="J875" s="939" t="s">
        <v>2133</v>
      </c>
      <c r="K875" s="912"/>
      <c r="L875" s="912"/>
      <c r="M875" s="938"/>
      <c r="N875" s="912">
        <v>1</v>
      </c>
      <c r="O875" s="912">
        <v>4</v>
      </c>
      <c r="P875" s="938">
        <f t="shared" si="32"/>
        <v>8164</v>
      </c>
    </row>
    <row r="876" spans="1:16" x14ac:dyDescent="0.2">
      <c r="A876" s="937" t="s">
        <v>2126</v>
      </c>
      <c r="B876" s="912" t="s">
        <v>875</v>
      </c>
      <c r="C876" s="912" t="s">
        <v>80</v>
      </c>
      <c r="D876" s="912" t="s">
        <v>2127</v>
      </c>
      <c r="E876" s="938">
        <v>2041</v>
      </c>
      <c r="F876" s="926">
        <v>45456216</v>
      </c>
      <c r="G876" s="926" t="s">
        <v>2648</v>
      </c>
      <c r="H876" s="926" t="s">
        <v>1028</v>
      </c>
      <c r="I876" s="939" t="s">
        <v>2133</v>
      </c>
      <c r="J876" s="939" t="s">
        <v>2133</v>
      </c>
      <c r="K876" s="912"/>
      <c r="L876" s="912"/>
      <c r="M876" s="938"/>
      <c r="N876" s="912">
        <v>1</v>
      </c>
      <c r="O876" s="912">
        <v>4</v>
      </c>
      <c r="P876" s="938">
        <f t="shared" si="32"/>
        <v>8164</v>
      </c>
    </row>
    <row r="877" spans="1:16" x14ac:dyDescent="0.2">
      <c r="A877" s="937" t="s">
        <v>2126</v>
      </c>
      <c r="B877" s="912" t="s">
        <v>875</v>
      </c>
      <c r="C877" s="912" t="s">
        <v>80</v>
      </c>
      <c r="D877" s="912" t="s">
        <v>2136</v>
      </c>
      <c r="E877" s="938">
        <v>1300</v>
      </c>
      <c r="F877" s="926">
        <v>45998876</v>
      </c>
      <c r="G877" s="926" t="s">
        <v>2649</v>
      </c>
      <c r="H877" s="926" t="s">
        <v>1783</v>
      </c>
      <c r="I877" s="939" t="s">
        <v>1412</v>
      </c>
      <c r="J877" s="939" t="s">
        <v>1412</v>
      </c>
      <c r="K877" s="912"/>
      <c r="L877" s="912"/>
      <c r="M877" s="938"/>
      <c r="N877" s="912">
        <v>1</v>
      </c>
      <c r="O877" s="912">
        <v>1</v>
      </c>
      <c r="P877" s="938">
        <f t="shared" ref="P877:P900" si="33">E877*O877</f>
        <v>1300</v>
      </c>
    </row>
    <row r="878" spans="1:16" x14ac:dyDescent="0.2">
      <c r="A878" s="937" t="s">
        <v>2126</v>
      </c>
      <c r="B878" s="912" t="s">
        <v>875</v>
      </c>
      <c r="C878" s="912" t="s">
        <v>80</v>
      </c>
      <c r="D878" s="912" t="s">
        <v>2127</v>
      </c>
      <c r="E878" s="938">
        <v>2041</v>
      </c>
      <c r="F878" s="926">
        <v>29380280</v>
      </c>
      <c r="G878" s="926" t="s">
        <v>2650</v>
      </c>
      <c r="H878" s="926" t="s">
        <v>1028</v>
      </c>
      <c r="I878" s="939" t="s">
        <v>2133</v>
      </c>
      <c r="J878" s="939" t="s">
        <v>2133</v>
      </c>
      <c r="K878" s="912"/>
      <c r="L878" s="912"/>
      <c r="M878" s="938"/>
      <c r="N878" s="912">
        <v>1</v>
      </c>
      <c r="O878" s="912">
        <v>3</v>
      </c>
      <c r="P878" s="938">
        <f t="shared" si="33"/>
        <v>6123</v>
      </c>
    </row>
    <row r="879" spans="1:16" x14ac:dyDescent="0.2">
      <c r="A879" s="937" t="s">
        <v>2126</v>
      </c>
      <c r="B879" s="912" t="s">
        <v>875</v>
      </c>
      <c r="C879" s="912" t="s">
        <v>80</v>
      </c>
      <c r="D879" s="912" t="s">
        <v>2127</v>
      </c>
      <c r="E879" s="938">
        <v>2041</v>
      </c>
      <c r="F879" s="926">
        <v>41201096</v>
      </c>
      <c r="G879" s="926" t="s">
        <v>2651</v>
      </c>
      <c r="H879" s="926" t="s">
        <v>1028</v>
      </c>
      <c r="I879" s="939" t="s">
        <v>2133</v>
      </c>
      <c r="J879" s="939" t="s">
        <v>2133</v>
      </c>
      <c r="K879" s="912"/>
      <c r="L879" s="912"/>
      <c r="M879" s="938"/>
      <c r="N879" s="912">
        <v>1</v>
      </c>
      <c r="O879" s="912">
        <v>5</v>
      </c>
      <c r="P879" s="938">
        <f t="shared" si="33"/>
        <v>10205</v>
      </c>
    </row>
    <row r="880" spans="1:16" x14ac:dyDescent="0.2">
      <c r="A880" s="937" t="s">
        <v>2126</v>
      </c>
      <c r="B880" s="912" t="s">
        <v>875</v>
      </c>
      <c r="C880" s="912" t="s">
        <v>80</v>
      </c>
      <c r="D880" s="912" t="s">
        <v>2127</v>
      </c>
      <c r="E880" s="938">
        <v>2041</v>
      </c>
      <c r="F880" s="926">
        <v>4643872</v>
      </c>
      <c r="G880" s="926" t="s">
        <v>2652</v>
      </c>
      <c r="H880" s="926" t="s">
        <v>1028</v>
      </c>
      <c r="I880" s="939" t="s">
        <v>2133</v>
      </c>
      <c r="J880" s="939" t="s">
        <v>2133</v>
      </c>
      <c r="K880" s="912"/>
      <c r="L880" s="912"/>
      <c r="M880" s="938"/>
      <c r="N880" s="912">
        <v>1</v>
      </c>
      <c r="O880" s="912">
        <v>5</v>
      </c>
      <c r="P880" s="938">
        <f t="shared" si="33"/>
        <v>10205</v>
      </c>
    </row>
    <row r="881" spans="1:16" x14ac:dyDescent="0.2">
      <c r="A881" s="937" t="s">
        <v>2126</v>
      </c>
      <c r="B881" s="912" t="s">
        <v>875</v>
      </c>
      <c r="C881" s="912" t="s">
        <v>80</v>
      </c>
      <c r="D881" s="912" t="s">
        <v>2127</v>
      </c>
      <c r="E881" s="938">
        <v>2041</v>
      </c>
      <c r="F881" s="926">
        <v>40969127</v>
      </c>
      <c r="G881" s="926" t="s">
        <v>2653</v>
      </c>
      <c r="H881" s="926" t="s">
        <v>1028</v>
      </c>
      <c r="I881" s="939" t="s">
        <v>2133</v>
      </c>
      <c r="J881" s="939" t="s">
        <v>2133</v>
      </c>
      <c r="K881" s="912"/>
      <c r="L881" s="912"/>
      <c r="M881" s="938"/>
      <c r="N881" s="912">
        <v>1</v>
      </c>
      <c r="O881" s="912">
        <v>5</v>
      </c>
      <c r="P881" s="938">
        <f t="shared" si="33"/>
        <v>10205</v>
      </c>
    </row>
    <row r="882" spans="1:16" x14ac:dyDescent="0.2">
      <c r="A882" s="937" t="s">
        <v>2126</v>
      </c>
      <c r="B882" s="912" t="s">
        <v>875</v>
      </c>
      <c r="C882" s="912" t="s">
        <v>80</v>
      </c>
      <c r="D882" s="912" t="s">
        <v>2127</v>
      </c>
      <c r="E882" s="938">
        <v>2041</v>
      </c>
      <c r="F882" s="926">
        <v>70580839</v>
      </c>
      <c r="G882" s="926" t="s">
        <v>2654</v>
      </c>
      <c r="H882" s="926" t="s">
        <v>1028</v>
      </c>
      <c r="I882" s="939" t="s">
        <v>2133</v>
      </c>
      <c r="J882" s="939" t="s">
        <v>2133</v>
      </c>
      <c r="K882" s="912"/>
      <c r="L882" s="912"/>
      <c r="M882" s="938"/>
      <c r="N882" s="912">
        <v>1</v>
      </c>
      <c r="O882" s="912">
        <v>5</v>
      </c>
      <c r="P882" s="938">
        <f t="shared" si="33"/>
        <v>10205</v>
      </c>
    </row>
    <row r="883" spans="1:16" x14ac:dyDescent="0.2">
      <c r="A883" s="937" t="s">
        <v>2126</v>
      </c>
      <c r="B883" s="912" t="s">
        <v>875</v>
      </c>
      <c r="C883" s="912" t="s">
        <v>80</v>
      </c>
      <c r="D883" s="912" t="s">
        <v>2127</v>
      </c>
      <c r="E883" s="938">
        <v>5532</v>
      </c>
      <c r="F883" s="926">
        <v>70580841</v>
      </c>
      <c r="G883" s="926" t="s">
        <v>2655</v>
      </c>
      <c r="H883" s="926" t="s">
        <v>1175</v>
      </c>
      <c r="I883" s="939" t="s">
        <v>2133</v>
      </c>
      <c r="J883" s="939" t="s">
        <v>2133</v>
      </c>
      <c r="K883" s="912"/>
      <c r="L883" s="912"/>
      <c r="M883" s="938"/>
      <c r="N883" s="912">
        <v>1</v>
      </c>
      <c r="O883" s="912">
        <v>5</v>
      </c>
      <c r="P883" s="938">
        <f t="shared" si="33"/>
        <v>27660</v>
      </c>
    </row>
    <row r="884" spans="1:16" x14ac:dyDescent="0.2">
      <c r="A884" s="937" t="s">
        <v>2126</v>
      </c>
      <c r="B884" s="912" t="s">
        <v>875</v>
      </c>
      <c r="C884" s="912" t="s">
        <v>80</v>
      </c>
      <c r="D884" s="912" t="s">
        <v>2127</v>
      </c>
      <c r="E884" s="938">
        <v>2041</v>
      </c>
      <c r="F884" s="926">
        <v>44870093</v>
      </c>
      <c r="G884" s="926" t="s">
        <v>2656</v>
      </c>
      <c r="H884" s="926" t="s">
        <v>1028</v>
      </c>
      <c r="I884" s="939" t="s">
        <v>2133</v>
      </c>
      <c r="J884" s="939" t="s">
        <v>2133</v>
      </c>
      <c r="K884" s="912"/>
      <c r="L884" s="912"/>
      <c r="M884" s="938"/>
      <c r="N884" s="912">
        <v>1</v>
      </c>
      <c r="O884" s="912">
        <v>4</v>
      </c>
      <c r="P884" s="938">
        <f>8164+18.54</f>
        <v>8182.54</v>
      </c>
    </row>
    <row r="885" spans="1:16" x14ac:dyDescent="0.2">
      <c r="A885" s="937" t="s">
        <v>2126</v>
      </c>
      <c r="B885" s="912" t="s">
        <v>875</v>
      </c>
      <c r="C885" s="912" t="s">
        <v>80</v>
      </c>
      <c r="D885" s="912" t="s">
        <v>2136</v>
      </c>
      <c r="E885" s="938">
        <v>1300</v>
      </c>
      <c r="F885" s="926">
        <v>29713677</v>
      </c>
      <c r="G885" s="926" t="s">
        <v>2657</v>
      </c>
      <c r="H885" s="926" t="s">
        <v>1783</v>
      </c>
      <c r="I885" s="939" t="s">
        <v>1412</v>
      </c>
      <c r="J885" s="939" t="s">
        <v>1412</v>
      </c>
      <c r="K885" s="912"/>
      <c r="L885" s="912"/>
      <c r="M885" s="938"/>
      <c r="N885" s="912">
        <v>1</v>
      </c>
      <c r="O885" s="912">
        <v>1</v>
      </c>
      <c r="P885" s="938">
        <f t="shared" si="33"/>
        <v>1300</v>
      </c>
    </row>
    <row r="886" spans="1:16" x14ac:dyDescent="0.2">
      <c r="A886" s="937" t="s">
        <v>2126</v>
      </c>
      <c r="B886" s="912" t="s">
        <v>875</v>
      </c>
      <c r="C886" s="912" t="s">
        <v>80</v>
      </c>
      <c r="D886" s="912" t="s">
        <v>2136</v>
      </c>
      <c r="E886" s="938">
        <v>2041</v>
      </c>
      <c r="F886" s="926">
        <v>40694450</v>
      </c>
      <c r="G886" s="926" t="s">
        <v>2658</v>
      </c>
      <c r="H886" s="926" t="s">
        <v>2659</v>
      </c>
      <c r="I886" s="939" t="s">
        <v>1412</v>
      </c>
      <c r="J886" s="939" t="s">
        <v>1412</v>
      </c>
      <c r="K886" s="912"/>
      <c r="L886" s="912"/>
      <c r="M886" s="938"/>
      <c r="N886" s="912">
        <v>1</v>
      </c>
      <c r="O886" s="912">
        <v>5</v>
      </c>
      <c r="P886" s="938">
        <f t="shared" si="33"/>
        <v>10205</v>
      </c>
    </row>
    <row r="887" spans="1:16" x14ac:dyDescent="0.2">
      <c r="A887" s="937" t="s">
        <v>2126</v>
      </c>
      <c r="B887" s="912" t="s">
        <v>875</v>
      </c>
      <c r="C887" s="912" t="s">
        <v>80</v>
      </c>
      <c r="D887" s="912" t="s">
        <v>2127</v>
      </c>
      <c r="E887" s="938">
        <v>2041</v>
      </c>
      <c r="F887" s="926">
        <v>29724122</v>
      </c>
      <c r="G887" s="926" t="s">
        <v>2660</v>
      </c>
      <c r="H887" s="926" t="s">
        <v>1028</v>
      </c>
      <c r="I887" s="939" t="s">
        <v>2133</v>
      </c>
      <c r="J887" s="939" t="s">
        <v>2133</v>
      </c>
      <c r="K887" s="912"/>
      <c r="L887" s="912"/>
      <c r="M887" s="938"/>
      <c r="N887" s="912">
        <v>1</v>
      </c>
      <c r="O887" s="912">
        <v>5</v>
      </c>
      <c r="P887" s="938">
        <f t="shared" si="33"/>
        <v>10205</v>
      </c>
    </row>
    <row r="888" spans="1:16" x14ac:dyDescent="0.2">
      <c r="A888" s="937" t="s">
        <v>2126</v>
      </c>
      <c r="B888" s="912" t="s">
        <v>875</v>
      </c>
      <c r="C888" s="912" t="s">
        <v>80</v>
      </c>
      <c r="D888" s="912" t="s">
        <v>2127</v>
      </c>
      <c r="E888" s="938">
        <v>3344</v>
      </c>
      <c r="F888" s="926">
        <v>43088684</v>
      </c>
      <c r="G888" s="926" t="s">
        <v>2661</v>
      </c>
      <c r="H888" s="926" t="s">
        <v>1646</v>
      </c>
      <c r="I888" s="939" t="s">
        <v>2133</v>
      </c>
      <c r="J888" s="939" t="s">
        <v>2133</v>
      </c>
      <c r="K888" s="912"/>
      <c r="L888" s="912"/>
      <c r="M888" s="938"/>
      <c r="N888" s="912">
        <v>1</v>
      </c>
      <c r="O888" s="912">
        <v>5</v>
      </c>
      <c r="P888" s="938">
        <f t="shared" si="33"/>
        <v>16720</v>
      </c>
    </row>
    <row r="889" spans="1:16" x14ac:dyDescent="0.2">
      <c r="A889" s="937" t="s">
        <v>2126</v>
      </c>
      <c r="B889" s="912" t="s">
        <v>875</v>
      </c>
      <c r="C889" s="912" t="s">
        <v>80</v>
      </c>
      <c r="D889" s="912" t="s">
        <v>2127</v>
      </c>
      <c r="E889" s="938">
        <v>2041</v>
      </c>
      <c r="F889" s="926">
        <v>40507009</v>
      </c>
      <c r="G889" s="926" t="s">
        <v>2662</v>
      </c>
      <c r="H889" s="926" t="s">
        <v>1028</v>
      </c>
      <c r="I889" s="939" t="s">
        <v>2133</v>
      </c>
      <c r="J889" s="939" t="s">
        <v>2133</v>
      </c>
      <c r="K889" s="912"/>
      <c r="L889" s="912"/>
      <c r="M889" s="938"/>
      <c r="N889" s="912">
        <v>1</v>
      </c>
      <c r="O889" s="912">
        <v>3</v>
      </c>
      <c r="P889" s="938">
        <f t="shared" si="33"/>
        <v>6123</v>
      </c>
    </row>
    <row r="890" spans="1:16" x14ac:dyDescent="0.2">
      <c r="A890" s="937" t="s">
        <v>2126</v>
      </c>
      <c r="B890" s="912" t="s">
        <v>875</v>
      </c>
      <c r="C890" s="912" t="s">
        <v>80</v>
      </c>
      <c r="D890" s="912" t="s">
        <v>2127</v>
      </c>
      <c r="E890" s="938">
        <v>2041</v>
      </c>
      <c r="F890" s="926">
        <v>42606763</v>
      </c>
      <c r="G890" s="926" t="s">
        <v>2663</v>
      </c>
      <c r="H890" s="926" t="s">
        <v>1028</v>
      </c>
      <c r="I890" s="939" t="s">
        <v>2133</v>
      </c>
      <c r="J890" s="939" t="s">
        <v>2133</v>
      </c>
      <c r="K890" s="912"/>
      <c r="L890" s="912"/>
      <c r="M890" s="938"/>
      <c r="N890" s="912">
        <v>1</v>
      </c>
      <c r="O890" s="912">
        <v>3</v>
      </c>
      <c r="P890" s="938">
        <f t="shared" si="33"/>
        <v>6123</v>
      </c>
    </row>
    <row r="891" spans="1:16" x14ac:dyDescent="0.2">
      <c r="A891" s="937" t="s">
        <v>2126</v>
      </c>
      <c r="B891" s="912" t="s">
        <v>875</v>
      </c>
      <c r="C891" s="912" t="s">
        <v>80</v>
      </c>
      <c r="D891" s="912" t="s">
        <v>2127</v>
      </c>
      <c r="E891" s="938">
        <v>2041</v>
      </c>
      <c r="F891" s="926">
        <v>72851682</v>
      </c>
      <c r="G891" s="926" t="s">
        <v>2664</v>
      </c>
      <c r="H891" s="926" t="s">
        <v>1028</v>
      </c>
      <c r="I891" s="939" t="s">
        <v>2133</v>
      </c>
      <c r="J891" s="939" t="s">
        <v>2133</v>
      </c>
      <c r="K891" s="912"/>
      <c r="L891" s="912"/>
      <c r="M891" s="938"/>
      <c r="N891" s="912">
        <v>1</v>
      </c>
      <c r="O891" s="912">
        <v>3</v>
      </c>
      <c r="P891" s="938">
        <f t="shared" si="33"/>
        <v>6123</v>
      </c>
    </row>
    <row r="892" spans="1:16" x14ac:dyDescent="0.2">
      <c r="A892" s="937" t="s">
        <v>2126</v>
      </c>
      <c r="B892" s="912" t="s">
        <v>875</v>
      </c>
      <c r="C892" s="912" t="s">
        <v>80</v>
      </c>
      <c r="D892" s="912" t="s">
        <v>2127</v>
      </c>
      <c r="E892" s="938">
        <v>3344</v>
      </c>
      <c r="F892" s="926">
        <v>46152861</v>
      </c>
      <c r="G892" s="926" t="s">
        <v>2665</v>
      </c>
      <c r="H892" s="926" t="s">
        <v>1594</v>
      </c>
      <c r="I892" s="939" t="s">
        <v>2133</v>
      </c>
      <c r="J892" s="939" t="s">
        <v>2133</v>
      </c>
      <c r="K892" s="912"/>
      <c r="L892" s="912"/>
      <c r="M892" s="938"/>
      <c r="N892" s="912">
        <v>1</v>
      </c>
      <c r="O892" s="912">
        <v>2</v>
      </c>
      <c r="P892" s="938">
        <f t="shared" si="33"/>
        <v>6688</v>
      </c>
    </row>
    <row r="893" spans="1:16" x14ac:dyDescent="0.2">
      <c r="A893" s="937" t="s">
        <v>2126</v>
      </c>
      <c r="B893" s="912" t="s">
        <v>875</v>
      </c>
      <c r="C893" s="912" t="s">
        <v>80</v>
      </c>
      <c r="D893" s="912" t="s">
        <v>2127</v>
      </c>
      <c r="E893" s="938">
        <v>5532</v>
      </c>
      <c r="F893" s="926">
        <v>46659554</v>
      </c>
      <c r="G893" s="926" t="s">
        <v>2666</v>
      </c>
      <c r="H893" s="926" t="s">
        <v>1175</v>
      </c>
      <c r="I893" s="939" t="s">
        <v>2133</v>
      </c>
      <c r="J893" s="939" t="s">
        <v>2133</v>
      </c>
      <c r="K893" s="912"/>
      <c r="L893" s="912"/>
      <c r="M893" s="938"/>
      <c r="N893" s="912">
        <v>1</v>
      </c>
      <c r="O893" s="912">
        <v>1</v>
      </c>
      <c r="P893" s="938">
        <f t="shared" si="33"/>
        <v>5532</v>
      </c>
    </row>
    <row r="894" spans="1:16" x14ac:dyDescent="0.2">
      <c r="A894" s="937" t="s">
        <v>2126</v>
      </c>
      <c r="B894" s="912" t="s">
        <v>875</v>
      </c>
      <c r="C894" s="912" t="s">
        <v>80</v>
      </c>
      <c r="D894" s="912" t="s">
        <v>2127</v>
      </c>
      <c r="E894" s="938">
        <v>2041</v>
      </c>
      <c r="F894" s="926">
        <v>45278488</v>
      </c>
      <c r="G894" s="926" t="s">
        <v>2667</v>
      </c>
      <c r="H894" s="926" t="s">
        <v>1666</v>
      </c>
      <c r="I894" s="939" t="s">
        <v>2133</v>
      </c>
      <c r="J894" s="939" t="s">
        <v>2133</v>
      </c>
      <c r="K894" s="912"/>
      <c r="L894" s="912"/>
      <c r="M894" s="938"/>
      <c r="N894" s="912">
        <v>1</v>
      </c>
      <c r="O894" s="912">
        <v>5</v>
      </c>
      <c r="P894" s="938">
        <f t="shared" si="33"/>
        <v>10205</v>
      </c>
    </row>
    <row r="895" spans="1:16" x14ac:dyDescent="0.2">
      <c r="A895" s="937" t="s">
        <v>2126</v>
      </c>
      <c r="B895" s="912" t="s">
        <v>875</v>
      </c>
      <c r="C895" s="912" t="s">
        <v>80</v>
      </c>
      <c r="D895" s="912" t="s">
        <v>2127</v>
      </c>
      <c r="E895" s="938">
        <v>5532</v>
      </c>
      <c r="F895" s="926">
        <v>47194855</v>
      </c>
      <c r="G895" s="926" t="s">
        <v>2668</v>
      </c>
      <c r="H895" s="926" t="s">
        <v>1175</v>
      </c>
      <c r="I895" s="939" t="s">
        <v>2133</v>
      </c>
      <c r="J895" s="939" t="s">
        <v>2133</v>
      </c>
      <c r="K895" s="912"/>
      <c r="L895" s="912"/>
      <c r="M895" s="938"/>
      <c r="N895" s="912">
        <v>1</v>
      </c>
      <c r="O895" s="912">
        <v>3</v>
      </c>
      <c r="P895" s="938">
        <f t="shared" si="33"/>
        <v>16596</v>
      </c>
    </row>
    <row r="896" spans="1:16" x14ac:dyDescent="0.2">
      <c r="A896" s="937" t="s">
        <v>2126</v>
      </c>
      <c r="B896" s="912" t="s">
        <v>875</v>
      </c>
      <c r="C896" s="912" t="s">
        <v>80</v>
      </c>
      <c r="D896" s="912" t="s">
        <v>2127</v>
      </c>
      <c r="E896" s="938">
        <v>2041</v>
      </c>
      <c r="F896" s="926">
        <v>29646981</v>
      </c>
      <c r="G896" s="926" t="s">
        <v>2669</v>
      </c>
      <c r="H896" s="926" t="s">
        <v>2410</v>
      </c>
      <c r="I896" s="939" t="s">
        <v>2133</v>
      </c>
      <c r="J896" s="939" t="s">
        <v>2133</v>
      </c>
      <c r="K896" s="912"/>
      <c r="L896" s="912"/>
      <c r="M896" s="938"/>
      <c r="N896" s="912">
        <v>1</v>
      </c>
      <c r="O896" s="912">
        <v>3</v>
      </c>
      <c r="P896" s="938">
        <f t="shared" si="33"/>
        <v>6123</v>
      </c>
    </row>
    <row r="897" spans="1:16" x14ac:dyDescent="0.2">
      <c r="A897" s="937" t="s">
        <v>2126</v>
      </c>
      <c r="B897" s="912" t="s">
        <v>875</v>
      </c>
      <c r="C897" s="912" t="s">
        <v>80</v>
      </c>
      <c r="D897" s="912" t="s">
        <v>2127</v>
      </c>
      <c r="E897" s="938">
        <v>2041</v>
      </c>
      <c r="F897" s="926">
        <v>42646990</v>
      </c>
      <c r="G897" s="926" t="s">
        <v>2670</v>
      </c>
      <c r="H897" s="926" t="s">
        <v>2410</v>
      </c>
      <c r="I897" s="939" t="s">
        <v>2133</v>
      </c>
      <c r="J897" s="939" t="s">
        <v>2133</v>
      </c>
      <c r="K897" s="912"/>
      <c r="L897" s="912"/>
      <c r="M897" s="938"/>
      <c r="N897" s="912">
        <v>1</v>
      </c>
      <c r="O897" s="912">
        <v>3</v>
      </c>
      <c r="P897" s="938">
        <f t="shared" si="33"/>
        <v>6123</v>
      </c>
    </row>
    <row r="898" spans="1:16" x14ac:dyDescent="0.2">
      <c r="A898" s="937" t="s">
        <v>2126</v>
      </c>
      <c r="B898" s="912" t="s">
        <v>875</v>
      </c>
      <c r="C898" s="912" t="s">
        <v>80</v>
      </c>
      <c r="D898" s="912" t="s">
        <v>2127</v>
      </c>
      <c r="E898" s="938">
        <v>2041</v>
      </c>
      <c r="F898" s="926">
        <v>72682647</v>
      </c>
      <c r="G898" s="926" t="s">
        <v>2671</v>
      </c>
      <c r="H898" s="926" t="s">
        <v>1663</v>
      </c>
      <c r="I898" s="939" t="s">
        <v>2133</v>
      </c>
      <c r="J898" s="939" t="s">
        <v>2133</v>
      </c>
      <c r="K898" s="912"/>
      <c r="L898" s="912"/>
      <c r="M898" s="938"/>
      <c r="N898" s="912">
        <v>1</v>
      </c>
      <c r="O898" s="912">
        <v>5</v>
      </c>
      <c r="P898" s="938">
        <f t="shared" si="33"/>
        <v>10205</v>
      </c>
    </row>
    <row r="899" spans="1:16" x14ac:dyDescent="0.2">
      <c r="A899" s="937" t="s">
        <v>2126</v>
      </c>
      <c r="B899" s="912" t="s">
        <v>875</v>
      </c>
      <c r="C899" s="912" t="s">
        <v>80</v>
      </c>
      <c r="D899" s="912" t="s">
        <v>2127</v>
      </c>
      <c r="E899" s="938">
        <v>3344</v>
      </c>
      <c r="F899" s="926">
        <v>29646564</v>
      </c>
      <c r="G899" s="926" t="s">
        <v>2672</v>
      </c>
      <c r="H899" s="926" t="s">
        <v>1594</v>
      </c>
      <c r="I899" s="939" t="s">
        <v>2133</v>
      </c>
      <c r="J899" s="939" t="s">
        <v>2133</v>
      </c>
      <c r="K899" s="912"/>
      <c r="L899" s="912"/>
      <c r="M899" s="938"/>
      <c r="N899" s="912">
        <v>1</v>
      </c>
      <c r="O899" s="912">
        <v>5</v>
      </c>
      <c r="P899" s="938">
        <f t="shared" si="33"/>
        <v>16720</v>
      </c>
    </row>
    <row r="900" spans="1:16" x14ac:dyDescent="0.2">
      <c r="A900" s="937" t="s">
        <v>2126</v>
      </c>
      <c r="B900" s="912" t="s">
        <v>875</v>
      </c>
      <c r="C900" s="912" t="s">
        <v>80</v>
      </c>
      <c r="D900" s="912" t="s">
        <v>2127</v>
      </c>
      <c r="E900" s="938">
        <v>3344</v>
      </c>
      <c r="F900" s="926">
        <v>46016581</v>
      </c>
      <c r="G900" s="926" t="s">
        <v>2673</v>
      </c>
      <c r="H900" s="926" t="s">
        <v>1646</v>
      </c>
      <c r="I900" s="939" t="s">
        <v>2133</v>
      </c>
      <c r="J900" s="939" t="s">
        <v>2133</v>
      </c>
      <c r="K900" s="912"/>
      <c r="L900" s="912"/>
      <c r="M900" s="938"/>
      <c r="N900" s="912">
        <v>1</v>
      </c>
      <c r="O900" s="912">
        <v>2</v>
      </c>
      <c r="P900" s="938">
        <f t="shared" si="33"/>
        <v>6688</v>
      </c>
    </row>
    <row r="901" spans="1:16" x14ac:dyDescent="0.2">
      <c r="A901" s="937" t="s">
        <v>2126</v>
      </c>
      <c r="B901" s="912" t="s">
        <v>2674</v>
      </c>
      <c r="C901" s="912" t="s">
        <v>80</v>
      </c>
      <c r="D901" s="912" t="s">
        <v>2127</v>
      </c>
      <c r="E901" s="938">
        <v>3344</v>
      </c>
      <c r="F901" s="926" t="s">
        <v>2675</v>
      </c>
      <c r="G901" s="912" t="s">
        <v>2631</v>
      </c>
      <c r="H901" s="926" t="s">
        <v>1404</v>
      </c>
      <c r="I901" s="939" t="s">
        <v>2133</v>
      </c>
      <c r="J901" s="912" t="s">
        <v>2133</v>
      </c>
      <c r="K901" s="912">
        <v>1</v>
      </c>
      <c r="L901" s="912"/>
      <c r="M901" s="938">
        <v>0</v>
      </c>
      <c r="N901" s="912"/>
      <c r="O901" s="912">
        <v>5</v>
      </c>
      <c r="P901" s="938">
        <v>16720</v>
      </c>
    </row>
    <row r="902" spans="1:16" x14ac:dyDescent="0.2">
      <c r="A902" s="937" t="s">
        <v>2126</v>
      </c>
      <c r="B902" s="912" t="s">
        <v>2674</v>
      </c>
      <c r="C902" s="912" t="s">
        <v>80</v>
      </c>
      <c r="D902" s="912" t="s">
        <v>2127</v>
      </c>
      <c r="E902" s="938">
        <v>5532</v>
      </c>
      <c r="F902" s="926" t="s">
        <v>2676</v>
      </c>
      <c r="G902" s="912" t="s">
        <v>2633</v>
      </c>
      <c r="H902" s="926" t="s">
        <v>1175</v>
      </c>
      <c r="I902" s="939" t="s">
        <v>2133</v>
      </c>
      <c r="J902" s="912" t="s">
        <v>2133</v>
      </c>
      <c r="K902" s="912">
        <v>1</v>
      </c>
      <c r="L902" s="912"/>
      <c r="M902" s="938">
        <v>0</v>
      </c>
      <c r="N902" s="912"/>
      <c r="O902" s="912">
        <v>5</v>
      </c>
      <c r="P902" s="938">
        <v>27660</v>
      </c>
    </row>
    <row r="903" spans="1:16" x14ac:dyDescent="0.2">
      <c r="A903" s="937" t="s">
        <v>2126</v>
      </c>
      <c r="B903" s="912" t="s">
        <v>2674</v>
      </c>
      <c r="C903" s="912" t="s">
        <v>80</v>
      </c>
      <c r="D903" s="912" t="s">
        <v>2127</v>
      </c>
      <c r="E903" s="938">
        <v>2041</v>
      </c>
      <c r="F903" s="926" t="s">
        <v>2677</v>
      </c>
      <c r="G903" s="912" t="s">
        <v>2625</v>
      </c>
      <c r="H903" s="926" t="s">
        <v>2626</v>
      </c>
      <c r="I903" s="939" t="s">
        <v>2133</v>
      </c>
      <c r="J903" s="912" t="s">
        <v>2133</v>
      </c>
      <c r="K903" s="912">
        <v>1</v>
      </c>
      <c r="L903" s="912"/>
      <c r="M903" s="938">
        <v>0</v>
      </c>
      <c r="N903" s="912"/>
      <c r="O903" s="912">
        <v>5</v>
      </c>
      <c r="P903" s="938">
        <v>10205</v>
      </c>
    </row>
    <row r="904" spans="1:16" x14ac:dyDescent="0.2">
      <c r="A904" s="937" t="s">
        <v>2126</v>
      </c>
      <c r="B904" s="912" t="s">
        <v>2674</v>
      </c>
      <c r="C904" s="912" t="s">
        <v>80</v>
      </c>
      <c r="D904" s="912" t="s">
        <v>2127</v>
      </c>
      <c r="E904" s="938">
        <v>3344</v>
      </c>
      <c r="F904" s="926" t="s">
        <v>2678</v>
      </c>
      <c r="G904" s="912" t="s">
        <v>2486</v>
      </c>
      <c r="H904" s="926" t="s">
        <v>2259</v>
      </c>
      <c r="I904" s="939" t="s">
        <v>2133</v>
      </c>
      <c r="J904" s="912" t="s">
        <v>2133</v>
      </c>
      <c r="K904" s="912">
        <v>1</v>
      </c>
      <c r="L904" s="912"/>
      <c r="M904" s="938">
        <v>0</v>
      </c>
      <c r="N904" s="912"/>
      <c r="O904" s="912">
        <v>5</v>
      </c>
      <c r="P904" s="938">
        <v>16720</v>
      </c>
    </row>
    <row r="905" spans="1:16" x14ac:dyDescent="0.2">
      <c r="A905" s="937" t="s">
        <v>2126</v>
      </c>
      <c r="B905" s="912" t="s">
        <v>2674</v>
      </c>
      <c r="C905" s="912" t="s">
        <v>80</v>
      </c>
      <c r="D905" s="912" t="s">
        <v>2127</v>
      </c>
      <c r="E905" s="938">
        <v>2041</v>
      </c>
      <c r="F905" s="926" t="s">
        <v>2679</v>
      </c>
      <c r="G905" s="912" t="s">
        <v>2632</v>
      </c>
      <c r="H905" s="926" t="s">
        <v>2626</v>
      </c>
      <c r="I905" s="939" t="s">
        <v>2133</v>
      </c>
      <c r="J905" s="912" t="s">
        <v>2133</v>
      </c>
      <c r="K905" s="912">
        <v>1</v>
      </c>
      <c r="L905" s="912"/>
      <c r="M905" s="938">
        <v>0</v>
      </c>
      <c r="N905" s="912"/>
      <c r="O905" s="912">
        <v>5</v>
      </c>
      <c r="P905" s="938">
        <v>10205</v>
      </c>
    </row>
    <row r="906" spans="1:16" x14ac:dyDescent="0.2">
      <c r="A906" s="937" t="s">
        <v>2126</v>
      </c>
      <c r="B906" s="912" t="s">
        <v>2674</v>
      </c>
      <c r="C906" s="912" t="s">
        <v>80</v>
      </c>
      <c r="D906" s="912" t="s">
        <v>2127</v>
      </c>
      <c r="E906" s="938">
        <v>2041</v>
      </c>
      <c r="F906" s="926" t="s">
        <v>2680</v>
      </c>
      <c r="G906" s="912" t="s">
        <v>2643</v>
      </c>
      <c r="H906" s="926" t="s">
        <v>2410</v>
      </c>
      <c r="I906" s="939" t="s">
        <v>2133</v>
      </c>
      <c r="J906" s="912" t="s">
        <v>2133</v>
      </c>
      <c r="K906" s="912">
        <v>1</v>
      </c>
      <c r="L906" s="912"/>
      <c r="M906" s="938">
        <v>0</v>
      </c>
      <c r="N906" s="912"/>
      <c r="O906" s="912">
        <v>5</v>
      </c>
      <c r="P906" s="938">
        <v>10205</v>
      </c>
    </row>
    <row r="907" spans="1:16" x14ac:dyDescent="0.2">
      <c r="A907" s="937" t="s">
        <v>2126</v>
      </c>
      <c r="B907" s="912" t="s">
        <v>2674</v>
      </c>
      <c r="C907" s="912" t="s">
        <v>80</v>
      </c>
      <c r="D907" s="912" t="s">
        <v>2127</v>
      </c>
      <c r="E907" s="938">
        <v>5532</v>
      </c>
      <c r="F907" s="926" t="s">
        <v>2681</v>
      </c>
      <c r="G907" s="912" t="s">
        <v>2666</v>
      </c>
      <c r="H907" s="926" t="s">
        <v>1175</v>
      </c>
      <c r="I907" s="939" t="s">
        <v>2133</v>
      </c>
      <c r="J907" s="912" t="s">
        <v>2133</v>
      </c>
      <c r="K907" s="912">
        <v>1</v>
      </c>
      <c r="L907" s="912"/>
      <c r="M907" s="938">
        <v>0</v>
      </c>
      <c r="N907" s="912"/>
      <c r="O907" s="912">
        <v>5</v>
      </c>
      <c r="P907" s="938">
        <v>27660</v>
      </c>
    </row>
    <row r="908" spans="1:16" x14ac:dyDescent="0.2">
      <c r="A908" s="937" t="s">
        <v>2126</v>
      </c>
      <c r="B908" s="912" t="s">
        <v>2674</v>
      </c>
      <c r="C908" s="912" t="s">
        <v>80</v>
      </c>
      <c r="D908" s="912" t="s">
        <v>2127</v>
      </c>
      <c r="E908" s="938">
        <v>6000</v>
      </c>
      <c r="F908" s="926" t="s">
        <v>2682</v>
      </c>
      <c r="G908" s="912" t="s">
        <v>2592</v>
      </c>
      <c r="H908" s="926" t="s">
        <v>1175</v>
      </c>
      <c r="I908" s="939" t="s">
        <v>2133</v>
      </c>
      <c r="J908" s="912" t="s">
        <v>2133</v>
      </c>
      <c r="K908" s="912">
        <v>1</v>
      </c>
      <c r="L908" s="912"/>
      <c r="M908" s="938">
        <v>0</v>
      </c>
      <c r="N908" s="912"/>
      <c r="O908" s="912">
        <v>5</v>
      </c>
      <c r="P908" s="938">
        <v>30000</v>
      </c>
    </row>
    <row r="909" spans="1:16" x14ac:dyDescent="0.2">
      <c r="A909" s="937" t="s">
        <v>2126</v>
      </c>
      <c r="B909" s="912" t="s">
        <v>2674</v>
      </c>
      <c r="C909" s="912" t="s">
        <v>80</v>
      </c>
      <c r="D909" s="912" t="s">
        <v>2127</v>
      </c>
      <c r="E909" s="938">
        <v>6000</v>
      </c>
      <c r="F909" s="926" t="s">
        <v>2683</v>
      </c>
      <c r="G909" s="912" t="s">
        <v>2630</v>
      </c>
      <c r="H909" s="926" t="s">
        <v>1175</v>
      </c>
      <c r="I909" s="939" t="s">
        <v>2133</v>
      </c>
      <c r="J909" s="912" t="s">
        <v>2133</v>
      </c>
      <c r="K909" s="912">
        <v>1</v>
      </c>
      <c r="L909" s="912"/>
      <c r="M909" s="938">
        <v>0</v>
      </c>
      <c r="N909" s="912"/>
      <c r="O909" s="912">
        <v>5</v>
      </c>
      <c r="P909" s="938">
        <v>30000</v>
      </c>
    </row>
    <row r="910" spans="1:16" x14ac:dyDescent="0.2">
      <c r="A910" s="937" t="s">
        <v>2126</v>
      </c>
      <c r="B910" s="912" t="s">
        <v>2674</v>
      </c>
      <c r="C910" s="912" t="s">
        <v>80</v>
      </c>
      <c r="D910" s="912" t="s">
        <v>2127</v>
      </c>
      <c r="E910" s="938">
        <v>5532</v>
      </c>
      <c r="F910" s="926" t="s">
        <v>2684</v>
      </c>
      <c r="G910" s="912" t="s">
        <v>2685</v>
      </c>
      <c r="H910" s="926" t="s">
        <v>1175</v>
      </c>
      <c r="I910" s="939" t="s">
        <v>2133</v>
      </c>
      <c r="J910" s="912" t="s">
        <v>2133</v>
      </c>
      <c r="K910" s="912">
        <v>1</v>
      </c>
      <c r="L910" s="912"/>
      <c r="M910" s="938">
        <v>0</v>
      </c>
      <c r="N910" s="912"/>
      <c r="O910" s="912">
        <v>5</v>
      </c>
      <c r="P910" s="938">
        <v>27660</v>
      </c>
    </row>
    <row r="911" spans="1:16" x14ac:dyDescent="0.2">
      <c r="A911" s="937" t="s">
        <v>2126</v>
      </c>
      <c r="B911" s="912" t="s">
        <v>2674</v>
      </c>
      <c r="C911" s="912" t="s">
        <v>80</v>
      </c>
      <c r="D911" s="912" t="s">
        <v>2127</v>
      </c>
      <c r="E911" s="938">
        <v>3344</v>
      </c>
      <c r="F911" s="926" t="s">
        <v>2686</v>
      </c>
      <c r="G911" s="912" t="s">
        <v>2522</v>
      </c>
      <c r="H911" s="926" t="s">
        <v>1594</v>
      </c>
      <c r="I911" s="939" t="s">
        <v>2357</v>
      </c>
      <c r="J911" s="912" t="s">
        <v>2357</v>
      </c>
      <c r="K911" s="912">
        <v>1</v>
      </c>
      <c r="L911" s="912"/>
      <c r="M911" s="938">
        <v>0</v>
      </c>
      <c r="N911" s="912"/>
      <c r="O911" s="912">
        <v>5</v>
      </c>
      <c r="P911" s="938">
        <v>16720</v>
      </c>
    </row>
    <row r="912" spans="1:16" x14ac:dyDescent="0.2">
      <c r="A912" s="937" t="s">
        <v>2126</v>
      </c>
      <c r="B912" s="912" t="s">
        <v>2674</v>
      </c>
      <c r="C912" s="912" t="s">
        <v>80</v>
      </c>
      <c r="D912" s="912" t="s">
        <v>2136</v>
      </c>
      <c r="E912" s="938">
        <v>1300</v>
      </c>
      <c r="F912" s="926" t="s">
        <v>2687</v>
      </c>
      <c r="G912" s="912" t="s">
        <v>2688</v>
      </c>
      <c r="H912" s="926" t="s">
        <v>1770</v>
      </c>
      <c r="I912" s="939" t="s">
        <v>2133</v>
      </c>
      <c r="J912" s="912" t="s">
        <v>2133</v>
      </c>
      <c r="K912" s="912">
        <v>1</v>
      </c>
      <c r="L912" s="912"/>
      <c r="M912" s="938">
        <v>0</v>
      </c>
      <c r="N912" s="912"/>
      <c r="O912" s="912">
        <v>5</v>
      </c>
      <c r="P912" s="938">
        <v>6500</v>
      </c>
    </row>
    <row r="913" spans="1:16" x14ac:dyDescent="0.2">
      <c r="A913" s="937" t="s">
        <v>2126</v>
      </c>
      <c r="B913" s="912" t="s">
        <v>2674</v>
      </c>
      <c r="C913" s="912" t="s">
        <v>80</v>
      </c>
      <c r="D913" s="912" t="s">
        <v>2127</v>
      </c>
      <c r="E913" s="938">
        <v>3344</v>
      </c>
      <c r="F913" s="926" t="s">
        <v>2689</v>
      </c>
      <c r="G913" s="912" t="s">
        <v>2567</v>
      </c>
      <c r="H913" s="926" t="s">
        <v>1594</v>
      </c>
      <c r="I913" s="939" t="s">
        <v>2133</v>
      </c>
      <c r="J913" s="912" t="s">
        <v>2133</v>
      </c>
      <c r="K913" s="912">
        <v>1</v>
      </c>
      <c r="L913" s="912"/>
      <c r="M913" s="938">
        <v>0</v>
      </c>
      <c r="N913" s="912"/>
      <c r="O913" s="912">
        <v>5</v>
      </c>
      <c r="P913" s="938">
        <v>16720</v>
      </c>
    </row>
    <row r="914" spans="1:16" x14ac:dyDescent="0.2">
      <c r="A914" s="937" t="s">
        <v>2126</v>
      </c>
      <c r="B914" s="912" t="s">
        <v>2674</v>
      </c>
      <c r="C914" s="912" t="s">
        <v>80</v>
      </c>
      <c r="D914" s="912" t="s">
        <v>2127</v>
      </c>
      <c r="E914" s="938">
        <v>2041</v>
      </c>
      <c r="F914" s="926" t="s">
        <v>2690</v>
      </c>
      <c r="G914" s="912" t="s">
        <v>2582</v>
      </c>
      <c r="H914" s="926" t="s">
        <v>740</v>
      </c>
      <c r="I914" s="939" t="s">
        <v>2133</v>
      </c>
      <c r="J914" s="912" t="s">
        <v>2133</v>
      </c>
      <c r="K914" s="912">
        <v>1</v>
      </c>
      <c r="L914" s="912"/>
      <c r="M914" s="938">
        <v>0</v>
      </c>
      <c r="N914" s="912"/>
      <c r="O914" s="912">
        <v>5</v>
      </c>
      <c r="P914" s="938">
        <v>10205</v>
      </c>
    </row>
    <row r="915" spans="1:16" x14ac:dyDescent="0.2">
      <c r="A915" s="937" t="s">
        <v>2126</v>
      </c>
      <c r="B915" s="912" t="s">
        <v>2674</v>
      </c>
      <c r="C915" s="912" t="s">
        <v>80</v>
      </c>
      <c r="D915" s="912" t="s">
        <v>2127</v>
      </c>
      <c r="E915" s="938">
        <v>1724</v>
      </c>
      <c r="F915" s="926" t="s">
        <v>2691</v>
      </c>
      <c r="G915" s="912" t="s">
        <v>2692</v>
      </c>
      <c r="H915" s="926" t="s">
        <v>1663</v>
      </c>
      <c r="I915" s="939" t="s">
        <v>2133</v>
      </c>
      <c r="J915" s="912" t="s">
        <v>2133</v>
      </c>
      <c r="K915" s="912">
        <v>1</v>
      </c>
      <c r="L915" s="912"/>
      <c r="M915" s="938">
        <v>0</v>
      </c>
      <c r="N915" s="912"/>
      <c r="O915" s="912">
        <v>6</v>
      </c>
      <c r="P915" s="938">
        <v>10344</v>
      </c>
    </row>
    <row r="916" spans="1:16" x14ac:dyDescent="0.2">
      <c r="A916" s="937" t="s">
        <v>2126</v>
      </c>
      <c r="B916" s="912" t="s">
        <v>2674</v>
      </c>
      <c r="C916" s="912" t="s">
        <v>80</v>
      </c>
      <c r="D916" s="912" t="s">
        <v>2136</v>
      </c>
      <c r="E916" s="938">
        <v>1300</v>
      </c>
      <c r="F916" s="926" t="s">
        <v>2693</v>
      </c>
      <c r="G916" s="912" t="s">
        <v>2694</v>
      </c>
      <c r="H916" s="926" t="s">
        <v>1770</v>
      </c>
      <c r="I916" s="939" t="s">
        <v>2133</v>
      </c>
      <c r="J916" s="912" t="s">
        <v>2133</v>
      </c>
      <c r="K916" s="912">
        <v>1</v>
      </c>
      <c r="L916" s="912"/>
      <c r="M916" s="938">
        <v>0</v>
      </c>
      <c r="N916" s="912"/>
      <c r="O916" s="912">
        <v>6</v>
      </c>
      <c r="P916" s="938">
        <v>7800</v>
      </c>
    </row>
    <row r="917" spans="1:16" x14ac:dyDescent="0.2">
      <c r="A917" s="937" t="s">
        <v>2126</v>
      </c>
      <c r="B917" s="912" t="s">
        <v>2674</v>
      </c>
      <c r="C917" s="912" t="s">
        <v>80</v>
      </c>
      <c r="D917" s="912" t="s">
        <v>2136</v>
      </c>
      <c r="E917" s="938">
        <v>1300</v>
      </c>
      <c r="F917" s="926" t="s">
        <v>2695</v>
      </c>
      <c r="G917" s="912" t="s">
        <v>2696</v>
      </c>
      <c r="H917" s="926" t="s">
        <v>1770</v>
      </c>
      <c r="I917" s="939" t="s">
        <v>2133</v>
      </c>
      <c r="J917" s="912" t="s">
        <v>2133</v>
      </c>
      <c r="K917" s="912">
        <v>1</v>
      </c>
      <c r="L917" s="912"/>
      <c r="M917" s="938">
        <v>0</v>
      </c>
      <c r="N917" s="912"/>
      <c r="O917" s="912">
        <v>6</v>
      </c>
      <c r="P917" s="938">
        <v>7800</v>
      </c>
    </row>
    <row r="918" spans="1:16" x14ac:dyDescent="0.2">
      <c r="A918" s="937" t="s">
        <v>2126</v>
      </c>
      <c r="B918" s="912" t="s">
        <v>2674</v>
      </c>
      <c r="C918" s="912" t="s">
        <v>80</v>
      </c>
      <c r="D918" s="912" t="s">
        <v>2127</v>
      </c>
      <c r="E918" s="938">
        <v>3344</v>
      </c>
      <c r="F918" s="926" t="s">
        <v>2697</v>
      </c>
      <c r="G918" s="912" t="s">
        <v>2611</v>
      </c>
      <c r="H918" s="926" t="s">
        <v>1404</v>
      </c>
      <c r="I918" s="939" t="s">
        <v>2133</v>
      </c>
      <c r="J918" s="912" t="s">
        <v>2133</v>
      </c>
      <c r="K918" s="912">
        <v>1</v>
      </c>
      <c r="L918" s="912"/>
      <c r="M918" s="938">
        <v>0</v>
      </c>
      <c r="N918" s="912"/>
      <c r="O918" s="912">
        <v>6</v>
      </c>
      <c r="P918" s="938">
        <v>20064</v>
      </c>
    </row>
    <row r="919" spans="1:16" x14ac:dyDescent="0.2">
      <c r="A919" s="937" t="s">
        <v>2126</v>
      </c>
      <c r="B919" s="912" t="s">
        <v>2674</v>
      </c>
      <c r="C919" s="912" t="s">
        <v>80</v>
      </c>
      <c r="D919" s="912" t="s">
        <v>2127</v>
      </c>
      <c r="E919" s="938">
        <v>2041</v>
      </c>
      <c r="F919" s="926" t="s">
        <v>2698</v>
      </c>
      <c r="G919" s="912" t="s">
        <v>2699</v>
      </c>
      <c r="H919" s="926" t="s">
        <v>1663</v>
      </c>
      <c r="I919" s="939" t="s">
        <v>2133</v>
      </c>
      <c r="J919" s="912" t="s">
        <v>2133</v>
      </c>
      <c r="K919" s="912">
        <v>1</v>
      </c>
      <c r="L919" s="912"/>
      <c r="M919" s="938">
        <v>0</v>
      </c>
      <c r="N919" s="912"/>
      <c r="O919" s="912">
        <v>6</v>
      </c>
      <c r="P919" s="938">
        <v>12246</v>
      </c>
    </row>
    <row r="920" spans="1:16" x14ac:dyDescent="0.2">
      <c r="A920" s="937" t="s">
        <v>2126</v>
      </c>
      <c r="B920" s="912" t="s">
        <v>2674</v>
      </c>
      <c r="C920" s="912" t="s">
        <v>80</v>
      </c>
      <c r="D920" s="912" t="s">
        <v>2127</v>
      </c>
      <c r="E920" s="938">
        <v>1300</v>
      </c>
      <c r="F920" s="926" t="s">
        <v>2700</v>
      </c>
      <c r="G920" s="912" t="s">
        <v>2701</v>
      </c>
      <c r="H920" s="926" t="s">
        <v>1783</v>
      </c>
      <c r="I920" s="939" t="s">
        <v>2357</v>
      </c>
      <c r="J920" s="912" t="s">
        <v>2357</v>
      </c>
      <c r="K920" s="912">
        <v>1</v>
      </c>
      <c r="L920" s="912"/>
      <c r="M920" s="938">
        <v>0</v>
      </c>
      <c r="N920" s="912"/>
      <c r="O920" s="912">
        <v>6</v>
      </c>
      <c r="P920" s="938">
        <v>7800</v>
      </c>
    </row>
    <row r="921" spans="1:16" x14ac:dyDescent="0.2">
      <c r="A921" s="937" t="s">
        <v>2126</v>
      </c>
      <c r="B921" s="912" t="s">
        <v>2674</v>
      </c>
      <c r="C921" s="912" t="s">
        <v>80</v>
      </c>
      <c r="D921" s="912" t="s">
        <v>2127</v>
      </c>
      <c r="E921" s="938">
        <v>1300</v>
      </c>
      <c r="F921" s="926" t="s">
        <v>2702</v>
      </c>
      <c r="G921" s="912" t="s">
        <v>2703</v>
      </c>
      <c r="H921" s="926" t="s">
        <v>1052</v>
      </c>
      <c r="I921" s="939" t="s">
        <v>2357</v>
      </c>
      <c r="J921" s="912" t="s">
        <v>2357</v>
      </c>
      <c r="K921" s="912">
        <v>1</v>
      </c>
      <c r="L921" s="912"/>
      <c r="M921" s="938">
        <v>0</v>
      </c>
      <c r="N921" s="912"/>
      <c r="O921" s="912">
        <v>6</v>
      </c>
      <c r="P921" s="938">
        <v>7800</v>
      </c>
    </row>
    <row r="922" spans="1:16" x14ac:dyDescent="0.2">
      <c r="A922" s="937" t="s">
        <v>2126</v>
      </c>
      <c r="B922" s="912" t="s">
        <v>2674</v>
      </c>
      <c r="C922" s="912" t="s">
        <v>80</v>
      </c>
      <c r="D922" s="912" t="s">
        <v>2136</v>
      </c>
      <c r="E922" s="938">
        <v>2041</v>
      </c>
      <c r="F922" s="926" t="s">
        <v>2704</v>
      </c>
      <c r="G922" s="912" t="s">
        <v>2623</v>
      </c>
      <c r="H922" s="926" t="s">
        <v>1956</v>
      </c>
      <c r="I922" s="939" t="s">
        <v>2133</v>
      </c>
      <c r="J922" s="912" t="s">
        <v>2133</v>
      </c>
      <c r="K922" s="912">
        <v>1</v>
      </c>
      <c r="L922" s="912"/>
      <c r="M922" s="938">
        <v>0</v>
      </c>
      <c r="N922" s="912"/>
      <c r="O922" s="912">
        <v>6</v>
      </c>
      <c r="P922" s="938">
        <v>12246</v>
      </c>
    </row>
    <row r="923" spans="1:16" x14ac:dyDescent="0.2">
      <c r="A923" s="937" t="s">
        <v>2126</v>
      </c>
      <c r="B923" s="912" t="s">
        <v>2674</v>
      </c>
      <c r="C923" s="912" t="s">
        <v>80</v>
      </c>
      <c r="D923" s="912" t="s">
        <v>2127</v>
      </c>
      <c r="E923" s="938">
        <v>3344</v>
      </c>
      <c r="F923" s="926" t="s">
        <v>2705</v>
      </c>
      <c r="G923" s="912" t="s">
        <v>2706</v>
      </c>
      <c r="H923" s="926" t="s">
        <v>1404</v>
      </c>
      <c r="I923" s="939" t="s">
        <v>2133</v>
      </c>
      <c r="J923" s="912" t="s">
        <v>2133</v>
      </c>
      <c r="K923" s="912">
        <v>1</v>
      </c>
      <c r="L923" s="912"/>
      <c r="M923" s="938">
        <v>0</v>
      </c>
      <c r="N923" s="912"/>
      <c r="O923" s="912">
        <v>6</v>
      </c>
      <c r="P923" s="938">
        <v>20064</v>
      </c>
    </row>
    <row r="924" spans="1:16" x14ac:dyDescent="0.2">
      <c r="A924" s="937" t="s">
        <v>2126</v>
      </c>
      <c r="B924" s="912" t="s">
        <v>2674</v>
      </c>
      <c r="C924" s="912" t="s">
        <v>80</v>
      </c>
      <c r="D924" s="912" t="s">
        <v>2127</v>
      </c>
      <c r="E924" s="938">
        <v>1800</v>
      </c>
      <c r="F924" s="926" t="s">
        <v>2707</v>
      </c>
      <c r="G924" s="912" t="s">
        <v>2708</v>
      </c>
      <c r="H924" s="926" t="s">
        <v>1784</v>
      </c>
      <c r="I924" s="939" t="s">
        <v>1412</v>
      </c>
      <c r="J924" s="912" t="s">
        <v>1412</v>
      </c>
      <c r="K924" s="912">
        <v>1</v>
      </c>
      <c r="L924" s="912"/>
      <c r="M924" s="938">
        <v>0</v>
      </c>
      <c r="N924" s="912"/>
      <c r="O924" s="912">
        <v>6</v>
      </c>
      <c r="P924" s="938">
        <v>10800</v>
      </c>
    </row>
    <row r="925" spans="1:16" x14ac:dyDescent="0.2">
      <c r="A925" s="937" t="s">
        <v>2126</v>
      </c>
      <c r="B925" s="912" t="s">
        <v>2674</v>
      </c>
      <c r="C925" s="912" t="s">
        <v>80</v>
      </c>
      <c r="D925" s="912" t="s">
        <v>2127</v>
      </c>
      <c r="E925" s="938">
        <v>2041</v>
      </c>
      <c r="F925" s="926" t="s">
        <v>2709</v>
      </c>
      <c r="G925" s="912" t="s">
        <v>2710</v>
      </c>
      <c r="H925" s="926" t="s">
        <v>1663</v>
      </c>
      <c r="I925" s="939" t="s">
        <v>2133</v>
      </c>
      <c r="J925" s="912" t="s">
        <v>2133</v>
      </c>
      <c r="K925" s="912">
        <v>1</v>
      </c>
      <c r="L925" s="912"/>
      <c r="M925" s="938">
        <v>0</v>
      </c>
      <c r="N925" s="912"/>
      <c r="O925" s="912">
        <v>6</v>
      </c>
      <c r="P925" s="938">
        <v>12246</v>
      </c>
    </row>
    <row r="926" spans="1:16" x14ac:dyDescent="0.2">
      <c r="A926" s="937" t="s">
        <v>2126</v>
      </c>
      <c r="B926" s="912" t="s">
        <v>2674</v>
      </c>
      <c r="C926" s="912" t="s">
        <v>80</v>
      </c>
      <c r="D926" s="912" t="s">
        <v>2127</v>
      </c>
      <c r="E926" s="938">
        <v>1300</v>
      </c>
      <c r="F926" s="926" t="s">
        <v>2711</v>
      </c>
      <c r="G926" s="912" t="s">
        <v>2640</v>
      </c>
      <c r="H926" s="926" t="s">
        <v>1052</v>
      </c>
      <c r="I926" s="939" t="s">
        <v>2133</v>
      </c>
      <c r="J926" s="912" t="s">
        <v>2133</v>
      </c>
      <c r="K926" s="912">
        <v>1</v>
      </c>
      <c r="L926" s="912"/>
      <c r="M926" s="938">
        <v>0</v>
      </c>
      <c r="N926" s="912"/>
      <c r="O926" s="912">
        <v>6</v>
      </c>
      <c r="P926" s="938">
        <v>7800</v>
      </c>
    </row>
    <row r="927" spans="1:16" x14ac:dyDescent="0.2">
      <c r="A927" s="937" t="s">
        <v>2126</v>
      </c>
      <c r="B927" s="912" t="s">
        <v>2674</v>
      </c>
      <c r="C927" s="912" t="s">
        <v>80</v>
      </c>
      <c r="D927" s="912" t="s">
        <v>2127</v>
      </c>
      <c r="E927" s="938">
        <v>1800</v>
      </c>
      <c r="F927" s="926" t="s">
        <v>2712</v>
      </c>
      <c r="G927" s="912" t="s">
        <v>2713</v>
      </c>
      <c r="H927" s="926" t="s">
        <v>1480</v>
      </c>
      <c r="I927" s="939" t="s">
        <v>2133</v>
      </c>
      <c r="J927" s="912" t="s">
        <v>2133</v>
      </c>
      <c r="K927" s="912">
        <v>1</v>
      </c>
      <c r="L927" s="912"/>
      <c r="M927" s="938">
        <v>0</v>
      </c>
      <c r="N927" s="912"/>
      <c r="O927" s="912">
        <v>6</v>
      </c>
      <c r="P927" s="938">
        <v>10800</v>
      </c>
    </row>
    <row r="928" spans="1:16" x14ac:dyDescent="0.2">
      <c r="A928" s="937" t="s">
        <v>2126</v>
      </c>
      <c r="B928" s="912" t="s">
        <v>2674</v>
      </c>
      <c r="C928" s="912" t="s">
        <v>80</v>
      </c>
      <c r="D928" s="912" t="s">
        <v>2127</v>
      </c>
      <c r="E928" s="938">
        <v>2041</v>
      </c>
      <c r="F928" s="926" t="s">
        <v>2714</v>
      </c>
      <c r="G928" s="912" t="s">
        <v>2715</v>
      </c>
      <c r="H928" s="926" t="s">
        <v>1663</v>
      </c>
      <c r="I928" s="939" t="s">
        <v>2133</v>
      </c>
      <c r="J928" s="912" t="s">
        <v>2133</v>
      </c>
      <c r="K928" s="912">
        <v>1</v>
      </c>
      <c r="L928" s="912"/>
      <c r="M928" s="938">
        <v>0</v>
      </c>
      <c r="N928" s="912"/>
      <c r="O928" s="912">
        <v>6</v>
      </c>
      <c r="P928" s="938">
        <v>12246</v>
      </c>
    </row>
    <row r="929" spans="1:16" x14ac:dyDescent="0.2">
      <c r="A929" s="937" t="s">
        <v>2126</v>
      </c>
      <c r="B929" s="912" t="s">
        <v>2674</v>
      </c>
      <c r="C929" s="912" t="s">
        <v>80</v>
      </c>
      <c r="D929" s="912" t="s">
        <v>2127</v>
      </c>
      <c r="E929" s="938">
        <v>2041</v>
      </c>
      <c r="F929" s="926" t="s">
        <v>2716</v>
      </c>
      <c r="G929" s="912" t="s">
        <v>2717</v>
      </c>
      <c r="H929" s="926" t="s">
        <v>1663</v>
      </c>
      <c r="I929" s="939" t="s">
        <v>2133</v>
      </c>
      <c r="J929" s="912" t="s">
        <v>2133</v>
      </c>
      <c r="K929" s="912">
        <v>1</v>
      </c>
      <c r="L929" s="912"/>
      <c r="M929" s="938">
        <v>0</v>
      </c>
      <c r="N929" s="912"/>
      <c r="O929" s="912">
        <v>6</v>
      </c>
      <c r="P929" s="938">
        <v>12246</v>
      </c>
    </row>
    <row r="930" spans="1:16" x14ac:dyDescent="0.2">
      <c r="A930" s="937" t="s">
        <v>2126</v>
      </c>
      <c r="B930" s="912" t="s">
        <v>2674</v>
      </c>
      <c r="C930" s="912" t="s">
        <v>80</v>
      </c>
      <c r="D930" s="912" t="s">
        <v>2127</v>
      </c>
      <c r="E930" s="938">
        <v>1300</v>
      </c>
      <c r="F930" s="926" t="s">
        <v>2718</v>
      </c>
      <c r="G930" s="912" t="s">
        <v>2719</v>
      </c>
      <c r="H930" s="926" t="s">
        <v>1783</v>
      </c>
      <c r="I930" s="939" t="s">
        <v>2133</v>
      </c>
      <c r="J930" s="912" t="s">
        <v>2133</v>
      </c>
      <c r="K930" s="912">
        <v>1</v>
      </c>
      <c r="L930" s="912"/>
      <c r="M930" s="938">
        <v>0</v>
      </c>
      <c r="N930" s="912"/>
      <c r="O930" s="912">
        <v>6</v>
      </c>
      <c r="P930" s="938">
        <v>7800</v>
      </c>
    </row>
    <row r="931" spans="1:16" x14ac:dyDescent="0.2">
      <c r="A931" s="937" t="s">
        <v>2126</v>
      </c>
      <c r="B931" s="912" t="s">
        <v>2674</v>
      </c>
      <c r="C931" s="912" t="s">
        <v>80</v>
      </c>
      <c r="D931" s="912" t="s">
        <v>2127</v>
      </c>
      <c r="E931" s="938">
        <v>1300</v>
      </c>
      <c r="F931" s="926" t="s">
        <v>2720</v>
      </c>
      <c r="G931" s="912" t="s">
        <v>2721</v>
      </c>
      <c r="H931" s="926" t="s">
        <v>1052</v>
      </c>
      <c r="I931" s="939" t="s">
        <v>1412</v>
      </c>
      <c r="J931" s="912" t="s">
        <v>1412</v>
      </c>
      <c r="K931" s="912">
        <v>1</v>
      </c>
      <c r="L931" s="912"/>
      <c r="M931" s="938">
        <v>0</v>
      </c>
      <c r="N931" s="912"/>
      <c r="O931" s="912">
        <v>6</v>
      </c>
      <c r="P931" s="938">
        <v>7800</v>
      </c>
    </row>
    <row r="932" spans="1:16" x14ac:dyDescent="0.2">
      <c r="A932" s="937" t="s">
        <v>2126</v>
      </c>
      <c r="B932" s="912" t="s">
        <v>2674</v>
      </c>
      <c r="C932" s="912" t="s">
        <v>80</v>
      </c>
      <c r="D932" s="912" t="s">
        <v>2136</v>
      </c>
      <c r="E932" s="938">
        <v>2041</v>
      </c>
      <c r="F932" s="926" t="s">
        <v>2722</v>
      </c>
      <c r="G932" s="912" t="s">
        <v>2723</v>
      </c>
      <c r="H932" s="926" t="s">
        <v>982</v>
      </c>
      <c r="I932" s="939" t="s">
        <v>2133</v>
      </c>
      <c r="J932" s="912" t="s">
        <v>2133</v>
      </c>
      <c r="K932" s="912">
        <v>1</v>
      </c>
      <c r="L932" s="912"/>
      <c r="M932" s="938">
        <v>0</v>
      </c>
      <c r="N932" s="912"/>
      <c r="O932" s="912">
        <v>6</v>
      </c>
      <c r="P932" s="938">
        <v>12246</v>
      </c>
    </row>
    <row r="933" spans="1:16" x14ac:dyDescent="0.2">
      <c r="A933" s="937" t="s">
        <v>2126</v>
      </c>
      <c r="B933" s="912" t="s">
        <v>2674</v>
      </c>
      <c r="C933" s="912" t="s">
        <v>80</v>
      </c>
      <c r="D933" s="912" t="s">
        <v>2127</v>
      </c>
      <c r="E933" s="938">
        <v>1300</v>
      </c>
      <c r="F933" s="926" t="s">
        <v>2724</v>
      </c>
      <c r="G933" s="912" t="s">
        <v>2725</v>
      </c>
      <c r="H933" s="926" t="s">
        <v>1783</v>
      </c>
      <c r="I933" s="939" t="s">
        <v>2133</v>
      </c>
      <c r="J933" s="912" t="s">
        <v>2133</v>
      </c>
      <c r="K933" s="912">
        <v>1</v>
      </c>
      <c r="L933" s="912"/>
      <c r="M933" s="938">
        <v>0</v>
      </c>
      <c r="N933" s="912"/>
      <c r="O933" s="912">
        <v>6</v>
      </c>
      <c r="P933" s="938">
        <v>7800</v>
      </c>
    </row>
    <row r="934" spans="1:16" x14ac:dyDescent="0.2">
      <c r="A934" s="937" t="s">
        <v>2126</v>
      </c>
      <c r="B934" s="912" t="s">
        <v>2674</v>
      </c>
      <c r="C934" s="912" t="s">
        <v>80</v>
      </c>
      <c r="D934" s="912" t="s">
        <v>2136</v>
      </c>
      <c r="E934" s="938">
        <v>1300</v>
      </c>
      <c r="F934" s="926" t="s">
        <v>2726</v>
      </c>
      <c r="G934" s="912" t="s">
        <v>2727</v>
      </c>
      <c r="H934" s="926" t="s">
        <v>1770</v>
      </c>
      <c r="I934" s="939" t="s">
        <v>2133</v>
      </c>
      <c r="J934" s="912" t="s">
        <v>2133</v>
      </c>
      <c r="K934" s="912">
        <v>1</v>
      </c>
      <c r="L934" s="912"/>
      <c r="M934" s="938">
        <v>0</v>
      </c>
      <c r="N934" s="912"/>
      <c r="O934" s="912">
        <v>6</v>
      </c>
      <c r="P934" s="938">
        <v>7800</v>
      </c>
    </row>
    <row r="935" spans="1:16" x14ac:dyDescent="0.2">
      <c r="A935" s="937" t="s">
        <v>2126</v>
      </c>
      <c r="B935" s="912" t="s">
        <v>2674</v>
      </c>
      <c r="C935" s="912" t="s">
        <v>80</v>
      </c>
      <c r="D935" s="912" t="s">
        <v>2127</v>
      </c>
      <c r="E935" s="938">
        <v>1300</v>
      </c>
      <c r="F935" s="926" t="s">
        <v>2728</v>
      </c>
      <c r="G935" s="912" t="s">
        <v>2657</v>
      </c>
      <c r="H935" s="926" t="s">
        <v>1783</v>
      </c>
      <c r="I935" s="939" t="s">
        <v>2133</v>
      </c>
      <c r="J935" s="912" t="s">
        <v>2133</v>
      </c>
      <c r="K935" s="912">
        <v>1</v>
      </c>
      <c r="L935" s="912"/>
      <c r="M935" s="938">
        <v>0</v>
      </c>
      <c r="N935" s="912"/>
      <c r="O935" s="912">
        <v>6</v>
      </c>
      <c r="P935" s="938">
        <v>7800</v>
      </c>
    </row>
    <row r="936" spans="1:16" x14ac:dyDescent="0.2">
      <c r="A936" s="937" t="s">
        <v>2126</v>
      </c>
      <c r="B936" s="912" t="s">
        <v>2674</v>
      </c>
      <c r="C936" s="912" t="s">
        <v>80</v>
      </c>
      <c r="D936" s="912" t="s">
        <v>2127</v>
      </c>
      <c r="E936" s="938">
        <v>3344</v>
      </c>
      <c r="F936" s="926" t="s">
        <v>2729</v>
      </c>
      <c r="G936" s="912" t="s">
        <v>2665</v>
      </c>
      <c r="H936" s="926" t="s">
        <v>1594</v>
      </c>
      <c r="I936" s="939" t="s">
        <v>2133</v>
      </c>
      <c r="J936" s="912" t="s">
        <v>2133</v>
      </c>
      <c r="K936" s="912">
        <v>1</v>
      </c>
      <c r="L936" s="912"/>
      <c r="M936" s="938">
        <v>0</v>
      </c>
      <c r="N936" s="912"/>
      <c r="O936" s="912">
        <v>6</v>
      </c>
      <c r="P936" s="938">
        <v>20064</v>
      </c>
    </row>
    <row r="937" spans="1:16" x14ac:dyDescent="0.2">
      <c r="A937" s="937" t="s">
        <v>2126</v>
      </c>
      <c r="B937" s="912" t="s">
        <v>2674</v>
      </c>
      <c r="C937" s="912" t="s">
        <v>80</v>
      </c>
      <c r="D937" s="912" t="s">
        <v>2127</v>
      </c>
      <c r="E937" s="938">
        <v>2041</v>
      </c>
      <c r="F937" s="926" t="s">
        <v>2730</v>
      </c>
      <c r="G937" s="912" t="s">
        <v>2667</v>
      </c>
      <c r="H937" s="926" t="s">
        <v>1666</v>
      </c>
      <c r="I937" s="939" t="s">
        <v>2133</v>
      </c>
      <c r="J937" s="912" t="s">
        <v>2133</v>
      </c>
      <c r="K937" s="912">
        <v>1</v>
      </c>
      <c r="L937" s="912"/>
      <c r="M937" s="938">
        <v>0</v>
      </c>
      <c r="N937" s="912"/>
      <c r="O937" s="912">
        <v>6</v>
      </c>
      <c r="P937" s="938">
        <v>12246</v>
      </c>
    </row>
    <row r="938" spans="1:16" x14ac:dyDescent="0.2">
      <c r="A938" s="937" t="s">
        <v>2126</v>
      </c>
      <c r="B938" s="912" t="s">
        <v>2674</v>
      </c>
      <c r="C938" s="912" t="s">
        <v>80</v>
      </c>
      <c r="D938" s="912" t="s">
        <v>2136</v>
      </c>
      <c r="E938" s="938">
        <v>1300</v>
      </c>
      <c r="F938" s="926" t="s">
        <v>2731</v>
      </c>
      <c r="G938" s="912" t="s">
        <v>2732</v>
      </c>
      <c r="H938" s="926" t="s">
        <v>1770</v>
      </c>
      <c r="I938" s="939" t="s">
        <v>2133</v>
      </c>
      <c r="J938" s="912" t="s">
        <v>2133</v>
      </c>
      <c r="K938" s="912">
        <v>1</v>
      </c>
      <c r="L938" s="912"/>
      <c r="M938" s="938">
        <v>0</v>
      </c>
      <c r="N938" s="912"/>
      <c r="O938" s="912">
        <v>6</v>
      </c>
      <c r="P938" s="938">
        <v>7800</v>
      </c>
    </row>
    <row r="939" spans="1:16" x14ac:dyDescent="0.2">
      <c r="A939" s="937" t="s">
        <v>2126</v>
      </c>
      <c r="B939" s="912" t="s">
        <v>2674</v>
      </c>
      <c r="C939" s="912" t="s">
        <v>80</v>
      </c>
      <c r="D939" s="912" t="s">
        <v>2136</v>
      </c>
      <c r="E939" s="938">
        <v>3344</v>
      </c>
      <c r="F939" s="926" t="s">
        <v>2733</v>
      </c>
      <c r="G939" s="912" t="s">
        <v>2672</v>
      </c>
      <c r="H939" s="926" t="s">
        <v>1594</v>
      </c>
      <c r="I939" s="939" t="s">
        <v>2133</v>
      </c>
      <c r="J939" s="912" t="s">
        <v>2133</v>
      </c>
      <c r="K939" s="912">
        <v>1</v>
      </c>
      <c r="L939" s="912"/>
      <c r="M939" s="938">
        <v>0</v>
      </c>
      <c r="N939" s="912"/>
      <c r="O939" s="912">
        <v>6</v>
      </c>
      <c r="P939" s="938">
        <v>20064</v>
      </c>
    </row>
    <row r="940" spans="1:16" x14ac:dyDescent="0.2">
      <c r="A940" s="937" t="s">
        <v>2126</v>
      </c>
      <c r="B940" s="912" t="s">
        <v>2674</v>
      </c>
      <c r="C940" s="912" t="s">
        <v>80</v>
      </c>
      <c r="D940" s="912" t="s">
        <v>2136</v>
      </c>
      <c r="E940" s="938">
        <v>11000</v>
      </c>
      <c r="F940" s="932">
        <v>29227890</v>
      </c>
      <c r="G940" s="912" t="s">
        <v>2734</v>
      </c>
      <c r="H940" s="912" t="s">
        <v>1175</v>
      </c>
      <c r="I940" s="912" t="s">
        <v>2133</v>
      </c>
      <c r="J940" s="912" t="s">
        <v>2133</v>
      </c>
      <c r="K940" s="912">
        <v>1</v>
      </c>
      <c r="L940" s="912">
        <v>5</v>
      </c>
      <c r="M940" s="938">
        <v>55000</v>
      </c>
      <c r="N940" s="912">
        <v>1</v>
      </c>
      <c r="O940" s="912">
        <v>3</v>
      </c>
      <c r="P940" s="938">
        <v>33000</v>
      </c>
    </row>
    <row r="941" spans="1:16" x14ac:dyDescent="0.2">
      <c r="A941" s="937" t="s">
        <v>2126</v>
      </c>
      <c r="B941" s="912" t="s">
        <v>2674</v>
      </c>
      <c r="C941" s="912" t="s">
        <v>80</v>
      </c>
      <c r="D941" s="912" t="s">
        <v>2136</v>
      </c>
      <c r="E941" s="938">
        <v>2041</v>
      </c>
      <c r="F941" s="932">
        <v>41384382</v>
      </c>
      <c r="G941" s="912" t="s">
        <v>2407</v>
      </c>
      <c r="H941" s="912" t="s">
        <v>982</v>
      </c>
      <c r="I941" s="912" t="s">
        <v>2133</v>
      </c>
      <c r="J941" s="912" t="s">
        <v>2133</v>
      </c>
      <c r="K941" s="912"/>
      <c r="L941" s="912"/>
      <c r="M941" s="938"/>
      <c r="N941" s="912">
        <v>1</v>
      </c>
      <c r="O941" s="912">
        <v>2</v>
      </c>
      <c r="P941" s="938">
        <v>4082</v>
      </c>
    </row>
    <row r="942" spans="1:16" x14ac:dyDescent="0.2">
      <c r="A942" s="937" t="s">
        <v>2126</v>
      </c>
      <c r="B942" s="912" t="s">
        <v>2674</v>
      </c>
      <c r="C942" s="912" t="s">
        <v>80</v>
      </c>
      <c r="D942" s="912" t="s">
        <v>2127</v>
      </c>
      <c r="E942" s="938">
        <v>2041</v>
      </c>
      <c r="F942" s="932">
        <v>46756601</v>
      </c>
      <c r="G942" s="912" t="s">
        <v>2735</v>
      </c>
      <c r="H942" s="912" t="s">
        <v>1246</v>
      </c>
      <c r="I942" s="939" t="s">
        <v>1412</v>
      </c>
      <c r="J942" s="912" t="s">
        <v>1412</v>
      </c>
      <c r="K942" s="912"/>
      <c r="L942" s="912"/>
      <c r="M942" s="938"/>
      <c r="N942" s="912">
        <v>1</v>
      </c>
      <c r="O942" s="912">
        <v>4</v>
      </c>
      <c r="P942" s="938">
        <v>8164</v>
      </c>
    </row>
    <row r="943" spans="1:16" x14ac:dyDescent="0.2">
      <c r="A943" s="937" t="s">
        <v>2126</v>
      </c>
      <c r="B943" s="912" t="s">
        <v>2674</v>
      </c>
      <c r="C943" s="912" t="s">
        <v>80</v>
      </c>
      <c r="D943" s="912" t="s">
        <v>2127</v>
      </c>
      <c r="E943" s="938">
        <v>2041</v>
      </c>
      <c r="F943" s="932">
        <v>40038544</v>
      </c>
      <c r="G943" s="912" t="s">
        <v>2736</v>
      </c>
      <c r="H943" s="912" t="s">
        <v>1956</v>
      </c>
      <c r="I943" s="939" t="s">
        <v>2133</v>
      </c>
      <c r="J943" s="912" t="s">
        <v>2133</v>
      </c>
      <c r="K943" s="912"/>
      <c r="L943" s="912"/>
      <c r="M943" s="938"/>
      <c r="N943" s="912">
        <v>1</v>
      </c>
      <c r="O943" s="912">
        <v>6</v>
      </c>
      <c r="P943" s="938">
        <v>12246</v>
      </c>
    </row>
    <row r="944" spans="1:16" x14ac:dyDescent="0.2">
      <c r="A944" s="937" t="s">
        <v>2126</v>
      </c>
      <c r="B944" s="912" t="s">
        <v>2674</v>
      </c>
      <c r="C944" s="912" t="s">
        <v>80</v>
      </c>
      <c r="D944" s="912" t="s">
        <v>2127</v>
      </c>
      <c r="E944" s="938">
        <v>2041</v>
      </c>
      <c r="F944" s="932">
        <v>45362909</v>
      </c>
      <c r="G944" s="912" t="s">
        <v>2737</v>
      </c>
      <c r="H944" s="912" t="s">
        <v>1028</v>
      </c>
      <c r="I944" s="939" t="s">
        <v>2133</v>
      </c>
      <c r="J944" s="912" t="s">
        <v>2133</v>
      </c>
      <c r="K944" s="912"/>
      <c r="L944" s="912"/>
      <c r="M944" s="938"/>
      <c r="N944" s="912">
        <v>1</v>
      </c>
      <c r="O944" s="912">
        <v>3</v>
      </c>
      <c r="P944" s="938">
        <v>6123</v>
      </c>
    </row>
    <row r="945" spans="1:16" x14ac:dyDescent="0.2">
      <c r="A945" s="937" t="s">
        <v>2126</v>
      </c>
      <c r="B945" s="912" t="s">
        <v>2674</v>
      </c>
      <c r="C945" s="912" t="s">
        <v>80</v>
      </c>
      <c r="D945" s="912" t="s">
        <v>2136</v>
      </c>
      <c r="E945" s="938">
        <v>1300</v>
      </c>
      <c r="F945" s="932">
        <v>72049035</v>
      </c>
      <c r="G945" s="912" t="s">
        <v>2738</v>
      </c>
      <c r="H945" s="912" t="s">
        <v>982</v>
      </c>
      <c r="I945" s="939" t="s">
        <v>2133</v>
      </c>
      <c r="J945" s="912" t="s">
        <v>2133</v>
      </c>
      <c r="K945" s="912"/>
      <c r="L945" s="912"/>
      <c r="M945" s="938"/>
      <c r="N945" s="912">
        <v>1</v>
      </c>
      <c r="O945" s="912">
        <v>3</v>
      </c>
      <c r="P945" s="938">
        <v>3900</v>
      </c>
    </row>
    <row r="946" spans="1:16" x14ac:dyDescent="0.2">
      <c r="A946" s="937" t="s">
        <v>2126</v>
      </c>
      <c r="B946" s="912" t="s">
        <v>2674</v>
      </c>
      <c r="C946" s="912" t="s">
        <v>80</v>
      </c>
      <c r="D946" s="912" t="s">
        <v>2127</v>
      </c>
      <c r="E946" s="938">
        <v>3700</v>
      </c>
      <c r="F946" s="932">
        <v>29510343</v>
      </c>
      <c r="G946" s="912" t="s">
        <v>2739</v>
      </c>
      <c r="H946" s="912" t="s">
        <v>2740</v>
      </c>
      <c r="I946" s="939" t="s">
        <v>2133</v>
      </c>
      <c r="J946" s="912" t="s">
        <v>2133</v>
      </c>
      <c r="K946" s="912"/>
      <c r="L946" s="912"/>
      <c r="M946" s="938"/>
      <c r="N946" s="912">
        <v>1</v>
      </c>
      <c r="O946" s="912">
        <v>8</v>
      </c>
      <c r="P946" s="938">
        <v>29600</v>
      </c>
    </row>
    <row r="947" spans="1:16" x14ac:dyDescent="0.2">
      <c r="A947" s="937" t="s">
        <v>2126</v>
      </c>
      <c r="B947" s="912" t="s">
        <v>2674</v>
      </c>
      <c r="C947" s="912" t="s">
        <v>80</v>
      </c>
      <c r="D947" s="912" t="s">
        <v>2127</v>
      </c>
      <c r="E947" s="938">
        <v>5532</v>
      </c>
      <c r="F947" s="932">
        <v>40519243</v>
      </c>
      <c r="G947" s="912" t="s">
        <v>2741</v>
      </c>
      <c r="H947" s="912" t="s">
        <v>1175</v>
      </c>
      <c r="I947" s="939" t="s">
        <v>2133</v>
      </c>
      <c r="J947" s="912" t="s">
        <v>2133</v>
      </c>
      <c r="K947" s="912"/>
      <c r="L947" s="912"/>
      <c r="M947" s="938"/>
      <c r="N947" s="912">
        <v>1</v>
      </c>
      <c r="O947" s="912">
        <v>6</v>
      </c>
      <c r="P947" s="938">
        <v>33192</v>
      </c>
    </row>
    <row r="948" spans="1:16" x14ac:dyDescent="0.2">
      <c r="A948" s="937" t="s">
        <v>2126</v>
      </c>
      <c r="B948" s="912" t="s">
        <v>2674</v>
      </c>
      <c r="C948" s="912" t="s">
        <v>80</v>
      </c>
      <c r="D948" s="912" t="s">
        <v>2127</v>
      </c>
      <c r="E948" s="938">
        <v>5532</v>
      </c>
      <c r="F948" s="932">
        <v>46815468</v>
      </c>
      <c r="G948" s="912" t="s">
        <v>2742</v>
      </c>
      <c r="H948" s="912" t="s">
        <v>1175</v>
      </c>
      <c r="I948" s="939" t="s">
        <v>2133</v>
      </c>
      <c r="J948" s="912" t="s">
        <v>2133</v>
      </c>
      <c r="K948" s="912"/>
      <c r="L948" s="912"/>
      <c r="M948" s="938"/>
      <c r="N948" s="912">
        <v>1</v>
      </c>
      <c r="O948" s="912">
        <v>3</v>
      </c>
      <c r="P948" s="938">
        <v>16596</v>
      </c>
    </row>
    <row r="949" spans="1:16" x14ac:dyDescent="0.2">
      <c r="A949" s="937" t="s">
        <v>2126</v>
      </c>
      <c r="B949" s="912" t="s">
        <v>2674</v>
      </c>
      <c r="C949" s="912" t="s">
        <v>80</v>
      </c>
      <c r="D949" s="912" t="s">
        <v>2127</v>
      </c>
      <c r="E949" s="938">
        <v>5532</v>
      </c>
      <c r="F949" s="932">
        <v>43826837</v>
      </c>
      <c r="G949" s="912" t="s">
        <v>2743</v>
      </c>
      <c r="H949" s="912" t="s">
        <v>1175</v>
      </c>
      <c r="I949" s="939" t="s">
        <v>2133</v>
      </c>
      <c r="J949" s="912" t="s">
        <v>2133</v>
      </c>
      <c r="K949" s="912"/>
      <c r="L949" s="912"/>
      <c r="M949" s="938"/>
      <c r="N949" s="912">
        <v>1</v>
      </c>
      <c r="O949" s="912">
        <v>3</v>
      </c>
      <c r="P949" s="938">
        <v>16596</v>
      </c>
    </row>
    <row r="950" spans="1:16" x14ac:dyDescent="0.2">
      <c r="A950" s="937" t="s">
        <v>2744</v>
      </c>
      <c r="B950" s="912" t="s">
        <v>875</v>
      </c>
      <c r="C950" s="912" t="s">
        <v>2745</v>
      </c>
      <c r="D950" s="912" t="s">
        <v>1537</v>
      </c>
      <c r="E950" s="930">
        <v>1699</v>
      </c>
      <c r="F950" s="926" t="s">
        <v>2746</v>
      </c>
      <c r="G950" s="926" t="s">
        <v>2747</v>
      </c>
      <c r="H950" s="926" t="s">
        <v>1784</v>
      </c>
      <c r="I950" s="912" t="s">
        <v>1020</v>
      </c>
      <c r="J950" s="912" t="s">
        <v>1020</v>
      </c>
      <c r="K950" s="940" t="s">
        <v>2748</v>
      </c>
      <c r="L950" s="940" t="s">
        <v>2749</v>
      </c>
      <c r="M950" s="941">
        <v>30433.09</v>
      </c>
      <c r="N950" s="912"/>
      <c r="O950" s="942"/>
      <c r="P950" s="935"/>
    </row>
    <row r="951" spans="1:16" x14ac:dyDescent="0.2">
      <c r="A951" s="937" t="s">
        <v>2744</v>
      </c>
      <c r="B951" s="912" t="s">
        <v>875</v>
      </c>
      <c r="C951" s="912" t="s">
        <v>2745</v>
      </c>
      <c r="D951" s="912" t="s">
        <v>1537</v>
      </c>
      <c r="E951" s="930">
        <v>1724</v>
      </c>
      <c r="F951" s="926" t="s">
        <v>2750</v>
      </c>
      <c r="G951" s="926" t="s">
        <v>2751</v>
      </c>
      <c r="H951" s="926" t="s">
        <v>1666</v>
      </c>
      <c r="I951" s="912" t="s">
        <v>1412</v>
      </c>
      <c r="J951" s="912" t="s">
        <v>2752</v>
      </c>
      <c r="K951" s="940" t="s">
        <v>2748</v>
      </c>
      <c r="L951" s="940" t="s">
        <v>2749</v>
      </c>
      <c r="M951" s="941">
        <v>30763.93</v>
      </c>
      <c r="N951" s="912"/>
      <c r="O951" s="942"/>
      <c r="P951" s="935"/>
    </row>
    <row r="952" spans="1:16" x14ac:dyDescent="0.2">
      <c r="A952" s="937" t="s">
        <v>2744</v>
      </c>
      <c r="B952" s="912" t="s">
        <v>875</v>
      </c>
      <c r="C952" s="912" t="s">
        <v>2745</v>
      </c>
      <c r="D952" s="912" t="s">
        <v>2753</v>
      </c>
      <c r="E952" s="930">
        <v>1500</v>
      </c>
      <c r="F952" s="926" t="s">
        <v>2754</v>
      </c>
      <c r="G952" s="926" t="s">
        <v>2755</v>
      </c>
      <c r="H952" s="926" t="s">
        <v>2756</v>
      </c>
      <c r="I952" s="912" t="s">
        <v>1412</v>
      </c>
      <c r="J952" s="912" t="s">
        <v>2752</v>
      </c>
      <c r="K952" s="940" t="s">
        <v>2748</v>
      </c>
      <c r="L952" s="940" t="s">
        <v>2749</v>
      </c>
      <c r="M952" s="941">
        <v>27800.65</v>
      </c>
      <c r="N952" s="912"/>
      <c r="O952" s="942"/>
      <c r="P952" s="935"/>
    </row>
    <row r="953" spans="1:16" x14ac:dyDescent="0.2">
      <c r="A953" s="937" t="s">
        <v>2744</v>
      </c>
      <c r="B953" s="912" t="s">
        <v>875</v>
      </c>
      <c r="C953" s="912" t="s">
        <v>2745</v>
      </c>
      <c r="D953" s="912" t="s">
        <v>1537</v>
      </c>
      <c r="E953" s="930">
        <v>1699</v>
      </c>
      <c r="F953" s="926" t="s">
        <v>2757</v>
      </c>
      <c r="G953" s="926" t="s">
        <v>2758</v>
      </c>
      <c r="H953" s="926" t="s">
        <v>1784</v>
      </c>
      <c r="I953" s="912" t="s">
        <v>1020</v>
      </c>
      <c r="J953" s="912" t="s">
        <v>1020</v>
      </c>
      <c r="K953" s="940" t="s">
        <v>2748</v>
      </c>
      <c r="L953" s="940" t="s">
        <v>2749</v>
      </c>
      <c r="M953" s="941">
        <v>30433.09</v>
      </c>
      <c r="N953" s="912"/>
      <c r="O953" s="942"/>
      <c r="P953" s="935"/>
    </row>
    <row r="954" spans="1:16" x14ac:dyDescent="0.2">
      <c r="A954" s="937" t="s">
        <v>2744</v>
      </c>
      <c r="B954" s="912" t="s">
        <v>875</v>
      </c>
      <c r="C954" s="912" t="s">
        <v>2745</v>
      </c>
      <c r="D954" s="912" t="s">
        <v>1537</v>
      </c>
      <c r="E954" s="930">
        <v>1724</v>
      </c>
      <c r="F954" s="926" t="s">
        <v>2759</v>
      </c>
      <c r="G954" s="926" t="s">
        <v>2760</v>
      </c>
      <c r="H954" s="926" t="s">
        <v>2761</v>
      </c>
      <c r="I954" s="912" t="s">
        <v>1412</v>
      </c>
      <c r="J954" s="912" t="s">
        <v>2762</v>
      </c>
      <c r="K954" s="940" t="s">
        <v>2748</v>
      </c>
      <c r="L954" s="940" t="s">
        <v>2749</v>
      </c>
      <c r="M954" s="941">
        <v>30763.93</v>
      </c>
      <c r="N954" s="912"/>
      <c r="O954" s="942"/>
      <c r="P954" s="935"/>
    </row>
    <row r="955" spans="1:16" x14ac:dyDescent="0.2">
      <c r="A955" s="937" t="s">
        <v>2744</v>
      </c>
      <c r="B955" s="912" t="s">
        <v>875</v>
      </c>
      <c r="C955" s="912" t="s">
        <v>2745</v>
      </c>
      <c r="D955" s="912" t="s">
        <v>1537</v>
      </c>
      <c r="E955" s="930">
        <v>1724</v>
      </c>
      <c r="F955" s="926" t="s">
        <v>2763</v>
      </c>
      <c r="G955" s="926" t="s">
        <v>2764</v>
      </c>
      <c r="H955" s="926" t="s">
        <v>2761</v>
      </c>
      <c r="I955" s="912" t="s">
        <v>1412</v>
      </c>
      <c r="J955" s="912" t="s">
        <v>2762</v>
      </c>
      <c r="K955" s="940" t="s">
        <v>2748</v>
      </c>
      <c r="L955" s="940" t="s">
        <v>2749</v>
      </c>
      <c r="M955" s="941">
        <v>30763.93</v>
      </c>
      <c r="N955" s="912"/>
      <c r="O955" s="942"/>
      <c r="P955" s="935"/>
    </row>
    <row r="956" spans="1:16" x14ac:dyDescent="0.2">
      <c r="A956" s="937" t="s">
        <v>2744</v>
      </c>
      <c r="B956" s="912" t="s">
        <v>875</v>
      </c>
      <c r="C956" s="912" t="s">
        <v>2745</v>
      </c>
      <c r="D956" s="912" t="s">
        <v>1537</v>
      </c>
      <c r="E956" s="930">
        <v>5000</v>
      </c>
      <c r="F956" s="926" t="s">
        <v>2765</v>
      </c>
      <c r="G956" s="926" t="s">
        <v>2766</v>
      </c>
      <c r="H956" s="926" t="s">
        <v>1175</v>
      </c>
      <c r="I956" s="912" t="s">
        <v>940</v>
      </c>
      <c r="J956" s="912" t="s">
        <v>1540</v>
      </c>
      <c r="K956" s="940" t="s">
        <v>2748</v>
      </c>
      <c r="L956" s="940" t="s">
        <v>2749</v>
      </c>
      <c r="M956" s="941">
        <v>70791.25</v>
      </c>
      <c r="N956" s="912"/>
      <c r="O956" s="942"/>
      <c r="P956" s="935"/>
    </row>
    <row r="957" spans="1:16" x14ac:dyDescent="0.2">
      <c r="A957" s="937" t="s">
        <v>2744</v>
      </c>
      <c r="B957" s="912" t="s">
        <v>875</v>
      </c>
      <c r="C957" s="912" t="s">
        <v>2745</v>
      </c>
      <c r="D957" s="912" t="s">
        <v>1537</v>
      </c>
      <c r="E957" s="930">
        <v>2239</v>
      </c>
      <c r="F957" s="926" t="s">
        <v>2767</v>
      </c>
      <c r="G957" s="926" t="s">
        <v>2768</v>
      </c>
      <c r="H957" s="926" t="s">
        <v>1594</v>
      </c>
      <c r="I957" s="912" t="s">
        <v>940</v>
      </c>
      <c r="J957" s="912" t="s">
        <v>1540</v>
      </c>
      <c r="K957" s="940" t="s">
        <v>2748</v>
      </c>
      <c r="L957" s="940" t="s">
        <v>2749</v>
      </c>
      <c r="M957" s="941">
        <v>37248.49</v>
      </c>
      <c r="N957" s="912"/>
      <c r="O957" s="942"/>
      <c r="P957" s="935"/>
    </row>
    <row r="958" spans="1:16" x14ac:dyDescent="0.2">
      <c r="A958" s="937" t="s">
        <v>2744</v>
      </c>
      <c r="B958" s="912" t="s">
        <v>875</v>
      </c>
      <c r="C958" s="912" t="s">
        <v>2745</v>
      </c>
      <c r="D958" s="912" t="s">
        <v>1537</v>
      </c>
      <c r="E958" s="930">
        <v>2239</v>
      </c>
      <c r="F958" s="926" t="s">
        <v>2769</v>
      </c>
      <c r="G958" s="926" t="s">
        <v>2770</v>
      </c>
      <c r="H958" s="926" t="s">
        <v>1594</v>
      </c>
      <c r="I958" s="912" t="s">
        <v>940</v>
      </c>
      <c r="J958" s="912" t="s">
        <v>1540</v>
      </c>
      <c r="K958" s="940" t="s">
        <v>2748</v>
      </c>
      <c r="L958" s="940" t="s">
        <v>2749</v>
      </c>
      <c r="M958" s="941">
        <v>37248.49</v>
      </c>
      <c r="N958" s="912"/>
      <c r="O958" s="942"/>
      <c r="P958" s="935"/>
    </row>
    <row r="959" spans="1:16" x14ac:dyDescent="0.2">
      <c r="A959" s="937" t="s">
        <v>2744</v>
      </c>
      <c r="B959" s="912" t="s">
        <v>875</v>
      </c>
      <c r="C959" s="912" t="s">
        <v>2745</v>
      </c>
      <c r="D959" s="912" t="s">
        <v>1537</v>
      </c>
      <c r="E959" s="930">
        <v>2239</v>
      </c>
      <c r="F959" s="926" t="s">
        <v>2771</v>
      </c>
      <c r="G959" s="926" t="s">
        <v>2772</v>
      </c>
      <c r="H959" s="926" t="s">
        <v>1634</v>
      </c>
      <c r="I959" s="912" t="s">
        <v>940</v>
      </c>
      <c r="J959" s="912" t="s">
        <v>1540</v>
      </c>
      <c r="K959" s="940" t="s">
        <v>2748</v>
      </c>
      <c r="L959" s="940" t="s">
        <v>2749</v>
      </c>
      <c r="M959" s="941">
        <v>37248.49</v>
      </c>
      <c r="N959" s="912"/>
      <c r="O959" s="942"/>
      <c r="P959" s="935"/>
    </row>
    <row r="960" spans="1:16" x14ac:dyDescent="0.2">
      <c r="A960" s="937" t="s">
        <v>2744</v>
      </c>
      <c r="B960" s="912" t="s">
        <v>875</v>
      </c>
      <c r="C960" s="912" t="s">
        <v>2745</v>
      </c>
      <c r="D960" s="912" t="s">
        <v>1537</v>
      </c>
      <c r="E960" s="930">
        <v>2239</v>
      </c>
      <c r="F960" s="926" t="s">
        <v>2773</v>
      </c>
      <c r="G960" s="926" t="s">
        <v>2774</v>
      </c>
      <c r="H960" s="926" t="s">
        <v>1404</v>
      </c>
      <c r="I960" s="912" t="s">
        <v>940</v>
      </c>
      <c r="J960" s="912" t="s">
        <v>1540</v>
      </c>
      <c r="K960" s="940" t="s">
        <v>2748</v>
      </c>
      <c r="L960" s="940" t="s">
        <v>2749</v>
      </c>
      <c r="M960" s="941">
        <v>37248.49</v>
      </c>
      <c r="N960" s="912"/>
      <c r="O960" s="942"/>
      <c r="P960" s="935"/>
    </row>
    <row r="961" spans="1:16" x14ac:dyDescent="0.2">
      <c r="A961" s="937" t="s">
        <v>2744</v>
      </c>
      <c r="B961" s="912" t="s">
        <v>875</v>
      </c>
      <c r="C961" s="912" t="s">
        <v>2745</v>
      </c>
      <c r="D961" s="912" t="s">
        <v>1537</v>
      </c>
      <c r="E961" s="930">
        <v>2239</v>
      </c>
      <c r="F961" s="926" t="s">
        <v>2775</v>
      </c>
      <c r="G961" s="926" t="s">
        <v>2776</v>
      </c>
      <c r="H961" s="926" t="s">
        <v>1404</v>
      </c>
      <c r="I961" s="912" t="s">
        <v>940</v>
      </c>
      <c r="J961" s="912" t="s">
        <v>1540</v>
      </c>
      <c r="K961" s="940" t="s">
        <v>2748</v>
      </c>
      <c r="L961" s="940" t="s">
        <v>2749</v>
      </c>
      <c r="M961" s="941">
        <v>37248.49</v>
      </c>
      <c r="N961" s="912"/>
      <c r="O961" s="942"/>
      <c r="P961" s="935"/>
    </row>
    <row r="962" spans="1:16" x14ac:dyDescent="0.2">
      <c r="A962" s="937" t="s">
        <v>2744</v>
      </c>
      <c r="B962" s="912" t="s">
        <v>875</v>
      </c>
      <c r="C962" s="912" t="s">
        <v>2745</v>
      </c>
      <c r="D962" s="912" t="s">
        <v>1537</v>
      </c>
      <c r="E962" s="930">
        <v>2239</v>
      </c>
      <c r="F962" s="926" t="s">
        <v>2777</v>
      </c>
      <c r="G962" s="926" t="s">
        <v>2778</v>
      </c>
      <c r="H962" s="926" t="s">
        <v>1594</v>
      </c>
      <c r="I962" s="912" t="s">
        <v>940</v>
      </c>
      <c r="J962" s="912" t="s">
        <v>1540</v>
      </c>
      <c r="K962" s="940" t="s">
        <v>2748</v>
      </c>
      <c r="L962" s="940" t="s">
        <v>2749</v>
      </c>
      <c r="M962" s="941">
        <v>37248.49</v>
      </c>
      <c r="N962" s="912"/>
      <c r="O962" s="942"/>
      <c r="P962" s="935"/>
    </row>
    <row r="963" spans="1:16" x14ac:dyDescent="0.2">
      <c r="A963" s="937" t="s">
        <v>2744</v>
      </c>
      <c r="B963" s="912" t="s">
        <v>875</v>
      </c>
      <c r="C963" s="912" t="s">
        <v>2745</v>
      </c>
      <c r="D963" s="912" t="s">
        <v>1537</v>
      </c>
      <c r="E963" s="930">
        <v>1724</v>
      </c>
      <c r="F963" s="926" t="s">
        <v>2779</v>
      </c>
      <c r="G963" s="926" t="s">
        <v>2780</v>
      </c>
      <c r="H963" s="926" t="s">
        <v>1028</v>
      </c>
      <c r="I963" s="912" t="s">
        <v>1412</v>
      </c>
      <c r="J963" s="912" t="s">
        <v>2752</v>
      </c>
      <c r="K963" s="940" t="s">
        <v>2748</v>
      </c>
      <c r="L963" s="940" t="s">
        <v>2749</v>
      </c>
      <c r="M963" s="941">
        <v>30763.93</v>
      </c>
      <c r="N963" s="912"/>
      <c r="O963" s="942"/>
      <c r="P963" s="935"/>
    </row>
    <row r="964" spans="1:16" x14ac:dyDescent="0.2">
      <c r="A964" s="937" t="s">
        <v>2744</v>
      </c>
      <c r="B964" s="912" t="s">
        <v>875</v>
      </c>
      <c r="C964" s="912" t="s">
        <v>2745</v>
      </c>
      <c r="D964" s="912" t="s">
        <v>1537</v>
      </c>
      <c r="E964" s="930">
        <v>2239</v>
      </c>
      <c r="F964" s="926" t="s">
        <v>2781</v>
      </c>
      <c r="G964" s="926" t="s">
        <v>2782</v>
      </c>
      <c r="H964" s="926" t="s">
        <v>1634</v>
      </c>
      <c r="I964" s="912" t="s">
        <v>940</v>
      </c>
      <c r="J964" s="912" t="s">
        <v>1540</v>
      </c>
      <c r="K964" s="940" t="s">
        <v>2748</v>
      </c>
      <c r="L964" s="940" t="s">
        <v>2749</v>
      </c>
      <c r="M964" s="941">
        <v>37248.49</v>
      </c>
      <c r="N964" s="912"/>
      <c r="O964" s="942"/>
      <c r="P964" s="935"/>
    </row>
    <row r="965" spans="1:16" x14ac:dyDescent="0.2">
      <c r="A965" s="937" t="s">
        <v>2744</v>
      </c>
      <c r="B965" s="912" t="s">
        <v>875</v>
      </c>
      <c r="C965" s="912" t="s">
        <v>2745</v>
      </c>
      <c r="D965" s="912" t="s">
        <v>1537</v>
      </c>
      <c r="E965" s="930">
        <v>2500</v>
      </c>
      <c r="F965" s="926" t="s">
        <v>2783</v>
      </c>
      <c r="G965" s="926" t="s">
        <v>2784</v>
      </c>
      <c r="H965" s="926" t="s">
        <v>1634</v>
      </c>
      <c r="I965" s="912" t="s">
        <v>940</v>
      </c>
      <c r="J965" s="912" t="s">
        <v>1540</v>
      </c>
      <c r="K965" s="940" t="s">
        <v>2748</v>
      </c>
      <c r="L965" s="940" t="s">
        <v>2749</v>
      </c>
      <c r="M965" s="941">
        <v>40419.25</v>
      </c>
      <c r="N965" s="912"/>
      <c r="O965" s="942"/>
      <c r="P965" s="935"/>
    </row>
    <row r="966" spans="1:16" x14ac:dyDescent="0.2">
      <c r="A966" s="937" t="s">
        <v>2744</v>
      </c>
      <c r="B966" s="912" t="s">
        <v>875</v>
      </c>
      <c r="C966" s="912" t="s">
        <v>2745</v>
      </c>
      <c r="D966" s="912" t="s">
        <v>2753</v>
      </c>
      <c r="E966" s="930">
        <v>1750</v>
      </c>
      <c r="F966" s="926" t="s">
        <v>2785</v>
      </c>
      <c r="G966" s="926" t="s">
        <v>2786</v>
      </c>
      <c r="H966" s="926" t="s">
        <v>982</v>
      </c>
      <c r="I966" s="912" t="s">
        <v>1412</v>
      </c>
      <c r="J966" s="912" t="s">
        <v>2752</v>
      </c>
      <c r="K966" s="940" t="s">
        <v>2748</v>
      </c>
      <c r="L966" s="940" t="s">
        <v>2749</v>
      </c>
      <c r="M966" s="941">
        <v>31107.97</v>
      </c>
      <c r="N966" s="912"/>
      <c r="O966" s="942"/>
      <c r="P966" s="935"/>
    </row>
    <row r="967" spans="1:16" x14ac:dyDescent="0.2">
      <c r="A967" s="937" t="s">
        <v>2744</v>
      </c>
      <c r="B967" s="912" t="s">
        <v>875</v>
      </c>
      <c r="C967" s="912" t="s">
        <v>2745</v>
      </c>
      <c r="D967" s="912" t="s">
        <v>2753</v>
      </c>
      <c r="E967" s="930">
        <v>1750</v>
      </c>
      <c r="F967" s="926" t="s">
        <v>2787</v>
      </c>
      <c r="G967" s="926" t="s">
        <v>2788</v>
      </c>
      <c r="H967" s="926" t="s">
        <v>982</v>
      </c>
      <c r="I967" s="912" t="s">
        <v>1412</v>
      </c>
      <c r="J967" s="912" t="s">
        <v>2752</v>
      </c>
      <c r="K967" s="940" t="s">
        <v>2748</v>
      </c>
      <c r="L967" s="940" t="s">
        <v>2749</v>
      </c>
      <c r="M967" s="941">
        <v>31107.97</v>
      </c>
      <c r="N967" s="912"/>
      <c r="O967" s="942"/>
      <c r="P967" s="935"/>
    </row>
    <row r="968" spans="1:16" x14ac:dyDescent="0.2">
      <c r="A968" s="937" t="s">
        <v>2744</v>
      </c>
      <c r="B968" s="912" t="s">
        <v>875</v>
      </c>
      <c r="C968" s="912" t="s">
        <v>2745</v>
      </c>
      <c r="D968" s="912" t="s">
        <v>2753</v>
      </c>
      <c r="E968" s="930">
        <v>1750</v>
      </c>
      <c r="F968" s="926" t="s">
        <v>2789</v>
      </c>
      <c r="G968" s="926" t="s">
        <v>2790</v>
      </c>
      <c r="H968" s="926" t="s">
        <v>982</v>
      </c>
      <c r="I968" s="912" t="s">
        <v>1412</v>
      </c>
      <c r="J968" s="912" t="s">
        <v>2752</v>
      </c>
      <c r="K968" s="940" t="s">
        <v>2748</v>
      </c>
      <c r="L968" s="940" t="s">
        <v>2749</v>
      </c>
      <c r="M968" s="941">
        <v>31107.97</v>
      </c>
      <c r="N968" s="912"/>
      <c r="O968" s="942"/>
      <c r="P968" s="935"/>
    </row>
    <row r="969" spans="1:16" x14ac:dyDescent="0.2">
      <c r="A969" s="937" t="s">
        <v>2744</v>
      </c>
      <c r="B969" s="912" t="s">
        <v>875</v>
      </c>
      <c r="C969" s="912" t="s">
        <v>2745</v>
      </c>
      <c r="D969" s="912" t="s">
        <v>2753</v>
      </c>
      <c r="E969" s="930">
        <v>2000</v>
      </c>
      <c r="F969" s="926" t="s">
        <v>2791</v>
      </c>
      <c r="G969" s="926" t="s">
        <v>2792</v>
      </c>
      <c r="H969" s="926" t="s">
        <v>982</v>
      </c>
      <c r="I969" s="912" t="s">
        <v>1412</v>
      </c>
      <c r="J969" s="912" t="s">
        <v>2752</v>
      </c>
      <c r="K969" s="940" t="s">
        <v>2748</v>
      </c>
      <c r="L969" s="940" t="s">
        <v>2749</v>
      </c>
      <c r="M969" s="941">
        <v>34344.85</v>
      </c>
      <c r="N969" s="912"/>
      <c r="O969" s="942"/>
      <c r="P969" s="935"/>
    </row>
    <row r="970" spans="1:16" x14ac:dyDescent="0.2">
      <c r="A970" s="937" t="s">
        <v>2744</v>
      </c>
      <c r="B970" s="912" t="s">
        <v>875</v>
      </c>
      <c r="C970" s="912" t="s">
        <v>2745</v>
      </c>
      <c r="D970" s="912" t="s">
        <v>2753</v>
      </c>
      <c r="E970" s="930">
        <v>2000</v>
      </c>
      <c r="F970" s="926" t="s">
        <v>2793</v>
      </c>
      <c r="G970" s="926" t="s">
        <v>2794</v>
      </c>
      <c r="H970" s="926" t="s">
        <v>982</v>
      </c>
      <c r="I970" s="912" t="s">
        <v>1412</v>
      </c>
      <c r="J970" s="912" t="s">
        <v>2752</v>
      </c>
      <c r="K970" s="940" t="s">
        <v>2748</v>
      </c>
      <c r="L970" s="940" t="s">
        <v>2749</v>
      </c>
      <c r="M970" s="941">
        <v>34344.85</v>
      </c>
      <c r="N970" s="912"/>
      <c r="O970" s="942"/>
      <c r="P970" s="935"/>
    </row>
    <row r="971" spans="1:16" x14ac:dyDescent="0.2">
      <c r="A971" s="937" t="s">
        <v>2744</v>
      </c>
      <c r="B971" s="912" t="s">
        <v>875</v>
      </c>
      <c r="C971" s="912" t="s">
        <v>2745</v>
      </c>
      <c r="D971" s="912" t="s">
        <v>1537</v>
      </c>
      <c r="E971" s="930">
        <v>1724</v>
      </c>
      <c r="F971" s="926" t="s">
        <v>2795</v>
      </c>
      <c r="G971" s="926" t="s">
        <v>2796</v>
      </c>
      <c r="H971" s="926" t="s">
        <v>1028</v>
      </c>
      <c r="I971" s="912" t="s">
        <v>1412</v>
      </c>
      <c r="J971" s="912" t="s">
        <v>2752</v>
      </c>
      <c r="K971" s="940" t="s">
        <v>2748</v>
      </c>
      <c r="L971" s="940" t="s">
        <v>2749</v>
      </c>
      <c r="M971" s="941">
        <v>30763.93</v>
      </c>
      <c r="N971" s="912"/>
      <c r="O971" s="942"/>
      <c r="P971" s="935"/>
    </row>
    <row r="972" spans="1:16" x14ac:dyDescent="0.2">
      <c r="A972" s="937" t="s">
        <v>2744</v>
      </c>
      <c r="B972" s="912" t="s">
        <v>875</v>
      </c>
      <c r="C972" s="912" t="s">
        <v>2745</v>
      </c>
      <c r="D972" s="912" t="s">
        <v>1537</v>
      </c>
      <c r="E972" s="930">
        <v>1800</v>
      </c>
      <c r="F972" s="926" t="s">
        <v>2797</v>
      </c>
      <c r="G972" s="926" t="s">
        <v>2798</v>
      </c>
      <c r="H972" s="926" t="s">
        <v>1028</v>
      </c>
      <c r="I972" s="912" t="s">
        <v>1412</v>
      </c>
      <c r="J972" s="912" t="s">
        <v>2752</v>
      </c>
      <c r="K972" s="940" t="s">
        <v>2748</v>
      </c>
      <c r="L972" s="940" t="s">
        <v>2749</v>
      </c>
      <c r="M972" s="941">
        <v>31769.29</v>
      </c>
      <c r="N972" s="912"/>
      <c r="O972" s="942"/>
      <c r="P972" s="935"/>
    </row>
    <row r="973" spans="1:16" x14ac:dyDescent="0.2">
      <c r="A973" s="937" t="s">
        <v>2744</v>
      </c>
      <c r="B973" s="912" t="s">
        <v>875</v>
      </c>
      <c r="C973" s="912" t="s">
        <v>2745</v>
      </c>
      <c r="D973" s="912" t="s">
        <v>1537</v>
      </c>
      <c r="E973" s="930">
        <v>1800</v>
      </c>
      <c r="F973" s="926" t="s">
        <v>2799</v>
      </c>
      <c r="G973" s="926" t="s">
        <v>2800</v>
      </c>
      <c r="H973" s="926" t="s">
        <v>1028</v>
      </c>
      <c r="I973" s="912" t="s">
        <v>1412</v>
      </c>
      <c r="J973" s="912" t="s">
        <v>2752</v>
      </c>
      <c r="K973" s="940" t="s">
        <v>2748</v>
      </c>
      <c r="L973" s="940" t="s">
        <v>2749</v>
      </c>
      <c r="M973" s="941">
        <v>31769.29</v>
      </c>
      <c r="N973" s="912"/>
      <c r="O973" s="942"/>
      <c r="P973" s="935"/>
    </row>
    <row r="974" spans="1:16" x14ac:dyDescent="0.2">
      <c r="A974" s="937" t="s">
        <v>2744</v>
      </c>
      <c r="B974" s="912" t="s">
        <v>875</v>
      </c>
      <c r="C974" s="912" t="s">
        <v>2745</v>
      </c>
      <c r="D974" s="912" t="s">
        <v>1537</v>
      </c>
      <c r="E974" s="930">
        <v>1800</v>
      </c>
      <c r="F974" s="926" t="s">
        <v>2801</v>
      </c>
      <c r="G974" s="926" t="s">
        <v>2802</v>
      </c>
      <c r="H974" s="926" t="s">
        <v>1663</v>
      </c>
      <c r="I974" s="912" t="s">
        <v>1412</v>
      </c>
      <c r="J974" s="912" t="s">
        <v>2752</v>
      </c>
      <c r="K974" s="940" t="s">
        <v>2748</v>
      </c>
      <c r="L974" s="940" t="s">
        <v>2749</v>
      </c>
      <c r="M974" s="941">
        <v>31769.29</v>
      </c>
      <c r="N974" s="912"/>
      <c r="O974" s="942"/>
      <c r="P974" s="935"/>
    </row>
    <row r="975" spans="1:16" x14ac:dyDescent="0.2">
      <c r="A975" s="937" t="s">
        <v>2744</v>
      </c>
      <c r="B975" s="912" t="s">
        <v>875</v>
      </c>
      <c r="C975" s="912" t="s">
        <v>2745</v>
      </c>
      <c r="D975" s="912" t="s">
        <v>1537</v>
      </c>
      <c r="E975" s="930">
        <v>2239</v>
      </c>
      <c r="F975" s="926" t="s">
        <v>2803</v>
      </c>
      <c r="G975" s="926" t="s">
        <v>2804</v>
      </c>
      <c r="H975" s="926" t="s">
        <v>1594</v>
      </c>
      <c r="I975" s="912" t="s">
        <v>940</v>
      </c>
      <c r="J975" s="912" t="s">
        <v>1540</v>
      </c>
      <c r="K975" s="940" t="s">
        <v>2748</v>
      </c>
      <c r="L975" s="940" t="s">
        <v>2749</v>
      </c>
      <c r="M975" s="941">
        <v>37248.49</v>
      </c>
      <c r="N975" s="912"/>
      <c r="O975" s="942"/>
      <c r="P975" s="935"/>
    </row>
    <row r="976" spans="1:16" x14ac:dyDescent="0.2">
      <c r="A976" s="937" t="s">
        <v>2744</v>
      </c>
      <c r="B976" s="912" t="s">
        <v>875</v>
      </c>
      <c r="C976" s="912" t="s">
        <v>2745</v>
      </c>
      <c r="D976" s="912" t="s">
        <v>1537</v>
      </c>
      <c r="E976" s="930">
        <v>2239</v>
      </c>
      <c r="F976" s="926" t="s">
        <v>2805</v>
      </c>
      <c r="G976" s="926" t="s">
        <v>2806</v>
      </c>
      <c r="H976" s="926" t="s">
        <v>2259</v>
      </c>
      <c r="I976" s="912" t="s">
        <v>940</v>
      </c>
      <c r="J976" s="912" t="s">
        <v>1540</v>
      </c>
      <c r="K976" s="940" t="s">
        <v>2748</v>
      </c>
      <c r="L976" s="940" t="s">
        <v>2749</v>
      </c>
      <c r="M976" s="941">
        <v>37248.49</v>
      </c>
      <c r="N976" s="912"/>
      <c r="O976" s="942"/>
      <c r="P976" s="935"/>
    </row>
    <row r="977" spans="1:16" x14ac:dyDescent="0.2">
      <c r="A977" s="937" t="s">
        <v>2744</v>
      </c>
      <c r="B977" s="912" t="s">
        <v>875</v>
      </c>
      <c r="C977" s="912" t="s">
        <v>2745</v>
      </c>
      <c r="D977" s="912" t="s">
        <v>1537</v>
      </c>
      <c r="E977" s="930">
        <v>2239</v>
      </c>
      <c r="F977" s="926" t="s">
        <v>2807</v>
      </c>
      <c r="G977" s="926" t="s">
        <v>2808</v>
      </c>
      <c r="H977" s="926" t="s">
        <v>1594</v>
      </c>
      <c r="I977" s="912" t="s">
        <v>940</v>
      </c>
      <c r="J977" s="912" t="s">
        <v>1540</v>
      </c>
      <c r="K977" s="940" t="s">
        <v>2748</v>
      </c>
      <c r="L977" s="940" t="s">
        <v>2749</v>
      </c>
      <c r="M977" s="941">
        <v>37248.49</v>
      </c>
      <c r="N977" s="912"/>
      <c r="O977" s="942"/>
      <c r="P977" s="935"/>
    </row>
    <row r="978" spans="1:16" x14ac:dyDescent="0.2">
      <c r="A978" s="937" t="s">
        <v>2744</v>
      </c>
      <c r="B978" s="912" t="s">
        <v>875</v>
      </c>
      <c r="C978" s="912" t="s">
        <v>2745</v>
      </c>
      <c r="D978" s="912" t="s">
        <v>1537</v>
      </c>
      <c r="E978" s="930">
        <v>2239</v>
      </c>
      <c r="F978" s="926" t="s">
        <v>2809</v>
      </c>
      <c r="G978" s="926" t="s">
        <v>2810</v>
      </c>
      <c r="H978" s="926" t="s">
        <v>1646</v>
      </c>
      <c r="I978" s="912" t="s">
        <v>940</v>
      </c>
      <c r="J978" s="912" t="s">
        <v>1540</v>
      </c>
      <c r="K978" s="940" t="s">
        <v>2748</v>
      </c>
      <c r="L978" s="940" t="s">
        <v>2749</v>
      </c>
      <c r="M978" s="941">
        <v>37248.49</v>
      </c>
      <c r="N978" s="912"/>
      <c r="O978" s="942"/>
      <c r="P978" s="935"/>
    </row>
    <row r="979" spans="1:16" x14ac:dyDescent="0.2">
      <c r="A979" s="937" t="s">
        <v>2744</v>
      </c>
      <c r="B979" s="912" t="s">
        <v>875</v>
      </c>
      <c r="C979" s="912" t="s">
        <v>2745</v>
      </c>
      <c r="D979" s="912" t="s">
        <v>1537</v>
      </c>
      <c r="E979" s="930">
        <v>2239</v>
      </c>
      <c r="F979" s="926" t="s">
        <v>2811</v>
      </c>
      <c r="G979" s="926" t="s">
        <v>2812</v>
      </c>
      <c r="H979" s="926" t="s">
        <v>2259</v>
      </c>
      <c r="I979" s="912" t="s">
        <v>940</v>
      </c>
      <c r="J979" s="912" t="s">
        <v>1540</v>
      </c>
      <c r="K979" s="940" t="s">
        <v>2748</v>
      </c>
      <c r="L979" s="940" t="s">
        <v>2749</v>
      </c>
      <c r="M979" s="941">
        <v>37248.49</v>
      </c>
      <c r="N979" s="912"/>
      <c r="O979" s="942"/>
      <c r="P979" s="935"/>
    </row>
    <row r="980" spans="1:16" x14ac:dyDescent="0.2">
      <c r="A980" s="937" t="s">
        <v>2744</v>
      </c>
      <c r="B980" s="912" t="s">
        <v>875</v>
      </c>
      <c r="C980" s="912" t="s">
        <v>2745</v>
      </c>
      <c r="D980" s="912" t="s">
        <v>1537</v>
      </c>
      <c r="E980" s="930">
        <v>2239</v>
      </c>
      <c r="F980" s="926" t="s">
        <v>2813</v>
      </c>
      <c r="G980" s="926" t="s">
        <v>2814</v>
      </c>
      <c r="H980" s="926" t="s">
        <v>1626</v>
      </c>
      <c r="I980" s="912" t="s">
        <v>940</v>
      </c>
      <c r="J980" s="912" t="s">
        <v>1540</v>
      </c>
      <c r="K980" s="940" t="s">
        <v>2748</v>
      </c>
      <c r="L980" s="940" t="s">
        <v>2749</v>
      </c>
      <c r="M980" s="941">
        <v>37248.49</v>
      </c>
      <c r="N980" s="912"/>
      <c r="O980" s="942"/>
      <c r="P980" s="935"/>
    </row>
    <row r="981" spans="1:16" x14ac:dyDescent="0.2">
      <c r="A981" s="937" t="s">
        <v>2744</v>
      </c>
      <c r="B981" s="912" t="s">
        <v>875</v>
      </c>
      <c r="C981" s="912" t="s">
        <v>2745</v>
      </c>
      <c r="D981" s="912" t="s">
        <v>1537</v>
      </c>
      <c r="E981" s="930">
        <v>2239</v>
      </c>
      <c r="F981" s="926" t="s">
        <v>2815</v>
      </c>
      <c r="G981" s="926" t="s">
        <v>2816</v>
      </c>
      <c r="H981" s="926" t="s">
        <v>1594</v>
      </c>
      <c r="I981" s="912" t="s">
        <v>940</v>
      </c>
      <c r="J981" s="912" t="s">
        <v>1540</v>
      </c>
      <c r="K981" s="940" t="s">
        <v>2748</v>
      </c>
      <c r="L981" s="940" t="s">
        <v>2749</v>
      </c>
      <c r="M981" s="941">
        <v>37248.49</v>
      </c>
      <c r="N981" s="912"/>
      <c r="O981" s="942"/>
      <c r="P981" s="935"/>
    </row>
    <row r="982" spans="1:16" x14ac:dyDescent="0.2">
      <c r="A982" s="937" t="s">
        <v>2744</v>
      </c>
      <c r="B982" s="912" t="s">
        <v>875</v>
      </c>
      <c r="C982" s="912" t="s">
        <v>2745</v>
      </c>
      <c r="D982" s="912" t="s">
        <v>1537</v>
      </c>
      <c r="E982" s="930">
        <v>2500</v>
      </c>
      <c r="F982" s="926" t="s">
        <v>2817</v>
      </c>
      <c r="G982" s="926" t="s">
        <v>2818</v>
      </c>
      <c r="H982" s="926" t="s">
        <v>1594</v>
      </c>
      <c r="I982" s="912" t="s">
        <v>940</v>
      </c>
      <c r="J982" s="912" t="s">
        <v>1540</v>
      </c>
      <c r="K982" s="940" t="s">
        <v>2748</v>
      </c>
      <c r="L982" s="940" t="s">
        <v>2749</v>
      </c>
      <c r="M982" s="941">
        <v>40419.25</v>
      </c>
      <c r="N982" s="912"/>
      <c r="O982" s="942"/>
      <c r="P982" s="935"/>
    </row>
    <row r="983" spans="1:16" x14ac:dyDescent="0.2">
      <c r="A983" s="937" t="s">
        <v>2744</v>
      </c>
      <c r="B983" s="912" t="s">
        <v>875</v>
      </c>
      <c r="C983" s="912" t="s">
        <v>2745</v>
      </c>
      <c r="D983" s="912" t="s">
        <v>1537</v>
      </c>
      <c r="E983" s="930">
        <v>2500</v>
      </c>
      <c r="F983" s="926" t="s">
        <v>2819</v>
      </c>
      <c r="G983" s="926" t="s">
        <v>2820</v>
      </c>
      <c r="H983" s="926" t="s">
        <v>1634</v>
      </c>
      <c r="I983" s="912" t="s">
        <v>940</v>
      </c>
      <c r="J983" s="912" t="s">
        <v>1540</v>
      </c>
      <c r="K983" s="940" t="s">
        <v>2748</v>
      </c>
      <c r="L983" s="940" t="s">
        <v>2749</v>
      </c>
      <c r="M983" s="941">
        <v>40419.25</v>
      </c>
      <c r="N983" s="912"/>
      <c r="O983" s="942"/>
      <c r="P983" s="935"/>
    </row>
    <row r="984" spans="1:16" x14ac:dyDescent="0.2">
      <c r="A984" s="937" t="s">
        <v>2744</v>
      </c>
      <c r="B984" s="912" t="s">
        <v>875</v>
      </c>
      <c r="C984" s="912" t="s">
        <v>2745</v>
      </c>
      <c r="D984" s="912" t="s">
        <v>1537</v>
      </c>
      <c r="E984" s="930">
        <v>2500</v>
      </c>
      <c r="F984" s="926" t="s">
        <v>2821</v>
      </c>
      <c r="G984" s="926" t="s">
        <v>2822</v>
      </c>
      <c r="H984" s="926" t="s">
        <v>1707</v>
      </c>
      <c r="I984" s="912" t="s">
        <v>940</v>
      </c>
      <c r="J984" s="912" t="s">
        <v>1540</v>
      </c>
      <c r="K984" s="940" t="s">
        <v>2748</v>
      </c>
      <c r="L984" s="940" t="s">
        <v>2749</v>
      </c>
      <c r="M984" s="941">
        <v>40419.25</v>
      </c>
      <c r="N984" s="912"/>
      <c r="O984" s="942"/>
      <c r="P984" s="935"/>
    </row>
    <row r="985" spans="1:16" x14ac:dyDescent="0.2">
      <c r="A985" s="937" t="s">
        <v>2744</v>
      </c>
      <c r="B985" s="912" t="s">
        <v>875</v>
      </c>
      <c r="C985" s="912" t="s">
        <v>2745</v>
      </c>
      <c r="D985" s="912" t="s">
        <v>1537</v>
      </c>
      <c r="E985" s="930">
        <v>2500</v>
      </c>
      <c r="F985" s="926" t="s">
        <v>2823</v>
      </c>
      <c r="G985" s="926" t="s">
        <v>2824</v>
      </c>
      <c r="H985" s="926" t="s">
        <v>1634</v>
      </c>
      <c r="I985" s="912" t="s">
        <v>940</v>
      </c>
      <c r="J985" s="912" t="s">
        <v>1540</v>
      </c>
      <c r="K985" s="940" t="s">
        <v>2748</v>
      </c>
      <c r="L985" s="940" t="s">
        <v>2749</v>
      </c>
      <c r="M985" s="941">
        <v>40419.25</v>
      </c>
      <c r="N985" s="912"/>
      <c r="O985" s="942"/>
      <c r="P985" s="935"/>
    </row>
    <row r="986" spans="1:16" x14ac:dyDescent="0.2">
      <c r="A986" s="937" t="s">
        <v>2744</v>
      </c>
      <c r="B986" s="912" t="s">
        <v>875</v>
      </c>
      <c r="C986" s="912" t="s">
        <v>2745</v>
      </c>
      <c r="D986" s="912" t="s">
        <v>1537</v>
      </c>
      <c r="E986" s="930">
        <v>2500</v>
      </c>
      <c r="F986" s="926" t="s">
        <v>2825</v>
      </c>
      <c r="G986" s="926" t="s">
        <v>2826</v>
      </c>
      <c r="H986" s="926" t="s">
        <v>1634</v>
      </c>
      <c r="I986" s="912" t="s">
        <v>940</v>
      </c>
      <c r="J986" s="912" t="s">
        <v>1540</v>
      </c>
      <c r="K986" s="940" t="s">
        <v>2748</v>
      </c>
      <c r="L986" s="940" t="s">
        <v>2749</v>
      </c>
      <c r="M986" s="941">
        <v>40419.25</v>
      </c>
      <c r="N986" s="912"/>
      <c r="O986" s="942"/>
      <c r="P986" s="935"/>
    </row>
    <row r="987" spans="1:16" x14ac:dyDescent="0.2">
      <c r="A987" s="937" t="s">
        <v>2744</v>
      </c>
      <c r="B987" s="912" t="s">
        <v>875</v>
      </c>
      <c r="C987" s="912" t="s">
        <v>2745</v>
      </c>
      <c r="D987" s="912" t="s">
        <v>1537</v>
      </c>
      <c r="E987" s="930">
        <v>2500</v>
      </c>
      <c r="F987" s="926" t="s">
        <v>2827</v>
      </c>
      <c r="G987" s="926" t="s">
        <v>2828</v>
      </c>
      <c r="H987" s="926" t="s">
        <v>1594</v>
      </c>
      <c r="I987" s="912" t="s">
        <v>940</v>
      </c>
      <c r="J987" s="912" t="s">
        <v>1540</v>
      </c>
      <c r="K987" s="940" t="s">
        <v>2748</v>
      </c>
      <c r="L987" s="940" t="s">
        <v>2749</v>
      </c>
      <c r="M987" s="941">
        <v>40419.25</v>
      </c>
      <c r="N987" s="912"/>
      <c r="O987" s="942"/>
      <c r="P987" s="935"/>
    </row>
    <row r="988" spans="1:16" x14ac:dyDescent="0.2">
      <c r="A988" s="937" t="s">
        <v>2744</v>
      </c>
      <c r="B988" s="912" t="s">
        <v>875</v>
      </c>
      <c r="C988" s="912" t="s">
        <v>2745</v>
      </c>
      <c r="D988" s="912" t="s">
        <v>1537</v>
      </c>
      <c r="E988" s="930">
        <v>2500</v>
      </c>
      <c r="F988" s="926" t="s">
        <v>2829</v>
      </c>
      <c r="G988" s="926" t="s">
        <v>2830</v>
      </c>
      <c r="H988" s="926" t="s">
        <v>1594</v>
      </c>
      <c r="I988" s="912" t="s">
        <v>940</v>
      </c>
      <c r="J988" s="912" t="s">
        <v>1540</v>
      </c>
      <c r="K988" s="940" t="s">
        <v>2748</v>
      </c>
      <c r="L988" s="940" t="s">
        <v>2749</v>
      </c>
      <c r="M988" s="941">
        <v>40419.25</v>
      </c>
      <c r="N988" s="912"/>
      <c r="O988" s="942"/>
      <c r="P988" s="935"/>
    </row>
    <row r="989" spans="1:16" x14ac:dyDescent="0.2">
      <c r="A989" s="937" t="s">
        <v>2744</v>
      </c>
      <c r="B989" s="912" t="s">
        <v>875</v>
      </c>
      <c r="C989" s="912" t="s">
        <v>2745</v>
      </c>
      <c r="D989" s="912" t="s">
        <v>1537</v>
      </c>
      <c r="E989" s="930">
        <v>2500</v>
      </c>
      <c r="F989" s="926" t="s">
        <v>2831</v>
      </c>
      <c r="G989" s="926" t="s">
        <v>2832</v>
      </c>
      <c r="H989" s="926" t="s">
        <v>1634</v>
      </c>
      <c r="I989" s="912" t="s">
        <v>940</v>
      </c>
      <c r="J989" s="912" t="s">
        <v>1540</v>
      </c>
      <c r="K989" s="940" t="s">
        <v>2748</v>
      </c>
      <c r="L989" s="940" t="s">
        <v>2749</v>
      </c>
      <c r="M989" s="941">
        <v>40419.25</v>
      </c>
      <c r="N989" s="912"/>
      <c r="O989" s="942"/>
      <c r="P989" s="935"/>
    </row>
    <row r="990" spans="1:16" x14ac:dyDescent="0.2">
      <c r="A990" s="937" t="s">
        <v>2744</v>
      </c>
      <c r="B990" s="912" t="s">
        <v>875</v>
      </c>
      <c r="C990" s="912" t="s">
        <v>2745</v>
      </c>
      <c r="D990" s="912" t="s">
        <v>1537</v>
      </c>
      <c r="E990" s="930">
        <v>2500</v>
      </c>
      <c r="F990" s="926" t="s">
        <v>2833</v>
      </c>
      <c r="G990" s="926" t="s">
        <v>2834</v>
      </c>
      <c r="H990" s="926" t="s">
        <v>1594</v>
      </c>
      <c r="I990" s="912" t="s">
        <v>940</v>
      </c>
      <c r="J990" s="912" t="s">
        <v>1540</v>
      </c>
      <c r="K990" s="940" t="s">
        <v>2748</v>
      </c>
      <c r="L990" s="940" t="s">
        <v>2749</v>
      </c>
      <c r="M990" s="941">
        <v>40419.25</v>
      </c>
      <c r="N990" s="912"/>
      <c r="O990" s="942"/>
      <c r="P990" s="935"/>
    </row>
    <row r="991" spans="1:16" x14ac:dyDescent="0.2">
      <c r="A991" s="937" t="s">
        <v>2744</v>
      </c>
      <c r="B991" s="912" t="s">
        <v>875</v>
      </c>
      <c r="C991" s="912" t="s">
        <v>2745</v>
      </c>
      <c r="D991" s="912" t="s">
        <v>1537</v>
      </c>
      <c r="E991" s="930">
        <v>2500</v>
      </c>
      <c r="F991" s="926" t="s">
        <v>2835</v>
      </c>
      <c r="G991" s="926" t="s">
        <v>2836</v>
      </c>
      <c r="H991" s="926" t="s">
        <v>976</v>
      </c>
      <c r="I991" s="912" t="s">
        <v>940</v>
      </c>
      <c r="J991" s="912" t="s">
        <v>1540</v>
      </c>
      <c r="K991" s="940" t="s">
        <v>2748</v>
      </c>
      <c r="L991" s="940" t="s">
        <v>2749</v>
      </c>
      <c r="M991" s="941">
        <v>40419.25</v>
      </c>
      <c r="N991" s="912"/>
      <c r="O991" s="942"/>
      <c r="P991" s="935"/>
    </row>
    <row r="992" spans="1:16" x14ac:dyDescent="0.2">
      <c r="A992" s="937" t="s">
        <v>2744</v>
      </c>
      <c r="B992" s="912" t="s">
        <v>875</v>
      </c>
      <c r="C992" s="912" t="s">
        <v>2745</v>
      </c>
      <c r="D992" s="912" t="s">
        <v>1537</v>
      </c>
      <c r="E992" s="930">
        <v>2689</v>
      </c>
      <c r="F992" s="926" t="s">
        <v>2837</v>
      </c>
      <c r="G992" s="926" t="s">
        <v>2838</v>
      </c>
      <c r="H992" s="926" t="s">
        <v>2163</v>
      </c>
      <c r="I992" s="912" t="s">
        <v>940</v>
      </c>
      <c r="J992" s="912" t="s">
        <v>1540</v>
      </c>
      <c r="K992" s="940" t="s">
        <v>2748</v>
      </c>
      <c r="L992" s="940" t="s">
        <v>2749</v>
      </c>
      <c r="M992" s="941">
        <v>42715.33</v>
      </c>
      <c r="N992" s="912"/>
      <c r="O992" s="942"/>
      <c r="P992" s="935"/>
    </row>
    <row r="993" spans="1:16" x14ac:dyDescent="0.2">
      <c r="A993" s="937" t="s">
        <v>2744</v>
      </c>
      <c r="B993" s="912" t="s">
        <v>875</v>
      </c>
      <c r="C993" s="912" t="s">
        <v>2745</v>
      </c>
      <c r="D993" s="912" t="s">
        <v>1537</v>
      </c>
      <c r="E993" s="930">
        <v>6500</v>
      </c>
      <c r="F993" s="926" t="s">
        <v>2839</v>
      </c>
      <c r="G993" s="926" t="s">
        <v>2840</v>
      </c>
      <c r="H993" s="926" t="s">
        <v>1175</v>
      </c>
      <c r="I993" s="912" t="s">
        <v>940</v>
      </c>
      <c r="J993" s="912" t="s">
        <v>1540</v>
      </c>
      <c r="K993" s="940" t="s">
        <v>2748</v>
      </c>
      <c r="L993" s="940" t="s">
        <v>2749</v>
      </c>
      <c r="M993" s="941">
        <v>89014.45</v>
      </c>
      <c r="N993" s="912"/>
      <c r="O993" s="942"/>
      <c r="P993" s="935"/>
    </row>
    <row r="994" spans="1:16" x14ac:dyDescent="0.2">
      <c r="A994" s="937" t="s">
        <v>2744</v>
      </c>
      <c r="B994" s="912" t="s">
        <v>875</v>
      </c>
      <c r="C994" s="912" t="s">
        <v>2745</v>
      </c>
      <c r="D994" s="912" t="s">
        <v>1537</v>
      </c>
      <c r="E994" s="930">
        <v>1500</v>
      </c>
      <c r="F994" s="926" t="s">
        <v>2841</v>
      </c>
      <c r="G994" s="926" t="s">
        <v>2842</v>
      </c>
      <c r="H994" s="926" t="s">
        <v>1784</v>
      </c>
      <c r="I994" s="912" t="s">
        <v>1020</v>
      </c>
      <c r="J994" s="912" t="s">
        <v>1020</v>
      </c>
      <c r="K994" s="940" t="s">
        <v>2748</v>
      </c>
      <c r="L994" s="940" t="s">
        <v>2749</v>
      </c>
      <c r="M994" s="941">
        <v>27800.65</v>
      </c>
      <c r="N994" s="912"/>
      <c r="O994" s="942"/>
      <c r="P994" s="935"/>
    </row>
    <row r="995" spans="1:16" x14ac:dyDescent="0.2">
      <c r="A995" s="937" t="s">
        <v>2744</v>
      </c>
      <c r="B995" s="912" t="s">
        <v>875</v>
      </c>
      <c r="C995" s="912" t="s">
        <v>2745</v>
      </c>
      <c r="D995" s="912" t="s">
        <v>1537</v>
      </c>
      <c r="E995" s="930">
        <v>1500</v>
      </c>
      <c r="F995" s="926" t="s">
        <v>2843</v>
      </c>
      <c r="G995" s="926" t="s">
        <v>2844</v>
      </c>
      <c r="H995" s="926" t="s">
        <v>1784</v>
      </c>
      <c r="I995" s="912" t="s">
        <v>1020</v>
      </c>
      <c r="J995" s="912" t="s">
        <v>1020</v>
      </c>
      <c r="K995" s="940" t="s">
        <v>2748</v>
      </c>
      <c r="L995" s="940" t="s">
        <v>2749</v>
      </c>
      <c r="M995" s="941">
        <v>27800.65</v>
      </c>
      <c r="N995" s="912"/>
      <c r="O995" s="942"/>
      <c r="P995" s="935"/>
    </row>
    <row r="996" spans="1:16" x14ac:dyDescent="0.2">
      <c r="A996" s="937" t="s">
        <v>2744</v>
      </c>
      <c r="B996" s="912" t="s">
        <v>875</v>
      </c>
      <c r="C996" s="912" t="s">
        <v>2745</v>
      </c>
      <c r="D996" s="912" t="s">
        <v>1537</v>
      </c>
      <c r="E996" s="930">
        <v>1500</v>
      </c>
      <c r="F996" s="926" t="s">
        <v>2845</v>
      </c>
      <c r="G996" s="926" t="s">
        <v>2846</v>
      </c>
      <c r="H996" s="926" t="s">
        <v>1784</v>
      </c>
      <c r="I996" s="912" t="s">
        <v>1020</v>
      </c>
      <c r="J996" s="912" t="s">
        <v>1020</v>
      </c>
      <c r="K996" s="940" t="s">
        <v>2748</v>
      </c>
      <c r="L996" s="940" t="s">
        <v>2749</v>
      </c>
      <c r="M996" s="941">
        <v>27800.65</v>
      </c>
      <c r="N996" s="912"/>
      <c r="O996" s="942"/>
      <c r="P996" s="935"/>
    </row>
    <row r="997" spans="1:16" x14ac:dyDescent="0.2">
      <c r="A997" s="937" t="s">
        <v>2744</v>
      </c>
      <c r="B997" s="912" t="s">
        <v>875</v>
      </c>
      <c r="C997" s="912" t="s">
        <v>2745</v>
      </c>
      <c r="D997" s="912" t="s">
        <v>1537</v>
      </c>
      <c r="E997" s="930">
        <v>1500</v>
      </c>
      <c r="F997" s="926" t="s">
        <v>2847</v>
      </c>
      <c r="G997" s="926" t="s">
        <v>2848</v>
      </c>
      <c r="H997" s="926" t="s">
        <v>1784</v>
      </c>
      <c r="I997" s="912" t="s">
        <v>1020</v>
      </c>
      <c r="J997" s="912" t="s">
        <v>1020</v>
      </c>
      <c r="K997" s="940" t="s">
        <v>2748</v>
      </c>
      <c r="L997" s="940" t="s">
        <v>2749</v>
      </c>
      <c r="M997" s="941">
        <v>27800.65</v>
      </c>
      <c r="N997" s="912"/>
      <c r="O997" s="942"/>
      <c r="P997" s="935"/>
    </row>
    <row r="998" spans="1:16" x14ac:dyDescent="0.2">
      <c r="A998" s="937" t="s">
        <v>2744</v>
      </c>
      <c r="B998" s="912" t="s">
        <v>875</v>
      </c>
      <c r="C998" s="912" t="s">
        <v>2745</v>
      </c>
      <c r="D998" s="912" t="s">
        <v>2753</v>
      </c>
      <c r="E998" s="930">
        <v>1750</v>
      </c>
      <c r="F998" s="926" t="s">
        <v>2849</v>
      </c>
      <c r="G998" s="926" t="s">
        <v>2850</v>
      </c>
      <c r="H998" s="926" t="s">
        <v>2120</v>
      </c>
      <c r="I998" s="912" t="s">
        <v>1412</v>
      </c>
      <c r="J998" s="912" t="s">
        <v>2752</v>
      </c>
      <c r="K998" s="940" t="s">
        <v>2748</v>
      </c>
      <c r="L998" s="940" t="s">
        <v>2749</v>
      </c>
      <c r="M998" s="941">
        <v>31107.97</v>
      </c>
      <c r="N998" s="912"/>
      <c r="O998" s="942"/>
      <c r="P998" s="935"/>
    </row>
    <row r="999" spans="1:16" x14ac:dyDescent="0.2">
      <c r="A999" s="937" t="s">
        <v>2744</v>
      </c>
      <c r="B999" s="912" t="s">
        <v>875</v>
      </c>
      <c r="C999" s="912" t="s">
        <v>2745</v>
      </c>
      <c r="D999" s="912" t="s">
        <v>2753</v>
      </c>
      <c r="E999" s="930">
        <v>1750</v>
      </c>
      <c r="F999" s="926" t="s">
        <v>2851</v>
      </c>
      <c r="G999" s="926" t="s">
        <v>2852</v>
      </c>
      <c r="H999" s="926" t="s">
        <v>982</v>
      </c>
      <c r="I999" s="912" t="s">
        <v>1412</v>
      </c>
      <c r="J999" s="912" t="s">
        <v>2752</v>
      </c>
      <c r="K999" s="940" t="s">
        <v>2748</v>
      </c>
      <c r="L999" s="940" t="s">
        <v>2749</v>
      </c>
      <c r="M999" s="941">
        <v>31107.97</v>
      </c>
      <c r="N999" s="912"/>
      <c r="O999" s="942"/>
      <c r="P999" s="935"/>
    </row>
    <row r="1000" spans="1:16" x14ac:dyDescent="0.2">
      <c r="A1000" s="937" t="s">
        <v>2744</v>
      </c>
      <c r="B1000" s="912" t="s">
        <v>875</v>
      </c>
      <c r="C1000" s="912" t="s">
        <v>2745</v>
      </c>
      <c r="D1000" s="912" t="s">
        <v>2753</v>
      </c>
      <c r="E1000" s="930">
        <v>1750</v>
      </c>
      <c r="F1000" s="926" t="s">
        <v>2853</v>
      </c>
      <c r="G1000" s="926" t="s">
        <v>2854</v>
      </c>
      <c r="H1000" s="926" t="s">
        <v>2120</v>
      </c>
      <c r="I1000" s="912" t="s">
        <v>1412</v>
      </c>
      <c r="J1000" s="912" t="s">
        <v>2752</v>
      </c>
      <c r="K1000" s="940" t="s">
        <v>2748</v>
      </c>
      <c r="L1000" s="940" t="s">
        <v>2749</v>
      </c>
      <c r="M1000" s="941">
        <v>31107.97</v>
      </c>
      <c r="N1000" s="912"/>
      <c r="O1000" s="942"/>
      <c r="P1000" s="935"/>
    </row>
    <row r="1001" spans="1:16" x14ac:dyDescent="0.2">
      <c r="A1001" s="937" t="s">
        <v>2744</v>
      </c>
      <c r="B1001" s="912" t="s">
        <v>875</v>
      </c>
      <c r="C1001" s="912" t="s">
        <v>2745</v>
      </c>
      <c r="D1001" s="912" t="s">
        <v>2753</v>
      </c>
      <c r="E1001" s="930">
        <v>1750</v>
      </c>
      <c r="F1001" s="926" t="s">
        <v>2855</v>
      </c>
      <c r="G1001" s="926" t="s">
        <v>2856</v>
      </c>
      <c r="H1001" s="926" t="s">
        <v>2120</v>
      </c>
      <c r="I1001" s="912" t="s">
        <v>1412</v>
      </c>
      <c r="J1001" s="912" t="s">
        <v>2752</v>
      </c>
      <c r="K1001" s="940" t="s">
        <v>2748</v>
      </c>
      <c r="L1001" s="940" t="s">
        <v>2749</v>
      </c>
      <c r="M1001" s="941">
        <v>31107.97</v>
      </c>
      <c r="N1001" s="912"/>
      <c r="O1001" s="942"/>
      <c r="P1001" s="935"/>
    </row>
    <row r="1002" spans="1:16" x14ac:dyDescent="0.2">
      <c r="A1002" s="937" t="s">
        <v>2744</v>
      </c>
      <c r="B1002" s="912" t="s">
        <v>875</v>
      </c>
      <c r="C1002" s="912" t="s">
        <v>2745</v>
      </c>
      <c r="D1002" s="912" t="s">
        <v>2753</v>
      </c>
      <c r="E1002" s="930">
        <v>1750</v>
      </c>
      <c r="F1002" s="926" t="s">
        <v>2857</v>
      </c>
      <c r="G1002" s="926" t="s">
        <v>2858</v>
      </c>
      <c r="H1002" s="926" t="s">
        <v>2120</v>
      </c>
      <c r="I1002" s="912" t="s">
        <v>1412</v>
      </c>
      <c r="J1002" s="912" t="s">
        <v>2752</v>
      </c>
      <c r="K1002" s="940" t="s">
        <v>2748</v>
      </c>
      <c r="L1002" s="940" t="s">
        <v>2749</v>
      </c>
      <c r="M1002" s="941">
        <v>31107.97</v>
      </c>
      <c r="N1002" s="912"/>
      <c r="O1002" s="942"/>
      <c r="P1002" s="935"/>
    </row>
    <row r="1003" spans="1:16" x14ac:dyDescent="0.2">
      <c r="A1003" s="937" t="s">
        <v>2744</v>
      </c>
      <c r="B1003" s="912" t="s">
        <v>875</v>
      </c>
      <c r="C1003" s="912" t="s">
        <v>2745</v>
      </c>
      <c r="D1003" s="912" t="s">
        <v>2753</v>
      </c>
      <c r="E1003" s="930">
        <v>1750</v>
      </c>
      <c r="F1003" s="926" t="s">
        <v>2859</v>
      </c>
      <c r="G1003" s="926" t="s">
        <v>2860</v>
      </c>
      <c r="H1003" s="926" t="s">
        <v>2120</v>
      </c>
      <c r="I1003" s="912" t="s">
        <v>1412</v>
      </c>
      <c r="J1003" s="912" t="s">
        <v>2752</v>
      </c>
      <c r="K1003" s="940" t="s">
        <v>2748</v>
      </c>
      <c r="L1003" s="940" t="s">
        <v>2749</v>
      </c>
      <c r="M1003" s="941">
        <v>31107.97</v>
      </c>
      <c r="N1003" s="912"/>
      <c r="O1003" s="942"/>
      <c r="P1003" s="935"/>
    </row>
    <row r="1004" spans="1:16" x14ac:dyDescent="0.2">
      <c r="A1004" s="937" t="s">
        <v>2744</v>
      </c>
      <c r="B1004" s="912" t="s">
        <v>875</v>
      </c>
      <c r="C1004" s="912" t="s">
        <v>2745</v>
      </c>
      <c r="D1004" s="912" t="s">
        <v>2753</v>
      </c>
      <c r="E1004" s="930">
        <v>1750</v>
      </c>
      <c r="F1004" s="926" t="s">
        <v>2861</v>
      </c>
      <c r="G1004" s="926" t="s">
        <v>2862</v>
      </c>
      <c r="H1004" s="926" t="s">
        <v>2120</v>
      </c>
      <c r="I1004" s="912" t="s">
        <v>1412</v>
      </c>
      <c r="J1004" s="912" t="s">
        <v>2752</v>
      </c>
      <c r="K1004" s="940" t="s">
        <v>2748</v>
      </c>
      <c r="L1004" s="940" t="s">
        <v>2749</v>
      </c>
      <c r="M1004" s="941">
        <v>31107.97</v>
      </c>
      <c r="N1004" s="912"/>
      <c r="O1004" s="942"/>
      <c r="P1004" s="935"/>
    </row>
    <row r="1005" spans="1:16" x14ac:dyDescent="0.2">
      <c r="A1005" s="937" t="s">
        <v>2744</v>
      </c>
      <c r="B1005" s="912" t="s">
        <v>875</v>
      </c>
      <c r="C1005" s="912" t="s">
        <v>2745</v>
      </c>
      <c r="D1005" s="912" t="s">
        <v>2753</v>
      </c>
      <c r="E1005" s="930">
        <v>2000</v>
      </c>
      <c r="F1005" s="926" t="s">
        <v>2863</v>
      </c>
      <c r="G1005" s="926" t="s">
        <v>2864</v>
      </c>
      <c r="H1005" s="926" t="s">
        <v>982</v>
      </c>
      <c r="I1005" s="912" t="s">
        <v>1412</v>
      </c>
      <c r="J1005" s="912" t="s">
        <v>2752</v>
      </c>
      <c r="K1005" s="940" t="s">
        <v>2748</v>
      </c>
      <c r="L1005" s="940" t="s">
        <v>2749</v>
      </c>
      <c r="M1005" s="941">
        <v>34344.85</v>
      </c>
      <c r="N1005" s="912"/>
      <c r="O1005" s="942"/>
      <c r="P1005" s="935"/>
    </row>
    <row r="1006" spans="1:16" x14ac:dyDescent="0.2">
      <c r="A1006" s="937" t="s">
        <v>2744</v>
      </c>
      <c r="B1006" s="912" t="s">
        <v>875</v>
      </c>
      <c r="C1006" s="912" t="s">
        <v>2745</v>
      </c>
      <c r="D1006" s="912" t="s">
        <v>2753</v>
      </c>
      <c r="E1006" s="930">
        <v>1500</v>
      </c>
      <c r="F1006" s="926" t="s">
        <v>2865</v>
      </c>
      <c r="G1006" s="926" t="s">
        <v>2866</v>
      </c>
      <c r="H1006" s="926" t="s">
        <v>982</v>
      </c>
      <c r="I1006" s="912" t="s">
        <v>1412</v>
      </c>
      <c r="J1006" s="912" t="s">
        <v>2752</v>
      </c>
      <c r="K1006" s="940" t="s">
        <v>2748</v>
      </c>
      <c r="L1006" s="940" t="s">
        <v>2749</v>
      </c>
      <c r="M1006" s="941">
        <v>27800.65</v>
      </c>
      <c r="N1006" s="912"/>
      <c r="O1006" s="942"/>
      <c r="P1006" s="935"/>
    </row>
    <row r="1007" spans="1:16" x14ac:dyDescent="0.2">
      <c r="A1007" s="937" t="s">
        <v>2744</v>
      </c>
      <c r="B1007" s="912" t="s">
        <v>875</v>
      </c>
      <c r="C1007" s="912" t="s">
        <v>2745</v>
      </c>
      <c r="D1007" s="912" t="s">
        <v>1537</v>
      </c>
      <c r="E1007" s="930">
        <v>1724</v>
      </c>
      <c r="F1007" s="926" t="s">
        <v>2867</v>
      </c>
      <c r="G1007" s="926" t="s">
        <v>2868</v>
      </c>
      <c r="H1007" s="926" t="s">
        <v>1878</v>
      </c>
      <c r="I1007" s="912" t="s">
        <v>1412</v>
      </c>
      <c r="J1007" s="912" t="s">
        <v>2752</v>
      </c>
      <c r="K1007" s="940" t="s">
        <v>2748</v>
      </c>
      <c r="L1007" s="940" t="s">
        <v>2749</v>
      </c>
      <c r="M1007" s="941">
        <v>30763.93</v>
      </c>
      <c r="N1007" s="912"/>
      <c r="O1007" s="942"/>
      <c r="P1007" s="935"/>
    </row>
    <row r="1008" spans="1:16" x14ac:dyDescent="0.2">
      <c r="A1008" s="937" t="s">
        <v>2744</v>
      </c>
      <c r="B1008" s="912" t="s">
        <v>875</v>
      </c>
      <c r="C1008" s="912" t="s">
        <v>2745</v>
      </c>
      <c r="D1008" s="912" t="s">
        <v>1537</v>
      </c>
      <c r="E1008" s="930">
        <v>10000</v>
      </c>
      <c r="F1008" s="926" t="s">
        <v>2869</v>
      </c>
      <c r="G1008" s="926" t="s">
        <v>2870</v>
      </c>
      <c r="H1008" s="926" t="s">
        <v>1682</v>
      </c>
      <c r="I1008" s="912" t="s">
        <v>940</v>
      </c>
      <c r="J1008" s="912" t="s">
        <v>1540</v>
      </c>
      <c r="K1008" s="940" t="s">
        <v>2748</v>
      </c>
      <c r="L1008" s="940" t="s">
        <v>2749</v>
      </c>
      <c r="M1008" s="941">
        <v>131523.60999999999</v>
      </c>
      <c r="N1008" s="912"/>
      <c r="O1008" s="942"/>
      <c r="P1008" s="935"/>
    </row>
    <row r="1009" spans="1:16" x14ac:dyDescent="0.2">
      <c r="A1009" s="937" t="s">
        <v>2744</v>
      </c>
      <c r="B1009" s="912" t="s">
        <v>875</v>
      </c>
      <c r="C1009" s="912" t="s">
        <v>2745</v>
      </c>
      <c r="D1009" s="912" t="s">
        <v>1537</v>
      </c>
      <c r="E1009" s="930">
        <v>11000</v>
      </c>
      <c r="F1009" s="926" t="s">
        <v>2871</v>
      </c>
      <c r="G1009" s="926" t="s">
        <v>2872</v>
      </c>
      <c r="H1009" s="926" t="s">
        <v>2366</v>
      </c>
      <c r="I1009" s="912" t="s">
        <v>940</v>
      </c>
      <c r="J1009" s="912" t="s">
        <v>1540</v>
      </c>
      <c r="K1009" s="940" t="s">
        <v>2748</v>
      </c>
      <c r="L1009" s="940" t="s">
        <v>2749</v>
      </c>
      <c r="M1009" s="941">
        <v>143599.21</v>
      </c>
      <c r="N1009" s="912"/>
      <c r="O1009" s="942"/>
      <c r="P1009" s="935"/>
    </row>
    <row r="1010" spans="1:16" x14ac:dyDescent="0.2">
      <c r="A1010" s="937" t="s">
        <v>2744</v>
      </c>
      <c r="B1010" s="912" t="s">
        <v>875</v>
      </c>
      <c r="C1010" s="912" t="s">
        <v>2745</v>
      </c>
      <c r="D1010" s="912" t="s">
        <v>1537</v>
      </c>
      <c r="E1010" s="930">
        <v>2239</v>
      </c>
      <c r="F1010" s="926" t="s">
        <v>2873</v>
      </c>
      <c r="G1010" s="926" t="s">
        <v>2874</v>
      </c>
      <c r="H1010" s="926" t="s">
        <v>1594</v>
      </c>
      <c r="I1010" s="912" t="s">
        <v>940</v>
      </c>
      <c r="J1010" s="912" t="s">
        <v>1540</v>
      </c>
      <c r="K1010" s="940" t="s">
        <v>2748</v>
      </c>
      <c r="L1010" s="940" t="s">
        <v>2749</v>
      </c>
      <c r="M1010" s="941">
        <v>37248.49</v>
      </c>
      <c r="N1010" s="912"/>
      <c r="O1010" s="942"/>
      <c r="P1010" s="935"/>
    </row>
    <row r="1011" spans="1:16" x14ac:dyDescent="0.2">
      <c r="A1011" s="937" t="s">
        <v>2744</v>
      </c>
      <c r="B1011" s="912" t="s">
        <v>875</v>
      </c>
      <c r="C1011" s="912" t="s">
        <v>2745</v>
      </c>
      <c r="D1011" s="912" t="s">
        <v>1537</v>
      </c>
      <c r="E1011" s="930">
        <v>2239</v>
      </c>
      <c r="F1011" s="926" t="s">
        <v>2875</v>
      </c>
      <c r="G1011" s="926" t="s">
        <v>2876</v>
      </c>
      <c r="H1011" s="926" t="s">
        <v>1594</v>
      </c>
      <c r="I1011" s="912" t="s">
        <v>940</v>
      </c>
      <c r="J1011" s="912" t="s">
        <v>1540</v>
      </c>
      <c r="K1011" s="940" t="s">
        <v>2748</v>
      </c>
      <c r="L1011" s="940" t="s">
        <v>2749</v>
      </c>
      <c r="M1011" s="941">
        <v>37248.49</v>
      </c>
      <c r="N1011" s="912"/>
      <c r="O1011" s="942"/>
      <c r="P1011" s="935"/>
    </row>
    <row r="1012" spans="1:16" x14ac:dyDescent="0.2">
      <c r="A1012" s="937" t="s">
        <v>2744</v>
      </c>
      <c r="B1012" s="912" t="s">
        <v>875</v>
      </c>
      <c r="C1012" s="912" t="s">
        <v>2745</v>
      </c>
      <c r="D1012" s="912" t="s">
        <v>1537</v>
      </c>
      <c r="E1012" s="930">
        <v>2239</v>
      </c>
      <c r="F1012" s="926" t="s">
        <v>2877</v>
      </c>
      <c r="G1012" s="926" t="s">
        <v>2878</v>
      </c>
      <c r="H1012" s="926" t="s">
        <v>1626</v>
      </c>
      <c r="I1012" s="912" t="s">
        <v>940</v>
      </c>
      <c r="J1012" s="912" t="s">
        <v>1540</v>
      </c>
      <c r="K1012" s="940" t="s">
        <v>2748</v>
      </c>
      <c r="L1012" s="940" t="s">
        <v>2749</v>
      </c>
      <c r="M1012" s="941">
        <v>37248.49</v>
      </c>
      <c r="N1012" s="912"/>
      <c r="O1012" s="942"/>
      <c r="P1012" s="935"/>
    </row>
    <row r="1013" spans="1:16" x14ac:dyDescent="0.2">
      <c r="A1013" s="937" t="s">
        <v>2744</v>
      </c>
      <c r="B1013" s="912" t="s">
        <v>875</v>
      </c>
      <c r="C1013" s="912" t="s">
        <v>2745</v>
      </c>
      <c r="D1013" s="912" t="s">
        <v>1537</v>
      </c>
      <c r="E1013" s="930">
        <v>2239</v>
      </c>
      <c r="F1013" s="926" t="s">
        <v>2879</v>
      </c>
      <c r="G1013" s="926" t="s">
        <v>2880</v>
      </c>
      <c r="H1013" s="926" t="s">
        <v>1594</v>
      </c>
      <c r="I1013" s="912" t="s">
        <v>940</v>
      </c>
      <c r="J1013" s="912" t="s">
        <v>1540</v>
      </c>
      <c r="K1013" s="940" t="s">
        <v>2748</v>
      </c>
      <c r="L1013" s="940" t="s">
        <v>2749</v>
      </c>
      <c r="M1013" s="941">
        <v>37248.49</v>
      </c>
      <c r="N1013" s="912"/>
      <c r="O1013" s="942"/>
      <c r="P1013" s="935"/>
    </row>
    <row r="1014" spans="1:16" x14ac:dyDescent="0.2">
      <c r="A1014" s="937" t="s">
        <v>2744</v>
      </c>
      <c r="B1014" s="912" t="s">
        <v>875</v>
      </c>
      <c r="C1014" s="912" t="s">
        <v>2745</v>
      </c>
      <c r="D1014" s="912" t="s">
        <v>1537</v>
      </c>
      <c r="E1014" s="930">
        <v>2239</v>
      </c>
      <c r="F1014" s="926" t="s">
        <v>2881</v>
      </c>
      <c r="G1014" s="926" t="s">
        <v>2882</v>
      </c>
      <c r="H1014" s="926" t="s">
        <v>1631</v>
      </c>
      <c r="I1014" s="912" t="s">
        <v>940</v>
      </c>
      <c r="J1014" s="912" t="s">
        <v>1540</v>
      </c>
      <c r="K1014" s="940" t="s">
        <v>2748</v>
      </c>
      <c r="L1014" s="940" t="s">
        <v>2749</v>
      </c>
      <c r="M1014" s="941">
        <v>37248.49</v>
      </c>
      <c r="N1014" s="912"/>
      <c r="O1014" s="942"/>
      <c r="P1014" s="935"/>
    </row>
    <row r="1015" spans="1:16" x14ac:dyDescent="0.2">
      <c r="A1015" s="937" t="s">
        <v>2744</v>
      </c>
      <c r="B1015" s="912" t="s">
        <v>875</v>
      </c>
      <c r="C1015" s="912" t="s">
        <v>2745</v>
      </c>
      <c r="D1015" s="912" t="s">
        <v>1537</v>
      </c>
      <c r="E1015" s="930">
        <v>2239</v>
      </c>
      <c r="F1015" s="926" t="s">
        <v>2883</v>
      </c>
      <c r="G1015" s="926" t="s">
        <v>2884</v>
      </c>
      <c r="H1015" s="926" t="s">
        <v>1594</v>
      </c>
      <c r="I1015" s="912" t="s">
        <v>940</v>
      </c>
      <c r="J1015" s="912" t="s">
        <v>1540</v>
      </c>
      <c r="K1015" s="940" t="s">
        <v>2748</v>
      </c>
      <c r="L1015" s="940" t="s">
        <v>2749</v>
      </c>
      <c r="M1015" s="941">
        <v>37248.49</v>
      </c>
      <c r="N1015" s="912"/>
      <c r="O1015" s="942"/>
      <c r="P1015" s="935"/>
    </row>
    <row r="1016" spans="1:16" x14ac:dyDescent="0.2">
      <c r="A1016" s="937" t="s">
        <v>2744</v>
      </c>
      <c r="B1016" s="912" t="s">
        <v>875</v>
      </c>
      <c r="C1016" s="912" t="s">
        <v>2745</v>
      </c>
      <c r="D1016" s="912" t="s">
        <v>1537</v>
      </c>
      <c r="E1016" s="930">
        <v>2500</v>
      </c>
      <c r="F1016" s="926" t="s">
        <v>2885</v>
      </c>
      <c r="G1016" s="926" t="s">
        <v>2886</v>
      </c>
      <c r="H1016" s="926" t="s">
        <v>1594</v>
      </c>
      <c r="I1016" s="912" t="s">
        <v>940</v>
      </c>
      <c r="J1016" s="912" t="s">
        <v>1540</v>
      </c>
      <c r="K1016" s="940" t="s">
        <v>2748</v>
      </c>
      <c r="L1016" s="940" t="s">
        <v>2749</v>
      </c>
      <c r="M1016" s="941">
        <v>40419.25</v>
      </c>
      <c r="N1016" s="912"/>
      <c r="O1016" s="942"/>
      <c r="P1016" s="935"/>
    </row>
    <row r="1017" spans="1:16" x14ac:dyDescent="0.2">
      <c r="A1017" s="937" t="s">
        <v>2744</v>
      </c>
      <c r="B1017" s="912" t="s">
        <v>875</v>
      </c>
      <c r="C1017" s="912" t="s">
        <v>2745</v>
      </c>
      <c r="D1017" s="912" t="s">
        <v>1537</v>
      </c>
      <c r="E1017" s="930">
        <v>2500</v>
      </c>
      <c r="F1017" s="926" t="s">
        <v>2887</v>
      </c>
      <c r="G1017" s="926" t="s">
        <v>2888</v>
      </c>
      <c r="H1017" s="926" t="s">
        <v>1594</v>
      </c>
      <c r="I1017" s="912" t="s">
        <v>940</v>
      </c>
      <c r="J1017" s="912" t="s">
        <v>1540</v>
      </c>
      <c r="K1017" s="940" t="s">
        <v>2748</v>
      </c>
      <c r="L1017" s="940" t="s">
        <v>2749</v>
      </c>
      <c r="M1017" s="941">
        <v>40419.25</v>
      </c>
      <c r="N1017" s="912"/>
      <c r="O1017" s="942"/>
      <c r="P1017" s="935"/>
    </row>
    <row r="1018" spans="1:16" x14ac:dyDescent="0.2">
      <c r="A1018" s="937" t="s">
        <v>2744</v>
      </c>
      <c r="B1018" s="912" t="s">
        <v>875</v>
      </c>
      <c r="C1018" s="912" t="s">
        <v>2745</v>
      </c>
      <c r="D1018" s="912" t="s">
        <v>1537</v>
      </c>
      <c r="E1018" s="930">
        <v>2500</v>
      </c>
      <c r="F1018" s="926" t="s">
        <v>2889</v>
      </c>
      <c r="G1018" s="926" t="s">
        <v>2890</v>
      </c>
      <c r="H1018" s="926" t="s">
        <v>1641</v>
      </c>
      <c r="I1018" s="912" t="s">
        <v>940</v>
      </c>
      <c r="J1018" s="912" t="s">
        <v>1540</v>
      </c>
      <c r="K1018" s="940" t="s">
        <v>2748</v>
      </c>
      <c r="L1018" s="940" t="s">
        <v>2749</v>
      </c>
      <c r="M1018" s="941">
        <v>40419.25</v>
      </c>
      <c r="N1018" s="912"/>
      <c r="O1018" s="942"/>
      <c r="P1018" s="935"/>
    </row>
    <row r="1019" spans="1:16" x14ac:dyDescent="0.2">
      <c r="A1019" s="937" t="s">
        <v>2744</v>
      </c>
      <c r="B1019" s="912" t="s">
        <v>875</v>
      </c>
      <c r="C1019" s="912" t="s">
        <v>2745</v>
      </c>
      <c r="D1019" s="912" t="s">
        <v>1537</v>
      </c>
      <c r="E1019" s="930">
        <v>2500</v>
      </c>
      <c r="F1019" s="926" t="s">
        <v>2891</v>
      </c>
      <c r="G1019" s="926" t="s">
        <v>2892</v>
      </c>
      <c r="H1019" s="926" t="s">
        <v>1634</v>
      </c>
      <c r="I1019" s="912" t="s">
        <v>940</v>
      </c>
      <c r="J1019" s="912" t="s">
        <v>1540</v>
      </c>
      <c r="K1019" s="940" t="s">
        <v>2748</v>
      </c>
      <c r="L1019" s="940" t="s">
        <v>2749</v>
      </c>
      <c r="M1019" s="941">
        <v>40419.25</v>
      </c>
      <c r="N1019" s="912"/>
      <c r="O1019" s="942"/>
      <c r="P1019" s="935"/>
    </row>
    <row r="1020" spans="1:16" x14ac:dyDescent="0.2">
      <c r="A1020" s="937" t="s">
        <v>2744</v>
      </c>
      <c r="B1020" s="912" t="s">
        <v>875</v>
      </c>
      <c r="C1020" s="912" t="s">
        <v>2745</v>
      </c>
      <c r="D1020" s="912" t="s">
        <v>2753</v>
      </c>
      <c r="E1020" s="930">
        <v>2000</v>
      </c>
      <c r="F1020" s="926" t="s">
        <v>2893</v>
      </c>
      <c r="G1020" s="926" t="s">
        <v>2894</v>
      </c>
      <c r="H1020" s="926" t="s">
        <v>2120</v>
      </c>
      <c r="I1020" s="912" t="s">
        <v>1412</v>
      </c>
      <c r="J1020" s="912" t="s">
        <v>2752</v>
      </c>
      <c r="K1020" s="940" t="s">
        <v>2748</v>
      </c>
      <c r="L1020" s="940" t="s">
        <v>2749</v>
      </c>
      <c r="M1020" s="941">
        <v>34344.85</v>
      </c>
      <c r="N1020" s="912"/>
      <c r="O1020" s="942"/>
      <c r="P1020" s="935"/>
    </row>
    <row r="1021" spans="1:16" x14ac:dyDescent="0.2">
      <c r="A1021" s="937" t="s">
        <v>2744</v>
      </c>
      <c r="B1021" s="912" t="s">
        <v>875</v>
      </c>
      <c r="C1021" s="912" t="s">
        <v>2745</v>
      </c>
      <c r="D1021" s="912" t="s">
        <v>2753</v>
      </c>
      <c r="E1021" s="930">
        <v>1500</v>
      </c>
      <c r="F1021" s="926" t="s">
        <v>2895</v>
      </c>
      <c r="G1021" s="926" t="s">
        <v>2896</v>
      </c>
      <c r="H1021" s="926" t="s">
        <v>2897</v>
      </c>
      <c r="I1021" s="912" t="s">
        <v>1412</v>
      </c>
      <c r="J1021" s="912" t="s">
        <v>2752</v>
      </c>
      <c r="K1021" s="940" t="s">
        <v>2748</v>
      </c>
      <c r="L1021" s="940" t="s">
        <v>2749</v>
      </c>
      <c r="M1021" s="941">
        <v>27800.65</v>
      </c>
      <c r="N1021" s="912"/>
      <c r="O1021" s="942"/>
      <c r="P1021" s="935"/>
    </row>
    <row r="1022" spans="1:16" x14ac:dyDescent="0.2">
      <c r="A1022" s="937" t="s">
        <v>2744</v>
      </c>
      <c r="B1022" s="912" t="s">
        <v>875</v>
      </c>
      <c r="C1022" s="912" t="s">
        <v>2745</v>
      </c>
      <c r="D1022" s="912" t="s">
        <v>2753</v>
      </c>
      <c r="E1022" s="930">
        <v>1500</v>
      </c>
      <c r="F1022" s="926" t="s">
        <v>2898</v>
      </c>
      <c r="G1022" s="926" t="s">
        <v>2899</v>
      </c>
      <c r="H1022" s="926" t="s">
        <v>2897</v>
      </c>
      <c r="I1022" s="912" t="s">
        <v>1412</v>
      </c>
      <c r="J1022" s="912" t="s">
        <v>2752</v>
      </c>
      <c r="K1022" s="940" t="s">
        <v>2748</v>
      </c>
      <c r="L1022" s="940" t="s">
        <v>2749</v>
      </c>
      <c r="M1022" s="941">
        <v>27800.65</v>
      </c>
      <c r="N1022" s="912"/>
      <c r="O1022" s="942"/>
      <c r="P1022" s="935"/>
    </row>
    <row r="1023" spans="1:16" x14ac:dyDescent="0.2">
      <c r="A1023" s="937" t="s">
        <v>2744</v>
      </c>
      <c r="B1023" s="912" t="s">
        <v>875</v>
      </c>
      <c r="C1023" s="912" t="s">
        <v>2745</v>
      </c>
      <c r="D1023" s="912" t="s">
        <v>2753</v>
      </c>
      <c r="E1023" s="930">
        <v>1500</v>
      </c>
      <c r="F1023" s="926" t="s">
        <v>2900</v>
      </c>
      <c r="G1023" s="926" t="s">
        <v>2901</v>
      </c>
      <c r="H1023" s="926" t="s">
        <v>2897</v>
      </c>
      <c r="I1023" s="912" t="s">
        <v>1412</v>
      </c>
      <c r="J1023" s="912" t="s">
        <v>2752</v>
      </c>
      <c r="K1023" s="940" t="s">
        <v>2748</v>
      </c>
      <c r="L1023" s="940" t="s">
        <v>2749</v>
      </c>
      <c r="M1023" s="941">
        <v>27800.65</v>
      </c>
      <c r="N1023" s="912"/>
      <c r="O1023" s="942"/>
      <c r="P1023" s="935"/>
    </row>
    <row r="1024" spans="1:16" x14ac:dyDescent="0.2">
      <c r="A1024" s="937" t="s">
        <v>2744</v>
      </c>
      <c r="B1024" s="912" t="s">
        <v>875</v>
      </c>
      <c r="C1024" s="912" t="s">
        <v>2745</v>
      </c>
      <c r="D1024" s="912" t="s">
        <v>2753</v>
      </c>
      <c r="E1024" s="930">
        <v>1500</v>
      </c>
      <c r="F1024" s="926" t="s">
        <v>2902</v>
      </c>
      <c r="G1024" s="926" t="s">
        <v>2903</v>
      </c>
      <c r="H1024" s="926" t="s">
        <v>2756</v>
      </c>
      <c r="I1024" s="912" t="s">
        <v>1412</v>
      </c>
      <c r="J1024" s="912" t="s">
        <v>2752</v>
      </c>
      <c r="K1024" s="940" t="s">
        <v>2748</v>
      </c>
      <c r="L1024" s="940" t="s">
        <v>2749</v>
      </c>
      <c r="M1024" s="941">
        <v>27800.65</v>
      </c>
      <c r="N1024" s="912"/>
      <c r="O1024" s="942"/>
      <c r="P1024" s="935"/>
    </row>
    <row r="1025" spans="1:16" x14ac:dyDescent="0.2">
      <c r="A1025" s="937" t="s">
        <v>2744</v>
      </c>
      <c r="B1025" s="912" t="s">
        <v>875</v>
      </c>
      <c r="C1025" s="912" t="s">
        <v>2745</v>
      </c>
      <c r="D1025" s="912" t="s">
        <v>2753</v>
      </c>
      <c r="E1025" s="930">
        <v>1750</v>
      </c>
      <c r="F1025" s="926" t="s">
        <v>2904</v>
      </c>
      <c r="G1025" s="926" t="s">
        <v>2905</v>
      </c>
      <c r="H1025" s="926" t="s">
        <v>2756</v>
      </c>
      <c r="I1025" s="912" t="s">
        <v>1412</v>
      </c>
      <c r="J1025" s="912" t="s">
        <v>2752</v>
      </c>
      <c r="K1025" s="940" t="s">
        <v>2748</v>
      </c>
      <c r="L1025" s="940" t="s">
        <v>2749</v>
      </c>
      <c r="M1025" s="941">
        <v>31107.97</v>
      </c>
      <c r="N1025" s="912"/>
      <c r="O1025" s="942"/>
      <c r="P1025" s="935"/>
    </row>
    <row r="1026" spans="1:16" x14ac:dyDescent="0.2">
      <c r="A1026" s="937" t="s">
        <v>2744</v>
      </c>
      <c r="B1026" s="912" t="s">
        <v>875</v>
      </c>
      <c r="C1026" s="912" t="s">
        <v>2745</v>
      </c>
      <c r="D1026" s="912" t="s">
        <v>1537</v>
      </c>
      <c r="E1026" s="930">
        <v>1800</v>
      </c>
      <c r="F1026" s="926" t="s">
        <v>2906</v>
      </c>
      <c r="G1026" s="926" t="s">
        <v>2907</v>
      </c>
      <c r="H1026" s="926" t="s">
        <v>1663</v>
      </c>
      <c r="I1026" s="912" t="s">
        <v>1412</v>
      </c>
      <c r="J1026" s="912" t="s">
        <v>2752</v>
      </c>
      <c r="K1026" s="940" t="s">
        <v>2748</v>
      </c>
      <c r="L1026" s="940" t="s">
        <v>2749</v>
      </c>
      <c r="M1026" s="941">
        <v>31769.29</v>
      </c>
      <c r="N1026" s="912"/>
      <c r="O1026" s="942"/>
      <c r="P1026" s="935"/>
    </row>
    <row r="1027" spans="1:16" x14ac:dyDescent="0.2">
      <c r="A1027" s="937" t="s">
        <v>2744</v>
      </c>
      <c r="B1027" s="912" t="s">
        <v>875</v>
      </c>
      <c r="C1027" s="912" t="s">
        <v>2745</v>
      </c>
      <c r="D1027" s="912" t="s">
        <v>1537</v>
      </c>
      <c r="E1027" s="930">
        <v>2239</v>
      </c>
      <c r="F1027" s="926" t="s">
        <v>2908</v>
      </c>
      <c r="G1027" s="926" t="s">
        <v>2909</v>
      </c>
      <c r="H1027" s="926" t="s">
        <v>1594</v>
      </c>
      <c r="I1027" s="912" t="s">
        <v>940</v>
      </c>
      <c r="J1027" s="912" t="s">
        <v>1540</v>
      </c>
      <c r="K1027" s="940" t="s">
        <v>2748</v>
      </c>
      <c r="L1027" s="940" t="s">
        <v>2749</v>
      </c>
      <c r="M1027" s="941">
        <v>37248.49</v>
      </c>
      <c r="N1027" s="912"/>
      <c r="O1027" s="942"/>
      <c r="P1027" s="935"/>
    </row>
    <row r="1028" spans="1:16" x14ac:dyDescent="0.2">
      <c r="A1028" s="937" t="s">
        <v>2744</v>
      </c>
      <c r="B1028" s="912" t="s">
        <v>875</v>
      </c>
      <c r="C1028" s="912" t="s">
        <v>2745</v>
      </c>
      <c r="D1028" s="912" t="s">
        <v>1537</v>
      </c>
      <c r="E1028" s="930">
        <v>1800</v>
      </c>
      <c r="F1028" s="926" t="s">
        <v>2910</v>
      </c>
      <c r="G1028" s="926" t="s">
        <v>2911</v>
      </c>
      <c r="H1028" s="926" t="s">
        <v>1028</v>
      </c>
      <c r="I1028" s="912" t="s">
        <v>1412</v>
      </c>
      <c r="J1028" s="912" t="s">
        <v>2752</v>
      </c>
      <c r="K1028" s="940" t="s">
        <v>2748</v>
      </c>
      <c r="L1028" s="940" t="s">
        <v>2749</v>
      </c>
      <c r="M1028" s="941">
        <v>31769.29</v>
      </c>
      <c r="N1028" s="912"/>
      <c r="O1028" s="942"/>
      <c r="P1028" s="935"/>
    </row>
    <row r="1029" spans="1:16" x14ac:dyDescent="0.2">
      <c r="A1029" s="937" t="s">
        <v>2744</v>
      </c>
      <c r="B1029" s="912" t="s">
        <v>875</v>
      </c>
      <c r="C1029" s="912" t="s">
        <v>2745</v>
      </c>
      <c r="D1029" s="912" t="s">
        <v>1537</v>
      </c>
      <c r="E1029" s="930">
        <v>2500</v>
      </c>
      <c r="F1029" s="926" t="s">
        <v>2912</v>
      </c>
      <c r="G1029" s="926" t="s">
        <v>2913</v>
      </c>
      <c r="H1029" s="926" t="s">
        <v>1594</v>
      </c>
      <c r="I1029" s="912" t="s">
        <v>940</v>
      </c>
      <c r="J1029" s="912" t="s">
        <v>1540</v>
      </c>
      <c r="K1029" s="940" t="s">
        <v>2748</v>
      </c>
      <c r="L1029" s="940" t="s">
        <v>2749</v>
      </c>
      <c r="M1029" s="941">
        <v>40419.25</v>
      </c>
      <c r="N1029" s="912"/>
      <c r="O1029" s="942"/>
      <c r="P1029" s="935"/>
    </row>
    <row r="1030" spans="1:16" x14ac:dyDescent="0.2">
      <c r="A1030" s="937" t="s">
        <v>2744</v>
      </c>
      <c r="B1030" s="912" t="s">
        <v>875</v>
      </c>
      <c r="C1030" s="912" t="s">
        <v>2745</v>
      </c>
      <c r="D1030" s="912" t="s">
        <v>1537</v>
      </c>
      <c r="E1030" s="930">
        <v>2689</v>
      </c>
      <c r="F1030" s="926" t="s">
        <v>2914</v>
      </c>
      <c r="G1030" s="926" t="s">
        <v>2915</v>
      </c>
      <c r="H1030" s="926" t="s">
        <v>1404</v>
      </c>
      <c r="I1030" s="912" t="s">
        <v>940</v>
      </c>
      <c r="J1030" s="912" t="s">
        <v>1540</v>
      </c>
      <c r="K1030" s="940" t="s">
        <v>2748</v>
      </c>
      <c r="L1030" s="940" t="s">
        <v>2749</v>
      </c>
      <c r="M1030" s="941">
        <v>42715.33</v>
      </c>
      <c r="N1030" s="912"/>
      <c r="O1030" s="942"/>
      <c r="P1030" s="935"/>
    </row>
    <row r="1031" spans="1:16" x14ac:dyDescent="0.2">
      <c r="A1031" s="937" t="s">
        <v>2744</v>
      </c>
      <c r="B1031" s="912" t="s">
        <v>875</v>
      </c>
      <c r="C1031" s="912" t="s">
        <v>2745</v>
      </c>
      <c r="D1031" s="912" t="s">
        <v>1537</v>
      </c>
      <c r="E1031" s="930">
        <v>2239</v>
      </c>
      <c r="F1031" s="926" t="s">
        <v>2916</v>
      </c>
      <c r="G1031" s="926" t="s">
        <v>2917</v>
      </c>
      <c r="H1031" s="926" t="s">
        <v>1594</v>
      </c>
      <c r="I1031" s="912" t="s">
        <v>940</v>
      </c>
      <c r="J1031" s="912" t="s">
        <v>1540</v>
      </c>
      <c r="K1031" s="940" t="s">
        <v>2748</v>
      </c>
      <c r="L1031" s="940" t="s">
        <v>2749</v>
      </c>
      <c r="M1031" s="941">
        <v>37248.49</v>
      </c>
      <c r="N1031" s="912"/>
      <c r="O1031" s="942"/>
      <c r="P1031" s="935"/>
    </row>
    <row r="1032" spans="1:16" x14ac:dyDescent="0.2">
      <c r="A1032" s="937" t="s">
        <v>2744</v>
      </c>
      <c r="B1032" s="912" t="s">
        <v>875</v>
      </c>
      <c r="C1032" s="912" t="s">
        <v>2745</v>
      </c>
      <c r="D1032" s="912" t="s">
        <v>1537</v>
      </c>
      <c r="E1032" s="930">
        <v>5600</v>
      </c>
      <c r="F1032" s="926" t="s">
        <v>2918</v>
      </c>
      <c r="G1032" s="926" t="s">
        <v>2919</v>
      </c>
      <c r="H1032" s="926" t="s">
        <v>1175</v>
      </c>
      <c r="I1032" s="912" t="s">
        <v>940</v>
      </c>
      <c r="J1032" s="912" t="s">
        <v>1540</v>
      </c>
      <c r="K1032" s="940" t="s">
        <v>2748</v>
      </c>
      <c r="L1032" s="940" t="s">
        <v>2749</v>
      </c>
      <c r="M1032" s="941">
        <v>67200.45</v>
      </c>
      <c r="N1032" s="912"/>
      <c r="O1032" s="942"/>
      <c r="P1032" s="935"/>
    </row>
    <row r="1033" spans="1:16" x14ac:dyDescent="0.2">
      <c r="A1033" s="937" t="s">
        <v>2744</v>
      </c>
      <c r="B1033" s="912" t="s">
        <v>875</v>
      </c>
      <c r="C1033" s="912" t="s">
        <v>2745</v>
      </c>
      <c r="D1033" s="912" t="s">
        <v>1537</v>
      </c>
      <c r="E1033" s="930">
        <v>2689</v>
      </c>
      <c r="F1033" s="926" t="s">
        <v>2920</v>
      </c>
      <c r="G1033" s="926" t="s">
        <v>2921</v>
      </c>
      <c r="H1033" s="926" t="s">
        <v>1631</v>
      </c>
      <c r="I1033" s="912" t="s">
        <v>940</v>
      </c>
      <c r="J1033" s="912" t="s">
        <v>1540</v>
      </c>
      <c r="K1033" s="940" t="s">
        <v>2748</v>
      </c>
      <c r="L1033" s="940" t="s">
        <v>2749</v>
      </c>
      <c r="M1033" s="941">
        <v>42715.33</v>
      </c>
      <c r="N1033" s="912"/>
      <c r="O1033" s="942"/>
      <c r="P1033" s="935"/>
    </row>
    <row r="1034" spans="1:16" x14ac:dyDescent="0.2">
      <c r="A1034" s="937" t="s">
        <v>2744</v>
      </c>
      <c r="B1034" s="912" t="s">
        <v>875</v>
      </c>
      <c r="C1034" s="912" t="s">
        <v>2745</v>
      </c>
      <c r="D1034" s="912" t="s">
        <v>1537</v>
      </c>
      <c r="E1034" s="930">
        <v>2500</v>
      </c>
      <c r="F1034" s="926" t="s">
        <v>2922</v>
      </c>
      <c r="G1034" s="926" t="s">
        <v>2923</v>
      </c>
      <c r="H1034" s="926" t="s">
        <v>1641</v>
      </c>
      <c r="I1034" s="912" t="s">
        <v>940</v>
      </c>
      <c r="J1034" s="912" t="s">
        <v>1540</v>
      </c>
      <c r="K1034" s="940" t="s">
        <v>2748</v>
      </c>
      <c r="L1034" s="940" t="s">
        <v>2749</v>
      </c>
      <c r="M1034" s="941">
        <v>40419.25</v>
      </c>
      <c r="N1034" s="912"/>
      <c r="O1034" s="942"/>
      <c r="P1034" s="935"/>
    </row>
    <row r="1035" spans="1:16" x14ac:dyDescent="0.2">
      <c r="A1035" s="937" t="s">
        <v>2744</v>
      </c>
      <c r="B1035" s="912" t="s">
        <v>875</v>
      </c>
      <c r="C1035" s="912" t="s">
        <v>2745</v>
      </c>
      <c r="D1035" s="912" t="s">
        <v>1537</v>
      </c>
      <c r="E1035" s="930">
        <v>1724</v>
      </c>
      <c r="F1035" s="926" t="s">
        <v>2924</v>
      </c>
      <c r="G1035" s="926" t="s">
        <v>2925</v>
      </c>
      <c r="H1035" s="926" t="s">
        <v>1028</v>
      </c>
      <c r="I1035" s="912" t="s">
        <v>1412</v>
      </c>
      <c r="J1035" s="912" t="s">
        <v>2752</v>
      </c>
      <c r="K1035" s="940" t="s">
        <v>2748</v>
      </c>
      <c r="L1035" s="940" t="s">
        <v>2749</v>
      </c>
      <c r="M1035" s="941">
        <v>30763.93</v>
      </c>
      <c r="N1035" s="912"/>
      <c r="O1035" s="942"/>
      <c r="P1035" s="935"/>
    </row>
    <row r="1036" spans="1:16" x14ac:dyDescent="0.2">
      <c r="A1036" s="937" t="s">
        <v>2744</v>
      </c>
      <c r="B1036" s="912" t="s">
        <v>875</v>
      </c>
      <c r="C1036" s="912" t="s">
        <v>2745</v>
      </c>
      <c r="D1036" s="912" t="s">
        <v>1537</v>
      </c>
      <c r="E1036" s="930">
        <v>2239</v>
      </c>
      <c r="F1036" s="926" t="s">
        <v>2926</v>
      </c>
      <c r="G1036" s="926" t="s">
        <v>2927</v>
      </c>
      <c r="H1036" s="926" t="s">
        <v>1594</v>
      </c>
      <c r="I1036" s="912" t="s">
        <v>940</v>
      </c>
      <c r="J1036" s="912" t="s">
        <v>1540</v>
      </c>
      <c r="K1036" s="940" t="s">
        <v>2748</v>
      </c>
      <c r="L1036" s="940" t="s">
        <v>2749</v>
      </c>
      <c r="M1036" s="941">
        <v>37248.49</v>
      </c>
      <c r="N1036" s="912"/>
      <c r="O1036" s="942"/>
      <c r="P1036" s="935"/>
    </row>
    <row r="1037" spans="1:16" x14ac:dyDescent="0.2">
      <c r="A1037" s="937" t="s">
        <v>2744</v>
      </c>
      <c r="B1037" s="912" t="s">
        <v>875</v>
      </c>
      <c r="C1037" s="912" t="s">
        <v>2745</v>
      </c>
      <c r="D1037" s="912" t="s">
        <v>1537</v>
      </c>
      <c r="E1037" s="930">
        <v>2239</v>
      </c>
      <c r="F1037" s="926" t="s">
        <v>2928</v>
      </c>
      <c r="G1037" s="926" t="s">
        <v>2929</v>
      </c>
      <c r="H1037" s="926" t="s">
        <v>1594</v>
      </c>
      <c r="I1037" s="912" t="s">
        <v>940</v>
      </c>
      <c r="J1037" s="912" t="s">
        <v>1540</v>
      </c>
      <c r="K1037" s="940" t="s">
        <v>2748</v>
      </c>
      <c r="L1037" s="940" t="s">
        <v>2749</v>
      </c>
      <c r="M1037" s="941">
        <v>37248.49</v>
      </c>
      <c r="N1037" s="912"/>
      <c r="O1037" s="942"/>
      <c r="P1037" s="935"/>
    </row>
    <row r="1038" spans="1:16" x14ac:dyDescent="0.2">
      <c r="A1038" s="937" t="s">
        <v>2744</v>
      </c>
      <c r="B1038" s="912" t="s">
        <v>875</v>
      </c>
      <c r="C1038" s="912" t="s">
        <v>2745</v>
      </c>
      <c r="D1038" s="912" t="s">
        <v>1537</v>
      </c>
      <c r="E1038" s="930">
        <v>2239</v>
      </c>
      <c r="F1038" s="926" t="s">
        <v>2930</v>
      </c>
      <c r="G1038" s="926" t="s">
        <v>2931</v>
      </c>
      <c r="H1038" s="926" t="s">
        <v>1626</v>
      </c>
      <c r="I1038" s="912" t="s">
        <v>940</v>
      </c>
      <c r="J1038" s="912" t="s">
        <v>1540</v>
      </c>
      <c r="K1038" s="940" t="s">
        <v>2748</v>
      </c>
      <c r="L1038" s="940" t="s">
        <v>2749</v>
      </c>
      <c r="M1038" s="941">
        <v>37248.49</v>
      </c>
      <c r="N1038" s="912"/>
      <c r="O1038" s="942"/>
      <c r="P1038" s="935"/>
    </row>
    <row r="1039" spans="1:16" x14ac:dyDescent="0.2">
      <c r="A1039" s="937" t="s">
        <v>2744</v>
      </c>
      <c r="B1039" s="912" t="s">
        <v>875</v>
      </c>
      <c r="C1039" s="912" t="s">
        <v>2745</v>
      </c>
      <c r="D1039" s="912" t="s">
        <v>1537</v>
      </c>
      <c r="E1039" s="930">
        <v>5600</v>
      </c>
      <c r="F1039" s="926" t="s">
        <v>2932</v>
      </c>
      <c r="G1039" s="926" t="s">
        <v>2933</v>
      </c>
      <c r="H1039" s="926" t="s">
        <v>1568</v>
      </c>
      <c r="I1039" s="912" t="s">
        <v>940</v>
      </c>
      <c r="J1039" s="912" t="s">
        <v>1540</v>
      </c>
      <c r="K1039" s="940" t="s">
        <v>2748</v>
      </c>
      <c r="L1039" s="940" t="s">
        <v>2749</v>
      </c>
      <c r="M1039" s="941">
        <v>67200</v>
      </c>
      <c r="N1039" s="912"/>
      <c r="O1039" s="942"/>
      <c r="P1039" s="935"/>
    </row>
    <row r="1040" spans="1:16" x14ac:dyDescent="0.2">
      <c r="A1040" s="937" t="s">
        <v>2744</v>
      </c>
      <c r="B1040" s="912" t="s">
        <v>875</v>
      </c>
      <c r="C1040" s="912" t="s">
        <v>2745</v>
      </c>
      <c r="D1040" s="912" t="s">
        <v>1537</v>
      </c>
      <c r="E1040" s="930">
        <v>2239</v>
      </c>
      <c r="F1040" s="926" t="s">
        <v>2934</v>
      </c>
      <c r="G1040" s="926" t="s">
        <v>2935</v>
      </c>
      <c r="H1040" s="926" t="s">
        <v>1594</v>
      </c>
      <c r="I1040" s="912" t="s">
        <v>940</v>
      </c>
      <c r="J1040" s="912" t="s">
        <v>1540</v>
      </c>
      <c r="K1040" s="940" t="s">
        <v>2748</v>
      </c>
      <c r="L1040" s="940" t="s">
        <v>2749</v>
      </c>
      <c r="M1040" s="941">
        <v>37248.480000000003</v>
      </c>
      <c r="N1040" s="912"/>
      <c r="O1040" s="942"/>
      <c r="P1040" s="935"/>
    </row>
    <row r="1041" spans="1:16" x14ac:dyDescent="0.2">
      <c r="A1041" s="937" t="s">
        <v>2744</v>
      </c>
      <c r="B1041" s="912" t="s">
        <v>875</v>
      </c>
      <c r="C1041" s="912" t="s">
        <v>2745</v>
      </c>
      <c r="D1041" s="912" t="s">
        <v>1537</v>
      </c>
      <c r="E1041" s="930">
        <v>1800</v>
      </c>
      <c r="F1041" s="926" t="s">
        <v>2936</v>
      </c>
      <c r="G1041" s="926" t="s">
        <v>2937</v>
      </c>
      <c r="H1041" s="926" t="s">
        <v>1028</v>
      </c>
      <c r="I1041" s="912" t="s">
        <v>1412</v>
      </c>
      <c r="J1041" s="912" t="s">
        <v>2752</v>
      </c>
      <c r="K1041" s="940" t="s">
        <v>2748</v>
      </c>
      <c r="L1041" s="940" t="s">
        <v>2749</v>
      </c>
      <c r="M1041" s="941">
        <v>31000.29</v>
      </c>
      <c r="N1041" s="912"/>
      <c r="O1041" s="942"/>
      <c r="P1041" s="935"/>
    </row>
    <row r="1042" spans="1:16" x14ac:dyDescent="0.2">
      <c r="A1042" s="937" t="s">
        <v>2744</v>
      </c>
      <c r="B1042" s="912" t="s">
        <v>875</v>
      </c>
      <c r="C1042" s="912" t="s">
        <v>2745</v>
      </c>
      <c r="D1042" s="912" t="s">
        <v>1537</v>
      </c>
      <c r="E1042" s="930">
        <v>5532</v>
      </c>
      <c r="F1042" s="926" t="s">
        <v>2938</v>
      </c>
      <c r="G1042" s="926" t="s">
        <v>2939</v>
      </c>
      <c r="H1042" s="926" t="s">
        <v>1175</v>
      </c>
      <c r="I1042" s="912" t="s">
        <v>940</v>
      </c>
      <c r="J1042" s="912" t="s">
        <v>1540</v>
      </c>
      <c r="K1042" s="940" t="s">
        <v>2748</v>
      </c>
      <c r="L1042" s="940" t="s">
        <v>2749</v>
      </c>
      <c r="M1042" s="941">
        <v>72862.649999999994</v>
      </c>
      <c r="N1042" s="912"/>
      <c r="O1042" s="942"/>
      <c r="P1042" s="935"/>
    </row>
    <row r="1043" spans="1:16" x14ac:dyDescent="0.2">
      <c r="A1043" s="937" t="s">
        <v>2744</v>
      </c>
      <c r="B1043" s="912" t="s">
        <v>875</v>
      </c>
      <c r="C1043" s="912" t="s">
        <v>2745</v>
      </c>
      <c r="D1043" s="912" t="s">
        <v>1537</v>
      </c>
      <c r="E1043" s="930">
        <v>2239</v>
      </c>
      <c r="F1043" s="926" t="s">
        <v>2940</v>
      </c>
      <c r="G1043" s="926" t="s">
        <v>2941</v>
      </c>
      <c r="H1043" s="926" t="s">
        <v>2259</v>
      </c>
      <c r="I1043" s="912" t="s">
        <v>940</v>
      </c>
      <c r="J1043" s="912" t="s">
        <v>1540</v>
      </c>
      <c r="K1043" s="940" t="s">
        <v>2748</v>
      </c>
      <c r="L1043" s="940" t="s">
        <v>2749</v>
      </c>
      <c r="M1043" s="941">
        <v>37252.49</v>
      </c>
      <c r="N1043" s="912"/>
      <c r="O1043" s="942"/>
      <c r="P1043" s="935"/>
    </row>
    <row r="1044" spans="1:16" x14ac:dyDescent="0.2">
      <c r="A1044" s="937" t="s">
        <v>2744</v>
      </c>
      <c r="B1044" s="912" t="s">
        <v>875</v>
      </c>
      <c r="C1044" s="912" t="s">
        <v>2745</v>
      </c>
      <c r="D1044" s="912" t="s">
        <v>1537</v>
      </c>
      <c r="E1044" s="930">
        <v>2239</v>
      </c>
      <c r="F1044" s="926" t="s">
        <v>2942</v>
      </c>
      <c r="G1044" s="926" t="s">
        <v>2943</v>
      </c>
      <c r="H1044" s="926" t="s">
        <v>1594</v>
      </c>
      <c r="I1044" s="912" t="s">
        <v>940</v>
      </c>
      <c r="J1044" s="912" t="s">
        <v>1540</v>
      </c>
      <c r="K1044" s="940" t="s">
        <v>2748</v>
      </c>
      <c r="L1044" s="940" t="s">
        <v>2749</v>
      </c>
      <c r="M1044" s="941">
        <v>37262.49</v>
      </c>
      <c r="N1044" s="912"/>
      <c r="O1044" s="942"/>
      <c r="P1044" s="935"/>
    </row>
    <row r="1045" spans="1:16" x14ac:dyDescent="0.2">
      <c r="A1045" s="937" t="s">
        <v>2744</v>
      </c>
      <c r="B1045" s="912" t="s">
        <v>875</v>
      </c>
      <c r="C1045" s="912" t="s">
        <v>2745</v>
      </c>
      <c r="D1045" s="912" t="s">
        <v>1537</v>
      </c>
      <c r="E1045" s="930">
        <v>2500</v>
      </c>
      <c r="F1045" s="926" t="s">
        <v>2944</v>
      </c>
      <c r="G1045" s="926" t="s">
        <v>2945</v>
      </c>
      <c r="H1045" s="926" t="s">
        <v>1626</v>
      </c>
      <c r="I1045" s="912" t="s">
        <v>940</v>
      </c>
      <c r="J1045" s="912" t="s">
        <v>1540</v>
      </c>
      <c r="K1045" s="940" t="s">
        <v>2748</v>
      </c>
      <c r="L1045" s="940" t="s">
        <v>2749</v>
      </c>
      <c r="M1045" s="941">
        <v>40419.040000000001</v>
      </c>
      <c r="N1045" s="912"/>
      <c r="O1045" s="942"/>
      <c r="P1045" s="935"/>
    </row>
    <row r="1046" spans="1:16" x14ac:dyDescent="0.2">
      <c r="A1046" s="937" t="s">
        <v>2744</v>
      </c>
      <c r="B1046" s="912" t="s">
        <v>875</v>
      </c>
      <c r="C1046" s="912" t="s">
        <v>2745</v>
      </c>
      <c r="D1046" s="912" t="s">
        <v>1537</v>
      </c>
      <c r="E1046" s="930">
        <v>5532</v>
      </c>
      <c r="F1046" s="926" t="s">
        <v>2946</v>
      </c>
      <c r="G1046" s="926" t="s">
        <v>2947</v>
      </c>
      <c r="H1046" s="926" t="s">
        <v>1175</v>
      </c>
      <c r="I1046" s="912" t="s">
        <v>940</v>
      </c>
      <c r="J1046" s="912" t="s">
        <v>1540</v>
      </c>
      <c r="K1046" s="940" t="s">
        <v>2748</v>
      </c>
      <c r="L1046" s="940" t="s">
        <v>2749</v>
      </c>
      <c r="M1046" s="941">
        <v>77254.490000000005</v>
      </c>
      <c r="N1046" s="912"/>
      <c r="O1046" s="942"/>
      <c r="P1046" s="935"/>
    </row>
    <row r="1047" spans="1:16" x14ac:dyDescent="0.2">
      <c r="A1047" s="937" t="s">
        <v>2744</v>
      </c>
      <c r="B1047" s="912" t="s">
        <v>875</v>
      </c>
      <c r="C1047" s="912" t="s">
        <v>2745</v>
      </c>
      <c r="D1047" s="912" t="s">
        <v>1537</v>
      </c>
      <c r="E1047" s="930">
        <v>2239</v>
      </c>
      <c r="F1047" s="926" t="s">
        <v>2948</v>
      </c>
      <c r="G1047" s="926" t="s">
        <v>2949</v>
      </c>
      <c r="H1047" s="926" t="s">
        <v>1594</v>
      </c>
      <c r="I1047" s="912" t="s">
        <v>940</v>
      </c>
      <c r="J1047" s="912" t="s">
        <v>1540</v>
      </c>
      <c r="K1047" s="940" t="s">
        <v>2748</v>
      </c>
      <c r="L1047" s="940" t="s">
        <v>2749</v>
      </c>
      <c r="M1047" s="941">
        <v>38248.49</v>
      </c>
      <c r="N1047" s="912"/>
      <c r="O1047" s="942"/>
      <c r="P1047" s="935"/>
    </row>
    <row r="1048" spans="1:16" x14ac:dyDescent="0.2">
      <c r="A1048" s="912"/>
      <c r="B1048" s="912"/>
      <c r="C1048" s="912"/>
      <c r="D1048" s="912"/>
      <c r="E1048" s="912"/>
      <c r="F1048" s="926"/>
      <c r="G1048" s="926"/>
      <c r="H1048" s="926"/>
      <c r="I1048" s="912"/>
      <c r="J1048" s="912"/>
      <c r="K1048" s="935"/>
      <c r="L1048" s="935"/>
      <c r="M1048" s="943">
        <f>SUM(M950:M1047)</f>
        <v>3879996.5900000031</v>
      </c>
      <c r="N1048" s="912"/>
      <c r="O1048" s="935"/>
      <c r="P1048" s="935"/>
    </row>
    <row r="1049" spans="1:16" x14ac:dyDescent="0.2">
      <c r="A1049" s="912"/>
      <c r="B1049" s="912"/>
      <c r="C1049" s="912"/>
      <c r="D1049" s="912"/>
      <c r="E1049" s="912"/>
      <c r="F1049" s="926"/>
      <c r="G1049" s="926"/>
      <c r="H1049" s="926"/>
      <c r="I1049" s="912"/>
      <c r="J1049" s="912"/>
      <c r="K1049" s="935"/>
      <c r="L1049" s="935"/>
      <c r="M1049" s="930"/>
      <c r="N1049" s="930"/>
      <c r="O1049" s="912"/>
      <c r="P1049" s="935"/>
    </row>
    <row r="1050" spans="1:16" x14ac:dyDescent="0.2">
      <c r="A1050" s="912"/>
      <c r="B1050" s="912"/>
      <c r="C1050" s="912"/>
      <c r="D1050" s="912"/>
      <c r="E1050" s="912"/>
      <c r="F1050" s="926"/>
      <c r="G1050" s="926"/>
      <c r="H1050" s="926"/>
      <c r="I1050" s="912"/>
      <c r="J1050" s="912"/>
      <c r="K1050" s="935"/>
      <c r="L1050" s="935"/>
      <c r="M1050" s="930"/>
      <c r="N1050" s="935"/>
      <c r="O1050" s="935"/>
      <c r="P1050" s="935"/>
    </row>
    <row r="1051" spans="1:16" x14ac:dyDescent="0.2">
      <c r="A1051" s="937" t="s">
        <v>2744</v>
      </c>
      <c r="B1051" s="912" t="s">
        <v>2950</v>
      </c>
      <c r="C1051" s="912" t="s">
        <v>2745</v>
      </c>
      <c r="D1051" s="912" t="s">
        <v>1679</v>
      </c>
      <c r="E1051" s="930">
        <v>1750</v>
      </c>
      <c r="F1051" s="926" t="s">
        <v>2951</v>
      </c>
      <c r="G1051" s="926" t="s">
        <v>2952</v>
      </c>
      <c r="H1051" s="926" t="s">
        <v>982</v>
      </c>
      <c r="I1051" s="912" t="s">
        <v>1412</v>
      </c>
      <c r="J1051" s="912" t="s">
        <v>2752</v>
      </c>
      <c r="K1051" s="940" t="s">
        <v>2748</v>
      </c>
      <c r="L1051" s="940" t="s">
        <v>2749</v>
      </c>
      <c r="M1051" s="930">
        <v>24350.52</v>
      </c>
      <c r="N1051" s="912"/>
      <c r="O1051" s="935"/>
      <c r="P1051" s="935"/>
    </row>
    <row r="1052" spans="1:16" x14ac:dyDescent="0.2">
      <c r="A1052" s="937" t="s">
        <v>2744</v>
      </c>
      <c r="B1052" s="912" t="s">
        <v>2950</v>
      </c>
      <c r="C1052" s="912" t="s">
        <v>2745</v>
      </c>
      <c r="D1052" s="912" t="s">
        <v>1537</v>
      </c>
      <c r="E1052" s="930">
        <v>1699</v>
      </c>
      <c r="F1052" s="926" t="s">
        <v>2953</v>
      </c>
      <c r="G1052" s="926" t="s">
        <v>2954</v>
      </c>
      <c r="H1052" s="926" t="s">
        <v>1784</v>
      </c>
      <c r="I1052" s="912" t="s">
        <v>1020</v>
      </c>
      <c r="J1052" s="912" t="s">
        <v>1020</v>
      </c>
      <c r="K1052" s="940" t="s">
        <v>2748</v>
      </c>
      <c r="L1052" s="940" t="s">
        <v>2749</v>
      </c>
      <c r="M1052" s="930">
        <v>23675.64</v>
      </c>
      <c r="N1052" s="912"/>
      <c r="O1052" s="935"/>
      <c r="P1052" s="935"/>
    </row>
    <row r="1053" spans="1:16" x14ac:dyDescent="0.2">
      <c r="A1053" s="937" t="s">
        <v>2744</v>
      </c>
      <c r="B1053" s="912" t="s">
        <v>2950</v>
      </c>
      <c r="C1053" s="912" t="s">
        <v>2745</v>
      </c>
      <c r="D1053" s="912" t="s">
        <v>1537</v>
      </c>
      <c r="E1053" s="930">
        <v>1699</v>
      </c>
      <c r="F1053" s="926" t="s">
        <v>2955</v>
      </c>
      <c r="G1053" s="926" t="s">
        <v>2956</v>
      </c>
      <c r="H1053" s="926" t="s">
        <v>1784</v>
      </c>
      <c r="I1053" s="912" t="s">
        <v>1020</v>
      </c>
      <c r="J1053" s="912" t="s">
        <v>1020</v>
      </c>
      <c r="K1053" s="940" t="s">
        <v>2748</v>
      </c>
      <c r="L1053" s="940" t="s">
        <v>2749</v>
      </c>
      <c r="M1053" s="930">
        <v>23167.64</v>
      </c>
      <c r="N1053" s="912"/>
      <c r="O1053" s="935"/>
      <c r="P1053" s="935"/>
    </row>
    <row r="1054" spans="1:16" x14ac:dyDescent="0.2">
      <c r="A1054" s="937" t="s">
        <v>2744</v>
      </c>
      <c r="B1054" s="912" t="s">
        <v>2950</v>
      </c>
      <c r="C1054" s="912" t="s">
        <v>2745</v>
      </c>
      <c r="D1054" s="912" t="s">
        <v>1537</v>
      </c>
      <c r="E1054" s="930">
        <v>1699</v>
      </c>
      <c r="F1054" s="926" t="s">
        <v>2957</v>
      </c>
      <c r="G1054" s="926" t="s">
        <v>2958</v>
      </c>
      <c r="H1054" s="926" t="s">
        <v>1784</v>
      </c>
      <c r="I1054" s="912" t="s">
        <v>1020</v>
      </c>
      <c r="J1054" s="912" t="s">
        <v>1020</v>
      </c>
      <c r="K1054" s="940" t="s">
        <v>2748</v>
      </c>
      <c r="L1054" s="940" t="s">
        <v>2749</v>
      </c>
      <c r="M1054" s="930">
        <v>23166.639999999999</v>
      </c>
      <c r="N1054" s="912"/>
      <c r="O1054" s="935"/>
      <c r="P1054" s="935"/>
    </row>
    <row r="1055" spans="1:16" x14ac:dyDescent="0.2">
      <c r="A1055" s="937" t="s">
        <v>2744</v>
      </c>
      <c r="B1055" s="912" t="s">
        <v>2950</v>
      </c>
      <c r="C1055" s="912" t="s">
        <v>2745</v>
      </c>
      <c r="D1055" s="912" t="s">
        <v>1537</v>
      </c>
      <c r="E1055" s="930">
        <v>1699</v>
      </c>
      <c r="F1055" s="926" t="s">
        <v>2959</v>
      </c>
      <c r="G1055" s="926" t="s">
        <v>2960</v>
      </c>
      <c r="H1055" s="926" t="s">
        <v>1784</v>
      </c>
      <c r="I1055" s="912" t="s">
        <v>1020</v>
      </c>
      <c r="J1055" s="912" t="s">
        <v>1020</v>
      </c>
      <c r="K1055" s="940" t="s">
        <v>2748</v>
      </c>
      <c r="L1055" s="940" t="s">
        <v>2749</v>
      </c>
      <c r="M1055" s="930">
        <v>23677.64</v>
      </c>
      <c r="N1055" s="912"/>
      <c r="O1055" s="935"/>
      <c r="P1055" s="935"/>
    </row>
    <row r="1056" spans="1:16" x14ac:dyDescent="0.2">
      <c r="A1056" s="937" t="s">
        <v>2744</v>
      </c>
      <c r="B1056" s="912" t="s">
        <v>2950</v>
      </c>
      <c r="C1056" s="912" t="s">
        <v>2745</v>
      </c>
      <c r="D1056" s="912" t="s">
        <v>1679</v>
      </c>
      <c r="E1056" s="930">
        <v>1750</v>
      </c>
      <c r="F1056" s="926" t="s">
        <v>2961</v>
      </c>
      <c r="G1056" s="926" t="s">
        <v>2962</v>
      </c>
      <c r="H1056" s="926" t="s">
        <v>982</v>
      </c>
      <c r="I1056" s="912" t="s">
        <v>1412</v>
      </c>
      <c r="J1056" s="912" t="s">
        <v>2752</v>
      </c>
      <c r="K1056" s="940" t="s">
        <v>2748</v>
      </c>
      <c r="L1056" s="940" t="s">
        <v>2749</v>
      </c>
      <c r="M1056" s="930">
        <v>24350.38</v>
      </c>
      <c r="N1056" s="912"/>
      <c r="O1056" s="935"/>
      <c r="P1056" s="935"/>
    </row>
    <row r="1057" spans="1:16" x14ac:dyDescent="0.2">
      <c r="A1057" s="937" t="s">
        <v>2744</v>
      </c>
      <c r="B1057" s="912" t="s">
        <v>2950</v>
      </c>
      <c r="C1057" s="912" t="s">
        <v>2745</v>
      </c>
      <c r="D1057" s="912" t="s">
        <v>1679</v>
      </c>
      <c r="E1057" s="930">
        <v>1750</v>
      </c>
      <c r="F1057" s="926" t="s">
        <v>2963</v>
      </c>
      <c r="G1057" s="926" t="s">
        <v>2964</v>
      </c>
      <c r="H1057" s="926" t="s">
        <v>982</v>
      </c>
      <c r="I1057" s="912" t="s">
        <v>1412</v>
      </c>
      <c r="J1057" s="912" t="s">
        <v>2752</v>
      </c>
      <c r="K1057" s="940" t="s">
        <v>2748</v>
      </c>
      <c r="L1057" s="940" t="s">
        <v>2749</v>
      </c>
      <c r="M1057" s="930">
        <v>24350.080000000002</v>
      </c>
      <c r="N1057" s="912"/>
      <c r="O1057" s="935"/>
      <c r="P1057" s="935"/>
    </row>
    <row r="1058" spans="1:16" x14ac:dyDescent="0.2">
      <c r="A1058" s="937" t="s">
        <v>2744</v>
      </c>
      <c r="B1058" s="912" t="s">
        <v>2950</v>
      </c>
      <c r="C1058" s="912" t="s">
        <v>2745</v>
      </c>
      <c r="D1058" s="912" t="s">
        <v>1537</v>
      </c>
      <c r="E1058" s="930">
        <v>1724</v>
      </c>
      <c r="F1058" s="926" t="s">
        <v>2965</v>
      </c>
      <c r="G1058" s="926" t="s">
        <v>2966</v>
      </c>
      <c r="H1058" s="926" t="s">
        <v>1028</v>
      </c>
      <c r="I1058" s="912" t="s">
        <v>1412</v>
      </c>
      <c r="J1058" s="912" t="s">
        <v>2752</v>
      </c>
      <c r="K1058" s="940" t="s">
        <v>2748</v>
      </c>
      <c r="L1058" s="940" t="s">
        <v>2749</v>
      </c>
      <c r="M1058" s="930">
        <v>24006.48</v>
      </c>
      <c r="N1058" s="912"/>
      <c r="O1058" s="935"/>
      <c r="P1058" s="935"/>
    </row>
    <row r="1059" spans="1:16" x14ac:dyDescent="0.2">
      <c r="A1059" s="937" t="s">
        <v>2744</v>
      </c>
      <c r="B1059" s="912" t="s">
        <v>2950</v>
      </c>
      <c r="C1059" s="912" t="s">
        <v>2745</v>
      </c>
      <c r="D1059" s="912" t="s">
        <v>1679</v>
      </c>
      <c r="E1059" s="930">
        <v>1750</v>
      </c>
      <c r="F1059" s="926" t="s">
        <v>2967</v>
      </c>
      <c r="G1059" s="926" t="s">
        <v>2968</v>
      </c>
      <c r="H1059" s="926" t="s">
        <v>958</v>
      </c>
      <c r="I1059" s="912" t="s">
        <v>1494</v>
      </c>
      <c r="J1059" s="912" t="s">
        <v>2969</v>
      </c>
      <c r="K1059" s="940" t="s">
        <v>2748</v>
      </c>
      <c r="L1059" s="940" t="s">
        <v>2749</v>
      </c>
      <c r="M1059" s="930">
        <v>24350.52</v>
      </c>
      <c r="N1059" s="912"/>
      <c r="O1059" s="935"/>
      <c r="P1059" s="935"/>
    </row>
    <row r="1060" spans="1:16" x14ac:dyDescent="0.2">
      <c r="A1060" s="937" t="s">
        <v>2744</v>
      </c>
      <c r="B1060" s="912" t="s">
        <v>2950</v>
      </c>
      <c r="C1060" s="912" t="s">
        <v>2745</v>
      </c>
      <c r="D1060" s="912" t="s">
        <v>1679</v>
      </c>
      <c r="E1060" s="930">
        <v>1750</v>
      </c>
      <c r="F1060" s="926" t="s">
        <v>2970</v>
      </c>
      <c r="G1060" s="926" t="s">
        <v>2971</v>
      </c>
      <c r="H1060" s="926" t="s">
        <v>982</v>
      </c>
      <c r="I1060" s="912" t="s">
        <v>1412</v>
      </c>
      <c r="J1060" s="912" t="s">
        <v>2752</v>
      </c>
      <c r="K1060" s="940" t="s">
        <v>2748</v>
      </c>
      <c r="L1060" s="940" t="s">
        <v>2749</v>
      </c>
      <c r="M1060" s="930">
        <v>24350.52</v>
      </c>
      <c r="N1060" s="912"/>
      <c r="O1060" s="935"/>
      <c r="P1060" s="935"/>
    </row>
    <row r="1061" spans="1:16" x14ac:dyDescent="0.2">
      <c r="A1061" s="912"/>
      <c r="B1061" s="912"/>
      <c r="C1061" s="912"/>
      <c r="D1061" s="912"/>
      <c r="E1061" s="912"/>
      <c r="F1061" s="926"/>
      <c r="G1061" s="926"/>
      <c r="H1061" s="926"/>
      <c r="I1061" s="912"/>
      <c r="J1061" s="912"/>
      <c r="K1061" s="935"/>
      <c r="L1061" s="935"/>
      <c r="M1061" s="943">
        <f>SUM(M1051:M1060)</f>
        <v>239446.05999999997</v>
      </c>
      <c r="N1061" s="912"/>
      <c r="O1061" s="935"/>
      <c r="P1061" s="935"/>
    </row>
    <row r="1062" spans="1:16" x14ac:dyDescent="0.2">
      <c r="A1062" s="912"/>
      <c r="B1062" s="912"/>
      <c r="C1062" s="912"/>
      <c r="D1062" s="912"/>
      <c r="E1062" s="912"/>
      <c r="F1062" s="926"/>
      <c r="G1062" s="926"/>
      <c r="H1062" s="926"/>
      <c r="I1062" s="912"/>
      <c r="J1062" s="912"/>
      <c r="K1062" s="935"/>
      <c r="L1062" s="935"/>
      <c r="M1062" s="930"/>
      <c r="N1062" s="935"/>
      <c r="O1062" s="935"/>
      <c r="P1062" s="935"/>
    </row>
    <row r="1063" spans="1:16" x14ac:dyDescent="0.2">
      <c r="A1063" s="937" t="s">
        <v>2744</v>
      </c>
      <c r="B1063" s="912" t="s">
        <v>2972</v>
      </c>
      <c r="C1063" s="912" t="s">
        <v>2973</v>
      </c>
      <c r="D1063" s="912" t="s">
        <v>1537</v>
      </c>
      <c r="E1063" s="930">
        <v>2120</v>
      </c>
      <c r="F1063" s="926" t="s">
        <v>2974</v>
      </c>
      <c r="G1063" s="926" t="s">
        <v>2975</v>
      </c>
      <c r="H1063" s="926" t="s">
        <v>1784</v>
      </c>
      <c r="I1063" s="912" t="s">
        <v>1020</v>
      </c>
      <c r="J1063" s="912" t="s">
        <v>1020</v>
      </c>
      <c r="K1063" s="940" t="s">
        <v>2976</v>
      </c>
      <c r="L1063" s="940" t="s">
        <v>2977</v>
      </c>
      <c r="M1063" s="941">
        <v>28284.86</v>
      </c>
      <c r="N1063" s="942"/>
      <c r="O1063" s="942"/>
      <c r="P1063" s="935"/>
    </row>
    <row r="1064" spans="1:16" x14ac:dyDescent="0.2">
      <c r="A1064" s="937" t="s">
        <v>2744</v>
      </c>
      <c r="B1064" s="912" t="s">
        <v>2972</v>
      </c>
      <c r="C1064" s="912" t="s">
        <v>2973</v>
      </c>
      <c r="D1064" s="912" t="s">
        <v>1537</v>
      </c>
      <c r="E1064" s="930">
        <v>2120</v>
      </c>
      <c r="F1064" s="926" t="s">
        <v>2978</v>
      </c>
      <c r="G1064" s="926" t="s">
        <v>2979</v>
      </c>
      <c r="H1064" s="926" t="s">
        <v>1784</v>
      </c>
      <c r="I1064" s="912" t="s">
        <v>1020</v>
      </c>
      <c r="J1064" s="912" t="s">
        <v>1020</v>
      </c>
      <c r="K1064" s="940" t="s">
        <v>2976</v>
      </c>
      <c r="L1064" s="940" t="s">
        <v>2977</v>
      </c>
      <c r="M1064" s="941">
        <v>28284.86</v>
      </c>
      <c r="N1064" s="942"/>
      <c r="O1064" s="942"/>
      <c r="P1064" s="935"/>
    </row>
    <row r="1065" spans="1:16" x14ac:dyDescent="0.2">
      <c r="A1065" s="937" t="s">
        <v>2744</v>
      </c>
      <c r="B1065" s="912" t="s">
        <v>2972</v>
      </c>
      <c r="C1065" s="912" t="s">
        <v>2973</v>
      </c>
      <c r="D1065" s="912" t="s">
        <v>1537</v>
      </c>
      <c r="E1065" s="930">
        <v>2120</v>
      </c>
      <c r="F1065" s="926" t="s">
        <v>2980</v>
      </c>
      <c r="G1065" s="926" t="s">
        <v>2981</v>
      </c>
      <c r="H1065" s="926" t="s">
        <v>1784</v>
      </c>
      <c r="I1065" s="912" t="s">
        <v>1020</v>
      </c>
      <c r="J1065" s="912" t="s">
        <v>1020</v>
      </c>
      <c r="K1065" s="940" t="s">
        <v>2976</v>
      </c>
      <c r="L1065" s="940" t="s">
        <v>2977</v>
      </c>
      <c r="M1065" s="941">
        <v>28284.86</v>
      </c>
      <c r="N1065" s="942"/>
      <c r="O1065" s="942"/>
      <c r="P1065" s="935"/>
    </row>
    <row r="1066" spans="1:16" x14ac:dyDescent="0.2">
      <c r="A1066" s="937" t="s">
        <v>2744</v>
      </c>
      <c r="B1066" s="912" t="s">
        <v>2972</v>
      </c>
      <c r="C1066" s="912" t="s">
        <v>2973</v>
      </c>
      <c r="D1066" s="912" t="s">
        <v>1537</v>
      </c>
      <c r="E1066" s="930">
        <v>2120</v>
      </c>
      <c r="F1066" s="926" t="s">
        <v>2982</v>
      </c>
      <c r="G1066" s="926" t="s">
        <v>2983</v>
      </c>
      <c r="H1066" s="926" t="s">
        <v>2446</v>
      </c>
      <c r="I1066" s="912" t="s">
        <v>1020</v>
      </c>
      <c r="J1066" s="912" t="s">
        <v>1020</v>
      </c>
      <c r="K1066" s="940" t="s">
        <v>2976</v>
      </c>
      <c r="L1066" s="940" t="s">
        <v>2977</v>
      </c>
      <c r="M1066" s="941">
        <v>28284.86</v>
      </c>
      <c r="N1066" s="942"/>
      <c r="O1066" s="942"/>
      <c r="P1066" s="935"/>
    </row>
    <row r="1067" spans="1:16" x14ac:dyDescent="0.2">
      <c r="A1067" s="937" t="s">
        <v>2744</v>
      </c>
      <c r="B1067" s="912" t="s">
        <v>2972</v>
      </c>
      <c r="C1067" s="912" t="s">
        <v>2973</v>
      </c>
      <c r="D1067" s="912" t="s">
        <v>1537</v>
      </c>
      <c r="E1067" s="930">
        <v>2120</v>
      </c>
      <c r="F1067" s="926" t="s">
        <v>2984</v>
      </c>
      <c r="G1067" s="926" t="s">
        <v>2985</v>
      </c>
      <c r="H1067" s="926" t="s">
        <v>1784</v>
      </c>
      <c r="I1067" s="912" t="s">
        <v>1020</v>
      </c>
      <c r="J1067" s="912" t="s">
        <v>1020</v>
      </c>
      <c r="K1067" s="940" t="s">
        <v>2976</v>
      </c>
      <c r="L1067" s="940" t="s">
        <v>2977</v>
      </c>
      <c r="M1067" s="941">
        <v>28284.86</v>
      </c>
      <c r="N1067" s="942"/>
      <c r="O1067" s="942"/>
      <c r="P1067" s="935"/>
    </row>
    <row r="1068" spans="1:16" x14ac:dyDescent="0.2">
      <c r="A1068" s="937" t="s">
        <v>2744</v>
      </c>
      <c r="B1068" s="912" t="s">
        <v>2972</v>
      </c>
      <c r="C1068" s="912" t="s">
        <v>2973</v>
      </c>
      <c r="D1068" s="912" t="s">
        <v>1537</v>
      </c>
      <c r="E1068" s="930">
        <v>2120</v>
      </c>
      <c r="F1068" s="926" t="s">
        <v>2986</v>
      </c>
      <c r="G1068" s="926" t="s">
        <v>2987</v>
      </c>
      <c r="H1068" s="926" t="s">
        <v>1784</v>
      </c>
      <c r="I1068" s="912" t="s">
        <v>1020</v>
      </c>
      <c r="J1068" s="912" t="s">
        <v>1020</v>
      </c>
      <c r="K1068" s="940" t="s">
        <v>2976</v>
      </c>
      <c r="L1068" s="940" t="s">
        <v>2977</v>
      </c>
      <c r="M1068" s="941">
        <v>28284.86</v>
      </c>
      <c r="N1068" s="942"/>
      <c r="O1068" s="942"/>
      <c r="P1068" s="935"/>
    </row>
    <row r="1069" spans="1:16" x14ac:dyDescent="0.2">
      <c r="A1069" s="937" t="s">
        <v>2744</v>
      </c>
      <c r="B1069" s="912" t="s">
        <v>2972</v>
      </c>
      <c r="C1069" s="912" t="s">
        <v>2973</v>
      </c>
      <c r="D1069" s="912" t="s">
        <v>1537</v>
      </c>
      <c r="E1069" s="930">
        <v>2120</v>
      </c>
      <c r="F1069" s="926" t="s">
        <v>2988</v>
      </c>
      <c r="G1069" s="926" t="s">
        <v>2989</v>
      </c>
      <c r="H1069" s="926" t="s">
        <v>1784</v>
      </c>
      <c r="I1069" s="912" t="s">
        <v>1020</v>
      </c>
      <c r="J1069" s="912" t="s">
        <v>1020</v>
      </c>
      <c r="K1069" s="940" t="s">
        <v>2976</v>
      </c>
      <c r="L1069" s="940" t="s">
        <v>2977</v>
      </c>
      <c r="M1069" s="941">
        <v>28284.86</v>
      </c>
      <c r="N1069" s="942"/>
      <c r="O1069" s="942"/>
      <c r="P1069" s="935"/>
    </row>
    <row r="1070" spans="1:16" x14ac:dyDescent="0.2">
      <c r="A1070" s="937" t="s">
        <v>2744</v>
      </c>
      <c r="B1070" s="912" t="s">
        <v>2972</v>
      </c>
      <c r="C1070" s="912" t="s">
        <v>2973</v>
      </c>
      <c r="D1070" s="912" t="s">
        <v>1537</v>
      </c>
      <c r="E1070" s="930">
        <v>2120</v>
      </c>
      <c r="F1070" s="926" t="s">
        <v>2990</v>
      </c>
      <c r="G1070" s="926" t="s">
        <v>2991</v>
      </c>
      <c r="H1070" s="926" t="s">
        <v>1784</v>
      </c>
      <c r="I1070" s="912" t="s">
        <v>1020</v>
      </c>
      <c r="J1070" s="912" t="s">
        <v>1020</v>
      </c>
      <c r="K1070" s="940" t="s">
        <v>2976</v>
      </c>
      <c r="L1070" s="940" t="s">
        <v>2977</v>
      </c>
      <c r="M1070" s="941">
        <v>28284.86</v>
      </c>
      <c r="N1070" s="942"/>
      <c r="O1070" s="942"/>
      <c r="P1070" s="935"/>
    </row>
    <row r="1071" spans="1:16" x14ac:dyDescent="0.2">
      <c r="A1071" s="937" t="s">
        <v>2744</v>
      </c>
      <c r="B1071" s="912" t="s">
        <v>2972</v>
      </c>
      <c r="C1071" s="912" t="s">
        <v>2973</v>
      </c>
      <c r="D1071" s="912" t="s">
        <v>1537</v>
      </c>
      <c r="E1071" s="930">
        <v>2120</v>
      </c>
      <c r="F1071" s="926" t="s">
        <v>2992</v>
      </c>
      <c r="G1071" s="926" t="s">
        <v>2993</v>
      </c>
      <c r="H1071" s="926" t="s">
        <v>1784</v>
      </c>
      <c r="I1071" s="912" t="s">
        <v>1020</v>
      </c>
      <c r="J1071" s="912" t="s">
        <v>1020</v>
      </c>
      <c r="K1071" s="940" t="s">
        <v>2976</v>
      </c>
      <c r="L1071" s="940" t="s">
        <v>2977</v>
      </c>
      <c r="M1071" s="941">
        <v>28284.86</v>
      </c>
      <c r="N1071" s="942"/>
      <c r="O1071" s="942"/>
      <c r="P1071" s="935"/>
    </row>
    <row r="1072" spans="1:16" x14ac:dyDescent="0.2">
      <c r="A1072" s="937" t="s">
        <v>2744</v>
      </c>
      <c r="B1072" s="912" t="s">
        <v>2972</v>
      </c>
      <c r="C1072" s="912" t="s">
        <v>2973</v>
      </c>
      <c r="D1072" s="912" t="s">
        <v>1537</v>
      </c>
      <c r="E1072" s="930">
        <v>2120</v>
      </c>
      <c r="F1072" s="926" t="s">
        <v>2994</v>
      </c>
      <c r="G1072" s="926" t="s">
        <v>2995</v>
      </c>
      <c r="H1072" s="926" t="s">
        <v>1784</v>
      </c>
      <c r="I1072" s="912" t="s">
        <v>1020</v>
      </c>
      <c r="J1072" s="912" t="s">
        <v>1020</v>
      </c>
      <c r="K1072" s="940" t="s">
        <v>2976</v>
      </c>
      <c r="L1072" s="940" t="s">
        <v>2977</v>
      </c>
      <c r="M1072" s="941">
        <v>28284.86</v>
      </c>
      <c r="N1072" s="942"/>
      <c r="O1072" s="942"/>
      <c r="P1072" s="935"/>
    </row>
    <row r="1073" spans="1:16" x14ac:dyDescent="0.2">
      <c r="A1073" s="937" t="s">
        <v>2744</v>
      </c>
      <c r="B1073" s="912" t="s">
        <v>2972</v>
      </c>
      <c r="C1073" s="912" t="s">
        <v>2973</v>
      </c>
      <c r="D1073" s="912" t="s">
        <v>1537</v>
      </c>
      <c r="E1073" s="930">
        <v>2120</v>
      </c>
      <c r="F1073" s="926" t="s">
        <v>2996</v>
      </c>
      <c r="G1073" s="926" t="s">
        <v>2997</v>
      </c>
      <c r="H1073" s="926" t="s">
        <v>1784</v>
      </c>
      <c r="I1073" s="912" t="s">
        <v>1020</v>
      </c>
      <c r="J1073" s="912" t="s">
        <v>1020</v>
      </c>
      <c r="K1073" s="940" t="s">
        <v>2976</v>
      </c>
      <c r="L1073" s="940" t="s">
        <v>2977</v>
      </c>
      <c r="M1073" s="941">
        <v>28284.86</v>
      </c>
      <c r="N1073" s="942"/>
      <c r="O1073" s="942"/>
      <c r="P1073" s="935"/>
    </row>
    <row r="1074" spans="1:16" x14ac:dyDescent="0.2">
      <c r="A1074" s="937" t="s">
        <v>2744</v>
      </c>
      <c r="B1074" s="912" t="s">
        <v>2972</v>
      </c>
      <c r="C1074" s="912" t="s">
        <v>2973</v>
      </c>
      <c r="D1074" s="912" t="s">
        <v>1537</v>
      </c>
      <c r="E1074" s="930">
        <v>2120</v>
      </c>
      <c r="F1074" s="926" t="s">
        <v>2998</v>
      </c>
      <c r="G1074" s="926" t="s">
        <v>2999</v>
      </c>
      <c r="H1074" s="926" t="s">
        <v>1784</v>
      </c>
      <c r="I1074" s="912" t="s">
        <v>1020</v>
      </c>
      <c r="J1074" s="912" t="s">
        <v>1020</v>
      </c>
      <c r="K1074" s="940" t="s">
        <v>2976</v>
      </c>
      <c r="L1074" s="940" t="s">
        <v>2977</v>
      </c>
      <c r="M1074" s="941">
        <v>28284.86</v>
      </c>
      <c r="N1074" s="942"/>
      <c r="O1074" s="942"/>
      <c r="P1074" s="935"/>
    </row>
    <row r="1075" spans="1:16" x14ac:dyDescent="0.2">
      <c r="A1075" s="937" t="s">
        <v>2744</v>
      </c>
      <c r="B1075" s="912" t="s">
        <v>2972</v>
      </c>
      <c r="C1075" s="912" t="s">
        <v>2973</v>
      </c>
      <c r="D1075" s="912" t="s">
        <v>1537</v>
      </c>
      <c r="E1075" s="930">
        <v>2120</v>
      </c>
      <c r="F1075" s="926" t="s">
        <v>3000</v>
      </c>
      <c r="G1075" s="926" t="s">
        <v>3001</v>
      </c>
      <c r="H1075" s="926" t="s">
        <v>1784</v>
      </c>
      <c r="I1075" s="912" t="s">
        <v>1020</v>
      </c>
      <c r="J1075" s="912" t="s">
        <v>1020</v>
      </c>
      <c r="K1075" s="940" t="s">
        <v>2976</v>
      </c>
      <c r="L1075" s="940" t="s">
        <v>2977</v>
      </c>
      <c r="M1075" s="941">
        <v>28284.86</v>
      </c>
      <c r="N1075" s="942"/>
      <c r="O1075" s="942"/>
      <c r="P1075" s="935"/>
    </row>
    <row r="1076" spans="1:16" x14ac:dyDescent="0.2">
      <c r="A1076" s="937" t="s">
        <v>2744</v>
      </c>
      <c r="B1076" s="912" t="s">
        <v>2972</v>
      </c>
      <c r="C1076" s="912" t="s">
        <v>2973</v>
      </c>
      <c r="D1076" s="912" t="s">
        <v>1537</v>
      </c>
      <c r="E1076" s="930">
        <v>2120</v>
      </c>
      <c r="F1076" s="926" t="s">
        <v>3002</v>
      </c>
      <c r="G1076" s="926" t="s">
        <v>3003</v>
      </c>
      <c r="H1076" s="926" t="s">
        <v>1784</v>
      </c>
      <c r="I1076" s="912" t="s">
        <v>1020</v>
      </c>
      <c r="J1076" s="912" t="s">
        <v>1020</v>
      </c>
      <c r="K1076" s="940" t="s">
        <v>2976</v>
      </c>
      <c r="L1076" s="940" t="s">
        <v>2977</v>
      </c>
      <c r="M1076" s="941">
        <v>28284.86</v>
      </c>
      <c r="N1076" s="942"/>
      <c r="O1076" s="942"/>
      <c r="P1076" s="935"/>
    </row>
    <row r="1077" spans="1:16" x14ac:dyDescent="0.2">
      <c r="A1077" s="937" t="s">
        <v>2744</v>
      </c>
      <c r="B1077" s="912" t="s">
        <v>2972</v>
      </c>
      <c r="C1077" s="912" t="s">
        <v>2973</v>
      </c>
      <c r="D1077" s="912" t="s">
        <v>1537</v>
      </c>
      <c r="E1077" s="930">
        <v>2120</v>
      </c>
      <c r="F1077" s="926" t="s">
        <v>3004</v>
      </c>
      <c r="G1077" s="926" t="s">
        <v>3005</v>
      </c>
      <c r="H1077" s="926" t="s">
        <v>1784</v>
      </c>
      <c r="I1077" s="912" t="s">
        <v>1020</v>
      </c>
      <c r="J1077" s="912" t="s">
        <v>1020</v>
      </c>
      <c r="K1077" s="940" t="s">
        <v>2976</v>
      </c>
      <c r="L1077" s="940" t="s">
        <v>2977</v>
      </c>
      <c r="M1077" s="941">
        <v>28284.86</v>
      </c>
      <c r="N1077" s="942"/>
      <c r="O1077" s="942"/>
      <c r="P1077" s="935"/>
    </row>
    <row r="1078" spans="1:16" x14ac:dyDescent="0.2">
      <c r="A1078" s="937" t="s">
        <v>2744</v>
      </c>
      <c r="B1078" s="912" t="s">
        <v>2972</v>
      </c>
      <c r="C1078" s="912" t="s">
        <v>2973</v>
      </c>
      <c r="D1078" s="912" t="s">
        <v>1537</v>
      </c>
      <c r="E1078" s="930">
        <v>3000</v>
      </c>
      <c r="F1078" s="926" t="s">
        <v>3006</v>
      </c>
      <c r="G1078" s="926" t="s">
        <v>3007</v>
      </c>
      <c r="H1078" s="926" t="s">
        <v>1028</v>
      </c>
      <c r="I1078" s="912" t="s">
        <v>1412</v>
      </c>
      <c r="J1078" s="912" t="s">
        <v>2752</v>
      </c>
      <c r="K1078" s="940" t="s">
        <v>2976</v>
      </c>
      <c r="L1078" s="940" t="s">
        <v>2977</v>
      </c>
      <c r="M1078" s="941">
        <v>36303.050000000003</v>
      </c>
      <c r="N1078" s="942"/>
      <c r="O1078" s="942"/>
      <c r="P1078" s="935"/>
    </row>
    <row r="1079" spans="1:16" x14ac:dyDescent="0.2">
      <c r="A1079" s="937" t="s">
        <v>2744</v>
      </c>
      <c r="B1079" s="912" t="s">
        <v>2972</v>
      </c>
      <c r="C1079" s="912" t="s">
        <v>2973</v>
      </c>
      <c r="D1079" s="912" t="s">
        <v>1537</v>
      </c>
      <c r="E1079" s="930">
        <v>3000</v>
      </c>
      <c r="F1079" s="926" t="s">
        <v>3008</v>
      </c>
      <c r="G1079" s="926" t="s">
        <v>3009</v>
      </c>
      <c r="H1079" s="926" t="s">
        <v>1028</v>
      </c>
      <c r="I1079" s="912" t="s">
        <v>1412</v>
      </c>
      <c r="J1079" s="912" t="s">
        <v>2752</v>
      </c>
      <c r="K1079" s="940" t="s">
        <v>2976</v>
      </c>
      <c r="L1079" s="940" t="s">
        <v>2977</v>
      </c>
      <c r="M1079" s="941">
        <v>36303.050000000003</v>
      </c>
      <c r="N1079" s="942"/>
      <c r="O1079" s="942"/>
      <c r="P1079" s="935"/>
    </row>
    <row r="1080" spans="1:16" x14ac:dyDescent="0.2">
      <c r="A1080" s="937" t="s">
        <v>2744</v>
      </c>
      <c r="B1080" s="912" t="s">
        <v>2972</v>
      </c>
      <c r="C1080" s="912" t="s">
        <v>2973</v>
      </c>
      <c r="D1080" s="912" t="s">
        <v>1537</v>
      </c>
      <c r="E1080" s="930">
        <v>3000</v>
      </c>
      <c r="F1080" s="926" t="s">
        <v>3010</v>
      </c>
      <c r="G1080" s="926" t="s">
        <v>3011</v>
      </c>
      <c r="H1080" s="926" t="s">
        <v>1028</v>
      </c>
      <c r="I1080" s="912" t="s">
        <v>1412</v>
      </c>
      <c r="J1080" s="912" t="s">
        <v>2752</v>
      </c>
      <c r="K1080" s="940" t="s">
        <v>2976</v>
      </c>
      <c r="L1080" s="940" t="s">
        <v>2977</v>
      </c>
      <c r="M1080" s="941">
        <v>36303.050000000003</v>
      </c>
      <c r="N1080" s="942"/>
      <c r="O1080" s="942"/>
      <c r="P1080" s="935"/>
    </row>
    <row r="1081" spans="1:16" x14ac:dyDescent="0.2">
      <c r="A1081" s="937" t="s">
        <v>2744</v>
      </c>
      <c r="B1081" s="912" t="s">
        <v>2972</v>
      </c>
      <c r="C1081" s="912" t="s">
        <v>2973</v>
      </c>
      <c r="D1081" s="912" t="s">
        <v>1537</v>
      </c>
      <c r="E1081" s="930">
        <v>3000</v>
      </c>
      <c r="F1081" s="926" t="s">
        <v>3012</v>
      </c>
      <c r="G1081" s="926" t="s">
        <v>3013</v>
      </c>
      <c r="H1081" s="926" t="s">
        <v>1028</v>
      </c>
      <c r="I1081" s="912" t="s">
        <v>1412</v>
      </c>
      <c r="J1081" s="912" t="s">
        <v>2752</v>
      </c>
      <c r="K1081" s="940" t="s">
        <v>2976</v>
      </c>
      <c r="L1081" s="940" t="s">
        <v>2977</v>
      </c>
      <c r="M1081" s="941">
        <v>36303.050000000003</v>
      </c>
      <c r="N1081" s="942"/>
      <c r="O1081" s="942"/>
      <c r="P1081" s="935"/>
    </row>
    <row r="1082" spans="1:16" x14ac:dyDescent="0.2">
      <c r="A1082" s="937" t="s">
        <v>2744</v>
      </c>
      <c r="B1082" s="912" t="s">
        <v>2972</v>
      </c>
      <c r="C1082" s="912" t="s">
        <v>2973</v>
      </c>
      <c r="D1082" s="912" t="s">
        <v>1537</v>
      </c>
      <c r="E1082" s="930">
        <v>3000</v>
      </c>
      <c r="F1082" s="926" t="s">
        <v>3014</v>
      </c>
      <c r="G1082" s="926" t="s">
        <v>3015</v>
      </c>
      <c r="H1082" s="926" t="s">
        <v>1028</v>
      </c>
      <c r="I1082" s="912" t="s">
        <v>1412</v>
      </c>
      <c r="J1082" s="912" t="s">
        <v>2752</v>
      </c>
      <c r="K1082" s="940" t="s">
        <v>2976</v>
      </c>
      <c r="L1082" s="940" t="s">
        <v>2977</v>
      </c>
      <c r="M1082" s="941">
        <v>36303.050000000003</v>
      </c>
      <c r="N1082" s="942"/>
      <c r="O1082" s="942"/>
      <c r="P1082" s="935"/>
    </row>
    <row r="1083" spans="1:16" x14ac:dyDescent="0.2">
      <c r="A1083" s="937" t="s">
        <v>2744</v>
      </c>
      <c r="B1083" s="912" t="s">
        <v>2972</v>
      </c>
      <c r="C1083" s="912" t="s">
        <v>2973</v>
      </c>
      <c r="D1083" s="912" t="s">
        <v>1537</v>
      </c>
      <c r="E1083" s="930">
        <v>3000</v>
      </c>
      <c r="F1083" s="926" t="s">
        <v>3016</v>
      </c>
      <c r="G1083" s="926" t="s">
        <v>3017</v>
      </c>
      <c r="H1083" s="926" t="s">
        <v>1028</v>
      </c>
      <c r="I1083" s="912" t="s">
        <v>1412</v>
      </c>
      <c r="J1083" s="912" t="s">
        <v>2752</v>
      </c>
      <c r="K1083" s="940" t="s">
        <v>2976</v>
      </c>
      <c r="L1083" s="940" t="s">
        <v>2977</v>
      </c>
      <c r="M1083" s="941">
        <v>36303.050000000003</v>
      </c>
      <c r="N1083" s="942"/>
      <c r="O1083" s="942"/>
      <c r="P1083" s="935"/>
    </row>
    <row r="1084" spans="1:16" x14ac:dyDescent="0.2">
      <c r="A1084" s="937" t="s">
        <v>2744</v>
      </c>
      <c r="B1084" s="912" t="s">
        <v>2972</v>
      </c>
      <c r="C1084" s="912" t="s">
        <v>2973</v>
      </c>
      <c r="D1084" s="912" t="s">
        <v>1537</v>
      </c>
      <c r="E1084" s="930">
        <v>3000</v>
      </c>
      <c r="F1084" s="926" t="s">
        <v>3018</v>
      </c>
      <c r="G1084" s="926" t="s">
        <v>3019</v>
      </c>
      <c r="H1084" s="926" t="s">
        <v>1028</v>
      </c>
      <c r="I1084" s="912" t="s">
        <v>1412</v>
      </c>
      <c r="J1084" s="912" t="s">
        <v>2752</v>
      </c>
      <c r="K1084" s="940" t="s">
        <v>2976</v>
      </c>
      <c r="L1084" s="940" t="s">
        <v>2977</v>
      </c>
      <c r="M1084" s="941">
        <v>36303.050000000003</v>
      </c>
      <c r="N1084" s="942"/>
      <c r="O1084" s="942"/>
      <c r="P1084" s="935"/>
    </row>
    <row r="1085" spans="1:16" x14ac:dyDescent="0.2">
      <c r="A1085" s="937" t="s">
        <v>2744</v>
      </c>
      <c r="B1085" s="912" t="s">
        <v>2972</v>
      </c>
      <c r="C1085" s="912" t="s">
        <v>2973</v>
      </c>
      <c r="D1085" s="912" t="s">
        <v>1537</v>
      </c>
      <c r="E1085" s="930">
        <v>3000</v>
      </c>
      <c r="F1085" s="926" t="s">
        <v>3020</v>
      </c>
      <c r="G1085" s="926" t="s">
        <v>3021</v>
      </c>
      <c r="H1085" s="926" t="s">
        <v>1028</v>
      </c>
      <c r="I1085" s="912" t="s">
        <v>1412</v>
      </c>
      <c r="J1085" s="912" t="s">
        <v>2752</v>
      </c>
      <c r="K1085" s="940" t="s">
        <v>2976</v>
      </c>
      <c r="L1085" s="940" t="s">
        <v>2977</v>
      </c>
      <c r="M1085" s="941">
        <v>36303.050000000003</v>
      </c>
      <c r="N1085" s="942"/>
      <c r="O1085" s="942"/>
      <c r="P1085" s="935"/>
    </row>
    <row r="1086" spans="1:16" x14ac:dyDescent="0.2">
      <c r="A1086" s="937" t="s">
        <v>2744</v>
      </c>
      <c r="B1086" s="912" t="s">
        <v>2972</v>
      </c>
      <c r="C1086" s="912" t="s">
        <v>2973</v>
      </c>
      <c r="D1086" s="912" t="s">
        <v>1537</v>
      </c>
      <c r="E1086" s="930">
        <v>3000</v>
      </c>
      <c r="F1086" s="926" t="s">
        <v>3022</v>
      </c>
      <c r="G1086" s="926" t="s">
        <v>3023</v>
      </c>
      <c r="H1086" s="926" t="s">
        <v>1028</v>
      </c>
      <c r="I1086" s="912" t="s">
        <v>1412</v>
      </c>
      <c r="J1086" s="912" t="s">
        <v>2752</v>
      </c>
      <c r="K1086" s="940" t="s">
        <v>2976</v>
      </c>
      <c r="L1086" s="940" t="s">
        <v>2977</v>
      </c>
      <c r="M1086" s="941">
        <v>36303.050000000003</v>
      </c>
      <c r="N1086" s="942"/>
      <c r="O1086" s="942"/>
      <c r="P1086" s="935"/>
    </row>
    <row r="1087" spans="1:16" x14ac:dyDescent="0.2">
      <c r="A1087" s="937" t="s">
        <v>2744</v>
      </c>
      <c r="B1087" s="912" t="s">
        <v>2972</v>
      </c>
      <c r="C1087" s="912" t="s">
        <v>2973</v>
      </c>
      <c r="D1087" s="912" t="s">
        <v>1537</v>
      </c>
      <c r="E1087" s="930">
        <v>3000</v>
      </c>
      <c r="F1087" s="926" t="s">
        <v>3024</v>
      </c>
      <c r="G1087" s="926" t="s">
        <v>3025</v>
      </c>
      <c r="H1087" s="926" t="s">
        <v>1028</v>
      </c>
      <c r="I1087" s="912" t="s">
        <v>1412</v>
      </c>
      <c r="J1087" s="912" t="s">
        <v>2752</v>
      </c>
      <c r="K1087" s="940" t="s">
        <v>2976</v>
      </c>
      <c r="L1087" s="940" t="s">
        <v>2977</v>
      </c>
      <c r="M1087" s="941">
        <v>36303.050000000003</v>
      </c>
      <c r="N1087" s="942"/>
      <c r="O1087" s="942"/>
      <c r="P1087" s="935"/>
    </row>
    <row r="1088" spans="1:16" x14ac:dyDescent="0.2">
      <c r="A1088" s="937" t="s">
        <v>2744</v>
      </c>
      <c r="B1088" s="912" t="s">
        <v>2972</v>
      </c>
      <c r="C1088" s="912" t="s">
        <v>2973</v>
      </c>
      <c r="D1088" s="912" t="s">
        <v>1537</v>
      </c>
      <c r="E1088" s="930">
        <v>3000</v>
      </c>
      <c r="F1088" s="926" t="s">
        <v>3026</v>
      </c>
      <c r="G1088" s="926" t="s">
        <v>3027</v>
      </c>
      <c r="H1088" s="926" t="s">
        <v>1028</v>
      </c>
      <c r="I1088" s="912" t="s">
        <v>1412</v>
      </c>
      <c r="J1088" s="912" t="s">
        <v>2752</v>
      </c>
      <c r="K1088" s="940" t="s">
        <v>2976</v>
      </c>
      <c r="L1088" s="940" t="s">
        <v>2977</v>
      </c>
      <c r="M1088" s="941">
        <v>36303.050000000003</v>
      </c>
      <c r="N1088" s="942"/>
      <c r="O1088" s="942"/>
      <c r="P1088" s="935"/>
    </row>
    <row r="1089" spans="1:16" x14ac:dyDescent="0.2">
      <c r="A1089" s="937" t="s">
        <v>2744</v>
      </c>
      <c r="B1089" s="912" t="s">
        <v>2972</v>
      </c>
      <c r="C1089" s="912" t="s">
        <v>2973</v>
      </c>
      <c r="D1089" s="912" t="s">
        <v>1537</v>
      </c>
      <c r="E1089" s="930">
        <v>3000</v>
      </c>
      <c r="F1089" s="926" t="s">
        <v>3028</v>
      </c>
      <c r="G1089" s="926" t="s">
        <v>3029</v>
      </c>
      <c r="H1089" s="926" t="s">
        <v>1028</v>
      </c>
      <c r="I1089" s="912" t="s">
        <v>1412</v>
      </c>
      <c r="J1089" s="912" t="s">
        <v>2752</v>
      </c>
      <c r="K1089" s="940" t="s">
        <v>2976</v>
      </c>
      <c r="L1089" s="940" t="s">
        <v>2977</v>
      </c>
      <c r="M1089" s="941">
        <v>36303.050000000003</v>
      </c>
      <c r="N1089" s="942"/>
      <c r="O1089" s="942"/>
      <c r="P1089" s="935"/>
    </row>
    <row r="1090" spans="1:16" x14ac:dyDescent="0.2">
      <c r="A1090" s="937" t="s">
        <v>2744</v>
      </c>
      <c r="B1090" s="912" t="s">
        <v>2972</v>
      </c>
      <c r="C1090" s="912" t="s">
        <v>2973</v>
      </c>
      <c r="D1090" s="912" t="s">
        <v>1537</v>
      </c>
      <c r="E1090" s="930">
        <v>3000</v>
      </c>
      <c r="F1090" s="926" t="s">
        <v>3030</v>
      </c>
      <c r="G1090" s="926" t="s">
        <v>3031</v>
      </c>
      <c r="H1090" s="926" t="s">
        <v>3032</v>
      </c>
      <c r="I1090" s="912" t="s">
        <v>1412</v>
      </c>
      <c r="J1090" s="912" t="s">
        <v>2752</v>
      </c>
      <c r="K1090" s="940" t="s">
        <v>2976</v>
      </c>
      <c r="L1090" s="940" t="s">
        <v>2977</v>
      </c>
      <c r="M1090" s="941">
        <v>36303.050000000003</v>
      </c>
      <c r="N1090" s="942"/>
      <c r="O1090" s="942"/>
      <c r="P1090" s="935"/>
    </row>
    <row r="1091" spans="1:16" x14ac:dyDescent="0.2">
      <c r="A1091" s="937" t="s">
        <v>2744</v>
      </c>
      <c r="B1091" s="912" t="s">
        <v>2972</v>
      </c>
      <c r="C1091" s="912" t="s">
        <v>2973</v>
      </c>
      <c r="D1091" s="912" t="s">
        <v>1537</v>
      </c>
      <c r="E1091" s="930">
        <v>3000</v>
      </c>
      <c r="F1091" s="926" t="s">
        <v>3033</v>
      </c>
      <c r="G1091" s="926" t="s">
        <v>3034</v>
      </c>
      <c r="H1091" s="926" t="s">
        <v>1028</v>
      </c>
      <c r="I1091" s="912" t="s">
        <v>1412</v>
      </c>
      <c r="J1091" s="912" t="s">
        <v>2752</v>
      </c>
      <c r="K1091" s="940" t="s">
        <v>2976</v>
      </c>
      <c r="L1091" s="940" t="s">
        <v>2977</v>
      </c>
      <c r="M1091" s="941">
        <v>36303.050000000003</v>
      </c>
      <c r="N1091" s="942"/>
      <c r="O1091" s="942"/>
      <c r="P1091" s="935"/>
    </row>
    <row r="1092" spans="1:16" x14ac:dyDescent="0.2">
      <c r="A1092" s="937" t="s">
        <v>2744</v>
      </c>
      <c r="B1092" s="912" t="s">
        <v>2972</v>
      </c>
      <c r="C1092" s="912" t="s">
        <v>2973</v>
      </c>
      <c r="D1092" s="912" t="s">
        <v>1537</v>
      </c>
      <c r="E1092" s="930">
        <v>3500</v>
      </c>
      <c r="F1092" s="926" t="s">
        <v>3035</v>
      </c>
      <c r="G1092" s="926" t="s">
        <v>3036</v>
      </c>
      <c r="H1092" s="926" t="s">
        <v>1246</v>
      </c>
      <c r="I1092" s="912" t="s">
        <v>1412</v>
      </c>
      <c r="J1092" s="912" t="s">
        <v>2752</v>
      </c>
      <c r="K1092" s="940" t="s">
        <v>2976</v>
      </c>
      <c r="L1092" s="940" t="s">
        <v>2977</v>
      </c>
      <c r="M1092" s="941">
        <v>40858.85</v>
      </c>
      <c r="N1092" s="942"/>
      <c r="O1092" s="942"/>
      <c r="P1092" s="935"/>
    </row>
    <row r="1093" spans="1:16" x14ac:dyDescent="0.2">
      <c r="A1093" s="937" t="s">
        <v>2744</v>
      </c>
      <c r="B1093" s="912" t="s">
        <v>2972</v>
      </c>
      <c r="C1093" s="912" t="s">
        <v>2973</v>
      </c>
      <c r="D1093" s="912" t="s">
        <v>1537</v>
      </c>
      <c r="E1093" s="930">
        <v>3500</v>
      </c>
      <c r="F1093" s="926" t="s">
        <v>3037</v>
      </c>
      <c r="G1093" s="926" t="s">
        <v>3038</v>
      </c>
      <c r="H1093" s="926" t="s">
        <v>1246</v>
      </c>
      <c r="I1093" s="912" t="s">
        <v>1412</v>
      </c>
      <c r="J1093" s="912" t="s">
        <v>2752</v>
      </c>
      <c r="K1093" s="940" t="s">
        <v>2976</v>
      </c>
      <c r="L1093" s="940" t="s">
        <v>2977</v>
      </c>
      <c r="M1093" s="941">
        <v>40858.85</v>
      </c>
      <c r="N1093" s="942"/>
      <c r="O1093" s="942"/>
      <c r="P1093" s="935"/>
    </row>
    <row r="1094" spans="1:16" x14ac:dyDescent="0.2">
      <c r="A1094" s="937" t="s">
        <v>2744</v>
      </c>
      <c r="B1094" s="912" t="s">
        <v>2972</v>
      </c>
      <c r="C1094" s="912" t="s">
        <v>2973</v>
      </c>
      <c r="D1094" s="912" t="s">
        <v>1537</v>
      </c>
      <c r="E1094" s="930">
        <v>3500</v>
      </c>
      <c r="F1094" s="926" t="s">
        <v>3039</v>
      </c>
      <c r="G1094" s="926" t="s">
        <v>3040</v>
      </c>
      <c r="H1094" s="926" t="s">
        <v>1246</v>
      </c>
      <c r="I1094" s="912" t="s">
        <v>1412</v>
      </c>
      <c r="J1094" s="912" t="s">
        <v>2752</v>
      </c>
      <c r="K1094" s="940" t="s">
        <v>2976</v>
      </c>
      <c r="L1094" s="940" t="s">
        <v>2977</v>
      </c>
      <c r="M1094" s="941">
        <v>40858.85</v>
      </c>
      <c r="N1094" s="942"/>
      <c r="O1094" s="942"/>
      <c r="P1094" s="935"/>
    </row>
    <row r="1095" spans="1:16" x14ac:dyDescent="0.2">
      <c r="A1095" s="937" t="s">
        <v>2744</v>
      </c>
      <c r="B1095" s="912" t="s">
        <v>2972</v>
      </c>
      <c r="C1095" s="912" t="s">
        <v>2973</v>
      </c>
      <c r="D1095" s="912" t="s">
        <v>1537</v>
      </c>
      <c r="E1095" s="930">
        <v>4000</v>
      </c>
      <c r="F1095" s="926" t="s">
        <v>3041</v>
      </c>
      <c r="G1095" s="926" t="s">
        <v>3042</v>
      </c>
      <c r="H1095" s="926" t="s">
        <v>1594</v>
      </c>
      <c r="I1095" s="912" t="s">
        <v>940</v>
      </c>
      <c r="J1095" s="912" t="s">
        <v>1540</v>
      </c>
      <c r="K1095" s="940" t="s">
        <v>2976</v>
      </c>
      <c r="L1095" s="940" t="s">
        <v>2977</v>
      </c>
      <c r="M1095" s="941">
        <v>45414.65</v>
      </c>
      <c r="N1095" s="942"/>
      <c r="O1095" s="942"/>
      <c r="P1095" s="935"/>
    </row>
    <row r="1096" spans="1:16" x14ac:dyDescent="0.2">
      <c r="A1096" s="937" t="s">
        <v>2744</v>
      </c>
      <c r="B1096" s="912" t="s">
        <v>2972</v>
      </c>
      <c r="C1096" s="912" t="s">
        <v>2973</v>
      </c>
      <c r="D1096" s="912" t="s">
        <v>1537</v>
      </c>
      <c r="E1096" s="930">
        <v>4000</v>
      </c>
      <c r="F1096" s="926" t="s">
        <v>3043</v>
      </c>
      <c r="G1096" s="926" t="s">
        <v>3044</v>
      </c>
      <c r="H1096" s="926" t="s">
        <v>1594</v>
      </c>
      <c r="I1096" s="912" t="s">
        <v>940</v>
      </c>
      <c r="J1096" s="912" t="s">
        <v>1540</v>
      </c>
      <c r="K1096" s="940" t="s">
        <v>2976</v>
      </c>
      <c r="L1096" s="940" t="s">
        <v>2977</v>
      </c>
      <c r="M1096" s="941">
        <v>45414.65</v>
      </c>
      <c r="N1096" s="942"/>
      <c r="O1096" s="942"/>
      <c r="P1096" s="935"/>
    </row>
    <row r="1097" spans="1:16" x14ac:dyDescent="0.2">
      <c r="A1097" s="937" t="s">
        <v>2744</v>
      </c>
      <c r="B1097" s="912" t="s">
        <v>2972</v>
      </c>
      <c r="C1097" s="912" t="s">
        <v>2973</v>
      </c>
      <c r="D1097" s="912" t="s">
        <v>1537</v>
      </c>
      <c r="E1097" s="930">
        <v>4000</v>
      </c>
      <c r="F1097" s="926" t="s">
        <v>3045</v>
      </c>
      <c r="G1097" s="926" t="s">
        <v>3046</v>
      </c>
      <c r="H1097" s="926" t="s">
        <v>1594</v>
      </c>
      <c r="I1097" s="912" t="s">
        <v>940</v>
      </c>
      <c r="J1097" s="912" t="s">
        <v>1540</v>
      </c>
      <c r="K1097" s="940" t="s">
        <v>2976</v>
      </c>
      <c r="L1097" s="940" t="s">
        <v>2977</v>
      </c>
      <c r="M1097" s="941">
        <v>45414.65</v>
      </c>
      <c r="N1097" s="942"/>
      <c r="O1097" s="942"/>
      <c r="P1097" s="935"/>
    </row>
    <row r="1098" spans="1:16" x14ac:dyDescent="0.2">
      <c r="A1098" s="937" t="s">
        <v>2744</v>
      </c>
      <c r="B1098" s="912" t="s">
        <v>2972</v>
      </c>
      <c r="C1098" s="912" t="s">
        <v>2973</v>
      </c>
      <c r="D1098" s="912" t="s">
        <v>1537</v>
      </c>
      <c r="E1098" s="930">
        <v>4000</v>
      </c>
      <c r="F1098" s="926" t="s">
        <v>3047</v>
      </c>
      <c r="G1098" s="926" t="s">
        <v>3048</v>
      </c>
      <c r="H1098" s="926" t="s">
        <v>1594</v>
      </c>
      <c r="I1098" s="912" t="s">
        <v>940</v>
      </c>
      <c r="J1098" s="912" t="s">
        <v>1540</v>
      </c>
      <c r="K1098" s="940" t="s">
        <v>2976</v>
      </c>
      <c r="L1098" s="940" t="s">
        <v>2977</v>
      </c>
      <c r="M1098" s="941">
        <v>45414.65</v>
      </c>
      <c r="N1098" s="942"/>
      <c r="O1098" s="942"/>
      <c r="P1098" s="935"/>
    </row>
    <row r="1099" spans="1:16" x14ac:dyDescent="0.2">
      <c r="A1099" s="937" t="s">
        <v>2744</v>
      </c>
      <c r="B1099" s="912" t="s">
        <v>2972</v>
      </c>
      <c r="C1099" s="912" t="s">
        <v>2973</v>
      </c>
      <c r="D1099" s="912" t="s">
        <v>1537</v>
      </c>
      <c r="E1099" s="930">
        <v>4000</v>
      </c>
      <c r="F1099" s="926" t="s">
        <v>3049</v>
      </c>
      <c r="G1099" s="926" t="s">
        <v>3050</v>
      </c>
      <c r="H1099" s="926" t="s">
        <v>1594</v>
      </c>
      <c r="I1099" s="912" t="s">
        <v>940</v>
      </c>
      <c r="J1099" s="912" t="s">
        <v>1540</v>
      </c>
      <c r="K1099" s="940" t="s">
        <v>2976</v>
      </c>
      <c r="L1099" s="940" t="s">
        <v>2977</v>
      </c>
      <c r="M1099" s="941">
        <v>45414.65</v>
      </c>
      <c r="N1099" s="942"/>
      <c r="O1099" s="942"/>
      <c r="P1099" s="935"/>
    </row>
    <row r="1100" spans="1:16" x14ac:dyDescent="0.2">
      <c r="A1100" s="937" t="s">
        <v>2744</v>
      </c>
      <c r="B1100" s="912" t="s">
        <v>2972</v>
      </c>
      <c r="C1100" s="912" t="s">
        <v>2973</v>
      </c>
      <c r="D1100" s="912" t="s">
        <v>1537</v>
      </c>
      <c r="E1100" s="930">
        <v>4000</v>
      </c>
      <c r="F1100" s="926" t="s">
        <v>3051</v>
      </c>
      <c r="G1100" s="926" t="s">
        <v>3052</v>
      </c>
      <c r="H1100" s="926" t="s">
        <v>1594</v>
      </c>
      <c r="I1100" s="912" t="s">
        <v>940</v>
      </c>
      <c r="J1100" s="912" t="s">
        <v>1540</v>
      </c>
      <c r="K1100" s="940" t="s">
        <v>2976</v>
      </c>
      <c r="L1100" s="940" t="s">
        <v>2977</v>
      </c>
      <c r="M1100" s="941">
        <v>45414.65</v>
      </c>
      <c r="N1100" s="942"/>
      <c r="O1100" s="942"/>
      <c r="P1100" s="935"/>
    </row>
    <row r="1101" spans="1:16" x14ac:dyDescent="0.2">
      <c r="A1101" s="937" t="s">
        <v>2744</v>
      </c>
      <c r="B1101" s="912" t="s">
        <v>2972</v>
      </c>
      <c r="C1101" s="912" t="s">
        <v>2973</v>
      </c>
      <c r="D1101" s="912" t="s">
        <v>1537</v>
      </c>
      <c r="E1101" s="930">
        <v>4000</v>
      </c>
      <c r="F1101" s="926" t="s">
        <v>3053</v>
      </c>
      <c r="G1101" s="926" t="s">
        <v>3054</v>
      </c>
      <c r="H1101" s="926" t="s">
        <v>2259</v>
      </c>
      <c r="I1101" s="912" t="s">
        <v>940</v>
      </c>
      <c r="J1101" s="912" t="s">
        <v>1540</v>
      </c>
      <c r="K1101" s="940" t="s">
        <v>2976</v>
      </c>
      <c r="L1101" s="940" t="s">
        <v>2977</v>
      </c>
      <c r="M1101" s="941">
        <v>45414.65</v>
      </c>
      <c r="N1101" s="942"/>
      <c r="O1101" s="942"/>
      <c r="P1101" s="935"/>
    </row>
    <row r="1102" spans="1:16" x14ac:dyDescent="0.2">
      <c r="A1102" s="937" t="s">
        <v>2744</v>
      </c>
      <c r="B1102" s="912" t="s">
        <v>2972</v>
      </c>
      <c r="C1102" s="912" t="s">
        <v>2973</v>
      </c>
      <c r="D1102" s="912" t="s">
        <v>1537</v>
      </c>
      <c r="E1102" s="930">
        <v>4000</v>
      </c>
      <c r="F1102" s="926" t="s">
        <v>3055</v>
      </c>
      <c r="G1102" s="926" t="s">
        <v>3056</v>
      </c>
      <c r="H1102" s="926" t="s">
        <v>2259</v>
      </c>
      <c r="I1102" s="912" t="s">
        <v>940</v>
      </c>
      <c r="J1102" s="912" t="s">
        <v>1540</v>
      </c>
      <c r="K1102" s="940" t="s">
        <v>2976</v>
      </c>
      <c r="L1102" s="940" t="s">
        <v>2977</v>
      </c>
      <c r="M1102" s="941">
        <v>45414.65</v>
      </c>
      <c r="N1102" s="942"/>
      <c r="O1102" s="942"/>
      <c r="P1102" s="935"/>
    </row>
    <row r="1103" spans="1:16" x14ac:dyDescent="0.2">
      <c r="A1103" s="937" t="s">
        <v>2744</v>
      </c>
      <c r="B1103" s="912" t="s">
        <v>2972</v>
      </c>
      <c r="C1103" s="912" t="s">
        <v>2973</v>
      </c>
      <c r="D1103" s="912" t="s">
        <v>1537</v>
      </c>
      <c r="E1103" s="930">
        <v>4000</v>
      </c>
      <c r="F1103" s="926" t="s">
        <v>3057</v>
      </c>
      <c r="G1103" s="926" t="s">
        <v>3058</v>
      </c>
      <c r="H1103" s="926" t="s">
        <v>1594</v>
      </c>
      <c r="I1103" s="912" t="s">
        <v>940</v>
      </c>
      <c r="J1103" s="912" t="s">
        <v>1540</v>
      </c>
      <c r="K1103" s="940" t="s">
        <v>2976</v>
      </c>
      <c r="L1103" s="940" t="s">
        <v>2977</v>
      </c>
      <c r="M1103" s="941">
        <v>45414.65</v>
      </c>
      <c r="N1103" s="942"/>
      <c r="O1103" s="942"/>
      <c r="P1103" s="935"/>
    </row>
    <row r="1104" spans="1:16" x14ac:dyDescent="0.2">
      <c r="A1104" s="937" t="s">
        <v>2744</v>
      </c>
      <c r="B1104" s="912" t="s">
        <v>2972</v>
      </c>
      <c r="C1104" s="912" t="s">
        <v>2973</v>
      </c>
      <c r="D1104" s="912" t="s">
        <v>1537</v>
      </c>
      <c r="E1104" s="930">
        <v>4000</v>
      </c>
      <c r="F1104" s="926" t="s">
        <v>3059</v>
      </c>
      <c r="G1104" s="926" t="s">
        <v>3060</v>
      </c>
      <c r="H1104" s="926" t="s">
        <v>1594</v>
      </c>
      <c r="I1104" s="912" t="s">
        <v>940</v>
      </c>
      <c r="J1104" s="912" t="s">
        <v>1540</v>
      </c>
      <c r="K1104" s="940" t="s">
        <v>2976</v>
      </c>
      <c r="L1104" s="940" t="s">
        <v>2977</v>
      </c>
      <c r="M1104" s="941">
        <v>45414.65</v>
      </c>
      <c r="N1104" s="942"/>
      <c r="O1104" s="942"/>
      <c r="P1104" s="935"/>
    </row>
    <row r="1105" spans="1:16" x14ac:dyDescent="0.2">
      <c r="A1105" s="937" t="s">
        <v>2744</v>
      </c>
      <c r="B1105" s="912" t="s">
        <v>2972</v>
      </c>
      <c r="C1105" s="912" t="s">
        <v>2973</v>
      </c>
      <c r="D1105" s="912" t="s">
        <v>1537</v>
      </c>
      <c r="E1105" s="930">
        <v>4000</v>
      </c>
      <c r="F1105" s="926" t="s">
        <v>3061</v>
      </c>
      <c r="G1105" s="926" t="s">
        <v>3062</v>
      </c>
      <c r="H1105" s="926" t="s">
        <v>1594</v>
      </c>
      <c r="I1105" s="912" t="s">
        <v>940</v>
      </c>
      <c r="J1105" s="912" t="s">
        <v>1540</v>
      </c>
      <c r="K1105" s="940" t="s">
        <v>2976</v>
      </c>
      <c r="L1105" s="940" t="s">
        <v>2977</v>
      </c>
      <c r="M1105" s="941">
        <v>45414.65</v>
      </c>
      <c r="N1105" s="942"/>
      <c r="O1105" s="942"/>
      <c r="P1105" s="935"/>
    </row>
    <row r="1106" spans="1:16" x14ac:dyDescent="0.2">
      <c r="A1106" s="937" t="s">
        <v>2744</v>
      </c>
      <c r="B1106" s="912" t="s">
        <v>2972</v>
      </c>
      <c r="C1106" s="912" t="s">
        <v>2973</v>
      </c>
      <c r="D1106" s="912" t="s">
        <v>1537</v>
      </c>
      <c r="E1106" s="930">
        <v>4000</v>
      </c>
      <c r="F1106" s="926" t="s">
        <v>3063</v>
      </c>
      <c r="G1106" s="926" t="s">
        <v>3064</v>
      </c>
      <c r="H1106" s="926" t="s">
        <v>1594</v>
      </c>
      <c r="I1106" s="912" t="s">
        <v>940</v>
      </c>
      <c r="J1106" s="912" t="s">
        <v>1540</v>
      </c>
      <c r="K1106" s="940" t="s">
        <v>2976</v>
      </c>
      <c r="L1106" s="940" t="s">
        <v>2977</v>
      </c>
      <c r="M1106" s="941">
        <v>45414.65</v>
      </c>
      <c r="N1106" s="942"/>
      <c r="O1106" s="942"/>
      <c r="P1106" s="935"/>
    </row>
    <row r="1107" spans="1:16" x14ac:dyDescent="0.2">
      <c r="A1107" s="937" t="s">
        <v>2744</v>
      </c>
      <c r="B1107" s="912" t="s">
        <v>2972</v>
      </c>
      <c r="C1107" s="912" t="s">
        <v>2973</v>
      </c>
      <c r="D1107" s="912" t="s">
        <v>1537</v>
      </c>
      <c r="E1107" s="930">
        <v>8000</v>
      </c>
      <c r="F1107" s="926" t="s">
        <v>3065</v>
      </c>
      <c r="G1107" s="926" t="s">
        <v>3066</v>
      </c>
      <c r="H1107" s="926" t="s">
        <v>1175</v>
      </c>
      <c r="I1107" s="912" t="s">
        <v>940</v>
      </c>
      <c r="J1107" s="912" t="s">
        <v>1540</v>
      </c>
      <c r="K1107" s="940" t="s">
        <v>2976</v>
      </c>
      <c r="L1107" s="940" t="s">
        <v>2977</v>
      </c>
      <c r="M1107" s="941">
        <v>81861.05</v>
      </c>
      <c r="N1107" s="942"/>
      <c r="O1107" s="942"/>
      <c r="P1107" s="935"/>
    </row>
    <row r="1108" spans="1:16" x14ac:dyDescent="0.2">
      <c r="A1108" s="937" t="s">
        <v>2744</v>
      </c>
      <c r="B1108" s="912" t="s">
        <v>2972</v>
      </c>
      <c r="C1108" s="912" t="s">
        <v>2973</v>
      </c>
      <c r="D1108" s="912" t="s">
        <v>1537</v>
      </c>
      <c r="E1108" s="930">
        <v>8000</v>
      </c>
      <c r="F1108" s="926" t="s">
        <v>3067</v>
      </c>
      <c r="G1108" s="926" t="s">
        <v>3068</v>
      </c>
      <c r="H1108" s="926" t="s">
        <v>1175</v>
      </c>
      <c r="I1108" s="912" t="s">
        <v>940</v>
      </c>
      <c r="J1108" s="912" t="s">
        <v>1540</v>
      </c>
      <c r="K1108" s="940" t="s">
        <v>2976</v>
      </c>
      <c r="L1108" s="940" t="s">
        <v>2977</v>
      </c>
      <c r="M1108" s="941">
        <v>81861.05</v>
      </c>
      <c r="N1108" s="942"/>
      <c r="O1108" s="942"/>
      <c r="P1108" s="935"/>
    </row>
    <row r="1109" spans="1:16" x14ac:dyDescent="0.2">
      <c r="A1109" s="937" t="s">
        <v>2744</v>
      </c>
      <c r="B1109" s="912" t="s">
        <v>2972</v>
      </c>
      <c r="C1109" s="912" t="s">
        <v>2973</v>
      </c>
      <c r="D1109" s="912" t="s">
        <v>1537</v>
      </c>
      <c r="E1109" s="930">
        <v>8000</v>
      </c>
      <c r="F1109" s="926" t="s">
        <v>3069</v>
      </c>
      <c r="G1109" s="926" t="s">
        <v>3070</v>
      </c>
      <c r="H1109" s="926" t="s">
        <v>1175</v>
      </c>
      <c r="I1109" s="912" t="s">
        <v>940</v>
      </c>
      <c r="J1109" s="912" t="s">
        <v>1540</v>
      </c>
      <c r="K1109" s="940" t="s">
        <v>2976</v>
      </c>
      <c r="L1109" s="940" t="s">
        <v>2977</v>
      </c>
      <c r="M1109" s="941">
        <v>81861.05</v>
      </c>
      <c r="N1109" s="942"/>
      <c r="O1109" s="942"/>
      <c r="P1109" s="935"/>
    </row>
    <row r="1110" spans="1:16" x14ac:dyDescent="0.2">
      <c r="A1110" s="937" t="s">
        <v>2744</v>
      </c>
      <c r="B1110" s="912" t="s">
        <v>2972</v>
      </c>
      <c r="C1110" s="912" t="s">
        <v>2973</v>
      </c>
      <c r="D1110" s="912" t="s">
        <v>1537</v>
      </c>
      <c r="E1110" s="930">
        <v>8000</v>
      </c>
      <c r="F1110" s="926" t="s">
        <v>3071</v>
      </c>
      <c r="G1110" s="926" t="s">
        <v>3072</v>
      </c>
      <c r="H1110" s="926" t="s">
        <v>1175</v>
      </c>
      <c r="I1110" s="912" t="s">
        <v>940</v>
      </c>
      <c r="J1110" s="912" t="s">
        <v>1540</v>
      </c>
      <c r="K1110" s="940" t="s">
        <v>2976</v>
      </c>
      <c r="L1110" s="940" t="s">
        <v>2977</v>
      </c>
      <c r="M1110" s="941">
        <v>81861.05</v>
      </c>
      <c r="N1110" s="942"/>
      <c r="O1110" s="942"/>
      <c r="P1110" s="935"/>
    </row>
    <row r="1111" spans="1:16" x14ac:dyDescent="0.2">
      <c r="A1111" s="937" t="s">
        <v>2744</v>
      </c>
      <c r="B1111" s="912" t="s">
        <v>2972</v>
      </c>
      <c r="C1111" s="912" t="s">
        <v>2973</v>
      </c>
      <c r="D1111" s="912" t="s">
        <v>1537</v>
      </c>
      <c r="E1111" s="930">
        <v>8000</v>
      </c>
      <c r="F1111" s="926" t="s">
        <v>3073</v>
      </c>
      <c r="G1111" s="926" t="s">
        <v>3074</v>
      </c>
      <c r="H1111" s="926" t="s">
        <v>1175</v>
      </c>
      <c r="I1111" s="912" t="s">
        <v>940</v>
      </c>
      <c r="J1111" s="912" t="s">
        <v>1540</v>
      </c>
      <c r="K1111" s="940" t="s">
        <v>2976</v>
      </c>
      <c r="L1111" s="940" t="s">
        <v>2977</v>
      </c>
      <c r="M1111" s="941">
        <v>81861.05</v>
      </c>
      <c r="N1111" s="942"/>
      <c r="O1111" s="942"/>
      <c r="P1111" s="935"/>
    </row>
    <row r="1112" spans="1:16" x14ac:dyDescent="0.2">
      <c r="A1112" s="937" t="s">
        <v>2744</v>
      </c>
      <c r="B1112" s="912" t="s">
        <v>2972</v>
      </c>
      <c r="C1112" s="912" t="s">
        <v>2973</v>
      </c>
      <c r="D1112" s="912" t="s">
        <v>1537</v>
      </c>
      <c r="E1112" s="930">
        <v>8000</v>
      </c>
      <c r="F1112" s="926" t="s">
        <v>3075</v>
      </c>
      <c r="G1112" s="926" t="s">
        <v>3076</v>
      </c>
      <c r="H1112" s="926" t="s">
        <v>1175</v>
      </c>
      <c r="I1112" s="912" t="s">
        <v>940</v>
      </c>
      <c r="J1112" s="912" t="s">
        <v>1540</v>
      </c>
      <c r="K1112" s="940" t="s">
        <v>2976</v>
      </c>
      <c r="L1112" s="940" t="s">
        <v>2977</v>
      </c>
      <c r="M1112" s="941">
        <v>81861.05</v>
      </c>
      <c r="N1112" s="942"/>
      <c r="O1112" s="942"/>
      <c r="P1112" s="935"/>
    </row>
    <row r="1113" spans="1:16" x14ac:dyDescent="0.2">
      <c r="A1113" s="937" t="s">
        <v>2744</v>
      </c>
      <c r="B1113" s="912" t="s">
        <v>2972</v>
      </c>
      <c r="C1113" s="912" t="s">
        <v>2973</v>
      </c>
      <c r="D1113" s="912" t="s">
        <v>1537</v>
      </c>
      <c r="E1113" s="930">
        <v>4000</v>
      </c>
      <c r="F1113" s="926" t="s">
        <v>3077</v>
      </c>
      <c r="G1113" s="926" t="s">
        <v>3078</v>
      </c>
      <c r="H1113" s="926" t="s">
        <v>1594</v>
      </c>
      <c r="I1113" s="912" t="s">
        <v>940</v>
      </c>
      <c r="J1113" s="912" t="s">
        <v>1540</v>
      </c>
      <c r="K1113" s="940" t="s">
        <v>2976</v>
      </c>
      <c r="L1113" s="940" t="s">
        <v>2977</v>
      </c>
      <c r="M1113" s="941">
        <v>45414.65</v>
      </c>
      <c r="N1113" s="942"/>
      <c r="O1113" s="942"/>
      <c r="P1113" s="935"/>
    </row>
    <row r="1114" spans="1:16" x14ac:dyDescent="0.2">
      <c r="A1114" s="937" t="s">
        <v>2744</v>
      </c>
      <c r="B1114" s="912" t="s">
        <v>2972</v>
      </c>
      <c r="C1114" s="912" t="s">
        <v>2973</v>
      </c>
      <c r="D1114" s="912" t="s">
        <v>1537</v>
      </c>
      <c r="E1114" s="930">
        <v>4000</v>
      </c>
      <c r="F1114" s="926" t="s">
        <v>3079</v>
      </c>
      <c r="G1114" s="926" t="s">
        <v>3080</v>
      </c>
      <c r="H1114" s="926" t="s">
        <v>2259</v>
      </c>
      <c r="I1114" s="912" t="s">
        <v>940</v>
      </c>
      <c r="J1114" s="912" t="s">
        <v>1540</v>
      </c>
      <c r="K1114" s="940" t="s">
        <v>2976</v>
      </c>
      <c r="L1114" s="940" t="s">
        <v>2977</v>
      </c>
      <c r="M1114" s="941">
        <v>45414.65</v>
      </c>
      <c r="N1114" s="942"/>
      <c r="O1114" s="942"/>
      <c r="P1114" s="935"/>
    </row>
    <row r="1115" spans="1:16" x14ac:dyDescent="0.2">
      <c r="A1115" s="937" t="s">
        <v>2744</v>
      </c>
      <c r="B1115" s="912" t="s">
        <v>2972</v>
      </c>
      <c r="C1115" s="912" t="s">
        <v>2973</v>
      </c>
      <c r="D1115" s="912" t="s">
        <v>1537</v>
      </c>
      <c r="E1115" s="930">
        <v>4000</v>
      </c>
      <c r="F1115" s="926" t="s">
        <v>3081</v>
      </c>
      <c r="G1115" s="926" t="s">
        <v>3082</v>
      </c>
      <c r="H1115" s="926" t="s">
        <v>1594</v>
      </c>
      <c r="I1115" s="912" t="s">
        <v>940</v>
      </c>
      <c r="J1115" s="912" t="s">
        <v>1540</v>
      </c>
      <c r="K1115" s="940" t="s">
        <v>2976</v>
      </c>
      <c r="L1115" s="940" t="s">
        <v>2977</v>
      </c>
      <c r="M1115" s="941">
        <v>45414.65</v>
      </c>
      <c r="N1115" s="942"/>
      <c r="O1115" s="942"/>
      <c r="P1115" s="935"/>
    </row>
    <row r="1116" spans="1:16" x14ac:dyDescent="0.2">
      <c r="A1116" s="937" t="s">
        <v>2744</v>
      </c>
      <c r="B1116" s="912" t="s">
        <v>2972</v>
      </c>
      <c r="C1116" s="912" t="s">
        <v>2973</v>
      </c>
      <c r="D1116" s="912" t="s">
        <v>1537</v>
      </c>
      <c r="E1116" s="930">
        <v>8000</v>
      </c>
      <c r="F1116" s="926" t="s">
        <v>3083</v>
      </c>
      <c r="G1116" s="926" t="s">
        <v>3084</v>
      </c>
      <c r="H1116" s="926" t="s">
        <v>1175</v>
      </c>
      <c r="I1116" s="912" t="s">
        <v>940</v>
      </c>
      <c r="J1116" s="912" t="s">
        <v>1540</v>
      </c>
      <c r="K1116" s="940" t="s">
        <v>2976</v>
      </c>
      <c r="L1116" s="940" t="s">
        <v>2977</v>
      </c>
      <c r="M1116" s="941">
        <v>81861.05</v>
      </c>
      <c r="N1116" s="942"/>
      <c r="O1116" s="942"/>
      <c r="P1116" s="935"/>
    </row>
    <row r="1117" spans="1:16" x14ac:dyDescent="0.2">
      <c r="A1117" s="937" t="s">
        <v>2744</v>
      </c>
      <c r="B1117" s="912" t="s">
        <v>2972</v>
      </c>
      <c r="C1117" s="912" t="s">
        <v>2973</v>
      </c>
      <c r="D1117" s="912" t="s">
        <v>1537</v>
      </c>
      <c r="E1117" s="930">
        <v>8000</v>
      </c>
      <c r="F1117" s="926" t="s">
        <v>3085</v>
      </c>
      <c r="G1117" s="926" t="s">
        <v>3086</v>
      </c>
      <c r="H1117" s="926" t="s">
        <v>1175</v>
      </c>
      <c r="I1117" s="912" t="s">
        <v>940</v>
      </c>
      <c r="J1117" s="912" t="s">
        <v>1540</v>
      </c>
      <c r="K1117" s="940" t="s">
        <v>2976</v>
      </c>
      <c r="L1117" s="940" t="s">
        <v>2977</v>
      </c>
      <c r="M1117" s="941">
        <v>81861.05</v>
      </c>
      <c r="N1117" s="942"/>
      <c r="O1117" s="942"/>
      <c r="P1117" s="935"/>
    </row>
    <row r="1118" spans="1:16" x14ac:dyDescent="0.2">
      <c r="A1118" s="937" t="s">
        <v>2744</v>
      </c>
      <c r="B1118" s="912" t="s">
        <v>2972</v>
      </c>
      <c r="C1118" s="912" t="s">
        <v>2973</v>
      </c>
      <c r="D1118" s="912" t="s">
        <v>1537</v>
      </c>
      <c r="E1118" s="930">
        <v>4000</v>
      </c>
      <c r="F1118" s="926" t="s">
        <v>3087</v>
      </c>
      <c r="G1118" s="926" t="s">
        <v>3088</v>
      </c>
      <c r="H1118" s="926" t="s">
        <v>1594</v>
      </c>
      <c r="I1118" s="912" t="s">
        <v>940</v>
      </c>
      <c r="J1118" s="912" t="s">
        <v>1540</v>
      </c>
      <c r="K1118" s="940" t="s">
        <v>2976</v>
      </c>
      <c r="L1118" s="940" t="s">
        <v>2977</v>
      </c>
      <c r="M1118" s="941">
        <v>45414.65</v>
      </c>
      <c r="N1118" s="942"/>
      <c r="O1118" s="942"/>
      <c r="P1118" s="935"/>
    </row>
    <row r="1119" spans="1:16" x14ac:dyDescent="0.2">
      <c r="A1119" s="937" t="s">
        <v>2744</v>
      </c>
      <c r="B1119" s="912" t="s">
        <v>2972</v>
      </c>
      <c r="C1119" s="912" t="s">
        <v>2973</v>
      </c>
      <c r="D1119" s="912" t="s">
        <v>1537</v>
      </c>
      <c r="E1119" s="930">
        <v>4000</v>
      </c>
      <c r="F1119" s="926" t="s">
        <v>3089</v>
      </c>
      <c r="G1119" s="926" t="s">
        <v>3090</v>
      </c>
      <c r="H1119" s="926" t="s">
        <v>1594</v>
      </c>
      <c r="I1119" s="912" t="s">
        <v>940</v>
      </c>
      <c r="J1119" s="912" t="s">
        <v>1540</v>
      </c>
      <c r="K1119" s="940" t="s">
        <v>2976</v>
      </c>
      <c r="L1119" s="940" t="s">
        <v>2977</v>
      </c>
      <c r="M1119" s="941">
        <v>45414.65</v>
      </c>
      <c r="N1119" s="942"/>
      <c r="O1119" s="942"/>
      <c r="P1119" s="935"/>
    </row>
    <row r="1120" spans="1:16" x14ac:dyDescent="0.2">
      <c r="A1120" s="937" t="s">
        <v>2744</v>
      </c>
      <c r="B1120" s="912" t="s">
        <v>2972</v>
      </c>
      <c r="C1120" s="912" t="s">
        <v>2973</v>
      </c>
      <c r="D1120" s="912" t="s">
        <v>1537</v>
      </c>
      <c r="E1120" s="930">
        <v>4000</v>
      </c>
      <c r="F1120" s="926" t="s">
        <v>3091</v>
      </c>
      <c r="G1120" s="926" t="s">
        <v>3092</v>
      </c>
      <c r="H1120" s="926" t="s">
        <v>1594</v>
      </c>
      <c r="I1120" s="912" t="s">
        <v>940</v>
      </c>
      <c r="J1120" s="912" t="s">
        <v>1540</v>
      </c>
      <c r="K1120" s="940" t="s">
        <v>2976</v>
      </c>
      <c r="L1120" s="940" t="s">
        <v>2977</v>
      </c>
      <c r="M1120" s="941">
        <v>45414.65</v>
      </c>
      <c r="N1120" s="942"/>
      <c r="O1120" s="942"/>
      <c r="P1120" s="935"/>
    </row>
    <row r="1121" spans="1:16" x14ac:dyDescent="0.2">
      <c r="A1121" s="937" t="s">
        <v>2744</v>
      </c>
      <c r="B1121" s="912" t="s">
        <v>2972</v>
      </c>
      <c r="C1121" s="912" t="s">
        <v>2973</v>
      </c>
      <c r="D1121" s="912" t="s">
        <v>1537</v>
      </c>
      <c r="E1121" s="930">
        <v>8000</v>
      </c>
      <c r="F1121" s="926" t="s">
        <v>3093</v>
      </c>
      <c r="G1121" s="926" t="s">
        <v>3094</v>
      </c>
      <c r="H1121" s="926" t="s">
        <v>1175</v>
      </c>
      <c r="I1121" s="912" t="s">
        <v>940</v>
      </c>
      <c r="J1121" s="912" t="s">
        <v>1540</v>
      </c>
      <c r="K1121" s="940" t="s">
        <v>2976</v>
      </c>
      <c r="L1121" s="940" t="s">
        <v>2977</v>
      </c>
      <c r="M1121" s="941">
        <v>81861.25</v>
      </c>
      <c r="N1121" s="942"/>
      <c r="O1121" s="942"/>
      <c r="P1121" s="935"/>
    </row>
    <row r="1122" spans="1:16" x14ac:dyDescent="0.2">
      <c r="A1122" s="937" t="s">
        <v>2744</v>
      </c>
      <c r="B1122" s="912" t="s">
        <v>875</v>
      </c>
      <c r="C1122" s="912" t="s">
        <v>2745</v>
      </c>
      <c r="D1122" s="912" t="s">
        <v>1537</v>
      </c>
      <c r="E1122" s="942">
        <v>1091.8699999999999</v>
      </c>
      <c r="F1122" s="926" t="s">
        <v>2750</v>
      </c>
      <c r="G1122" s="926" t="s">
        <v>2751</v>
      </c>
      <c r="H1122" s="926" t="s">
        <v>1666</v>
      </c>
      <c r="I1122" s="912" t="s">
        <v>1412</v>
      </c>
      <c r="J1122" s="912" t="s">
        <v>2752</v>
      </c>
      <c r="K1122" s="940"/>
      <c r="L1122" s="940"/>
      <c r="M1122" s="930"/>
      <c r="N1122" s="940" t="s">
        <v>2748</v>
      </c>
      <c r="O1122" s="940" t="s">
        <v>2976</v>
      </c>
      <c r="P1122" s="930">
        <v>9921.6</v>
      </c>
    </row>
    <row r="1123" spans="1:16" x14ac:dyDescent="0.2">
      <c r="A1123" s="937" t="s">
        <v>2744</v>
      </c>
      <c r="B1123" s="912" t="s">
        <v>875</v>
      </c>
      <c r="C1123" s="912" t="s">
        <v>2745</v>
      </c>
      <c r="D1123" s="912" t="s">
        <v>1679</v>
      </c>
      <c r="E1123" s="942">
        <v>1500</v>
      </c>
      <c r="F1123" s="926" t="s">
        <v>2754</v>
      </c>
      <c r="G1123" s="926" t="s">
        <v>2755</v>
      </c>
      <c r="H1123" s="926" t="s">
        <v>2756</v>
      </c>
      <c r="I1123" s="912" t="s">
        <v>1412</v>
      </c>
      <c r="J1123" s="912" t="s">
        <v>2752</v>
      </c>
      <c r="K1123" s="940"/>
      <c r="L1123" s="940"/>
      <c r="M1123" s="930"/>
      <c r="N1123" s="940" t="s">
        <v>2748</v>
      </c>
      <c r="O1123" s="940" t="s">
        <v>2976</v>
      </c>
      <c r="P1123" s="930">
        <v>9921.6</v>
      </c>
    </row>
    <row r="1124" spans="1:16" x14ac:dyDescent="0.2">
      <c r="A1124" s="937" t="s">
        <v>2744</v>
      </c>
      <c r="B1124" s="912" t="s">
        <v>875</v>
      </c>
      <c r="C1124" s="912" t="s">
        <v>2745</v>
      </c>
      <c r="D1124" s="912" t="s">
        <v>1537</v>
      </c>
      <c r="E1124" s="942">
        <v>1500</v>
      </c>
      <c r="F1124" s="926" t="s">
        <v>2841</v>
      </c>
      <c r="G1124" s="926" t="s">
        <v>2842</v>
      </c>
      <c r="H1124" s="926" t="s">
        <v>1784</v>
      </c>
      <c r="I1124" s="912" t="s">
        <v>1020</v>
      </c>
      <c r="J1124" s="912" t="s">
        <v>1020</v>
      </c>
      <c r="K1124" s="940"/>
      <c r="L1124" s="940"/>
      <c r="M1124" s="930"/>
      <c r="N1124" s="940" t="s">
        <v>2748</v>
      </c>
      <c r="O1124" s="940" t="s">
        <v>2976</v>
      </c>
      <c r="P1124" s="930">
        <v>9921.6</v>
      </c>
    </row>
    <row r="1125" spans="1:16" x14ac:dyDescent="0.2">
      <c r="A1125" s="937" t="s">
        <v>2744</v>
      </c>
      <c r="B1125" s="912" t="s">
        <v>875</v>
      </c>
      <c r="C1125" s="912" t="s">
        <v>2745</v>
      </c>
      <c r="D1125" s="912" t="s">
        <v>1537</v>
      </c>
      <c r="E1125" s="942">
        <v>1500</v>
      </c>
      <c r="F1125" s="926" t="s">
        <v>2843</v>
      </c>
      <c r="G1125" s="926" t="s">
        <v>2844</v>
      </c>
      <c r="H1125" s="926" t="s">
        <v>1784</v>
      </c>
      <c r="I1125" s="912" t="s">
        <v>1020</v>
      </c>
      <c r="J1125" s="912" t="s">
        <v>1020</v>
      </c>
      <c r="K1125" s="940"/>
      <c r="L1125" s="940"/>
      <c r="M1125" s="930"/>
      <c r="N1125" s="940" t="s">
        <v>2748</v>
      </c>
      <c r="O1125" s="940" t="s">
        <v>2976</v>
      </c>
      <c r="P1125" s="930">
        <v>9921.6</v>
      </c>
    </row>
    <row r="1126" spans="1:16" x14ac:dyDescent="0.2">
      <c r="A1126" s="937" t="s">
        <v>2744</v>
      </c>
      <c r="B1126" s="912" t="s">
        <v>875</v>
      </c>
      <c r="C1126" s="912" t="s">
        <v>2745</v>
      </c>
      <c r="D1126" s="912" t="s">
        <v>1537</v>
      </c>
      <c r="E1126" s="942">
        <v>1500</v>
      </c>
      <c r="F1126" s="926" t="s">
        <v>2845</v>
      </c>
      <c r="G1126" s="926" t="s">
        <v>2846</v>
      </c>
      <c r="H1126" s="926" t="s">
        <v>1784</v>
      </c>
      <c r="I1126" s="912" t="s">
        <v>1020</v>
      </c>
      <c r="J1126" s="912" t="s">
        <v>1020</v>
      </c>
      <c r="K1126" s="940"/>
      <c r="L1126" s="940"/>
      <c r="M1126" s="930"/>
      <c r="N1126" s="940" t="s">
        <v>2748</v>
      </c>
      <c r="O1126" s="940" t="s">
        <v>2976</v>
      </c>
      <c r="P1126" s="930">
        <v>9921.6</v>
      </c>
    </row>
    <row r="1127" spans="1:16" x14ac:dyDescent="0.2">
      <c r="A1127" s="937" t="s">
        <v>2744</v>
      </c>
      <c r="B1127" s="912" t="s">
        <v>875</v>
      </c>
      <c r="C1127" s="912" t="s">
        <v>2745</v>
      </c>
      <c r="D1127" s="912" t="s">
        <v>1537</v>
      </c>
      <c r="E1127" s="942">
        <v>1500</v>
      </c>
      <c r="F1127" s="926" t="s">
        <v>2847</v>
      </c>
      <c r="G1127" s="926" t="s">
        <v>2848</v>
      </c>
      <c r="H1127" s="926" t="s">
        <v>1784</v>
      </c>
      <c r="I1127" s="912" t="s">
        <v>1020</v>
      </c>
      <c r="J1127" s="912" t="s">
        <v>1020</v>
      </c>
      <c r="K1127" s="940"/>
      <c r="L1127" s="940"/>
      <c r="M1127" s="930"/>
      <c r="N1127" s="940" t="s">
        <v>2748</v>
      </c>
      <c r="O1127" s="940" t="s">
        <v>2976</v>
      </c>
      <c r="P1127" s="930">
        <v>9921.6</v>
      </c>
    </row>
    <row r="1128" spans="1:16" x14ac:dyDescent="0.2">
      <c r="A1128" s="937" t="s">
        <v>2744</v>
      </c>
      <c r="B1128" s="912" t="s">
        <v>875</v>
      </c>
      <c r="C1128" s="912" t="s">
        <v>2745</v>
      </c>
      <c r="D1128" s="912" t="s">
        <v>1537</v>
      </c>
      <c r="E1128" s="942">
        <v>1699</v>
      </c>
      <c r="F1128" s="926" t="s">
        <v>2746</v>
      </c>
      <c r="G1128" s="926" t="s">
        <v>2747</v>
      </c>
      <c r="H1128" s="926" t="s">
        <v>1784</v>
      </c>
      <c r="I1128" s="912" t="s">
        <v>1020</v>
      </c>
      <c r="J1128" s="912" t="s">
        <v>1020</v>
      </c>
      <c r="K1128" s="940"/>
      <c r="L1128" s="940"/>
      <c r="M1128" s="930"/>
      <c r="N1128" s="940" t="s">
        <v>2748</v>
      </c>
      <c r="O1128" s="940" t="s">
        <v>2976</v>
      </c>
      <c r="P1128" s="930">
        <v>11237.82</v>
      </c>
    </row>
    <row r="1129" spans="1:16" x14ac:dyDescent="0.2">
      <c r="A1129" s="937" t="s">
        <v>2744</v>
      </c>
      <c r="B1129" s="912" t="s">
        <v>875</v>
      </c>
      <c r="C1129" s="912" t="s">
        <v>2745</v>
      </c>
      <c r="D1129" s="912" t="s">
        <v>1537</v>
      </c>
      <c r="E1129" s="942">
        <v>1699</v>
      </c>
      <c r="F1129" s="926" t="s">
        <v>2757</v>
      </c>
      <c r="G1129" s="926" t="s">
        <v>2758</v>
      </c>
      <c r="H1129" s="926" t="s">
        <v>1784</v>
      </c>
      <c r="I1129" s="912" t="s">
        <v>1020</v>
      </c>
      <c r="J1129" s="912" t="s">
        <v>1020</v>
      </c>
      <c r="K1129" s="940"/>
      <c r="L1129" s="940"/>
      <c r="M1129" s="930"/>
      <c r="N1129" s="940" t="s">
        <v>2748</v>
      </c>
      <c r="O1129" s="940" t="s">
        <v>2976</v>
      </c>
      <c r="P1129" s="930">
        <v>11237.82</v>
      </c>
    </row>
    <row r="1130" spans="1:16" x14ac:dyDescent="0.2">
      <c r="A1130" s="937" t="s">
        <v>2744</v>
      </c>
      <c r="B1130" s="912" t="s">
        <v>875</v>
      </c>
      <c r="C1130" s="912" t="s">
        <v>2745</v>
      </c>
      <c r="D1130" s="912" t="s">
        <v>1537</v>
      </c>
      <c r="E1130" s="942">
        <v>1724</v>
      </c>
      <c r="F1130" s="926" t="s">
        <v>2759</v>
      </c>
      <c r="G1130" s="926" t="s">
        <v>2760</v>
      </c>
      <c r="H1130" s="926" t="s">
        <v>2761</v>
      </c>
      <c r="I1130" s="912" t="s">
        <v>1412</v>
      </c>
      <c r="J1130" s="912" t="s">
        <v>2752</v>
      </c>
      <c r="K1130" s="940"/>
      <c r="L1130" s="940"/>
      <c r="M1130" s="930"/>
      <c r="N1130" s="940" t="s">
        <v>2748</v>
      </c>
      <c r="O1130" s="940" t="s">
        <v>2976</v>
      </c>
      <c r="P1130" s="930">
        <v>11403.24</v>
      </c>
    </row>
    <row r="1131" spans="1:16" x14ac:dyDescent="0.2">
      <c r="A1131" s="937" t="s">
        <v>2744</v>
      </c>
      <c r="B1131" s="912" t="s">
        <v>875</v>
      </c>
      <c r="C1131" s="912" t="s">
        <v>2745</v>
      </c>
      <c r="D1131" s="912" t="s">
        <v>1537</v>
      </c>
      <c r="E1131" s="942">
        <v>1724</v>
      </c>
      <c r="F1131" s="926" t="s">
        <v>2763</v>
      </c>
      <c r="G1131" s="926" t="s">
        <v>2764</v>
      </c>
      <c r="H1131" s="926" t="s">
        <v>2761</v>
      </c>
      <c r="I1131" s="912" t="s">
        <v>1412</v>
      </c>
      <c r="J1131" s="912" t="s">
        <v>2752</v>
      </c>
      <c r="K1131" s="940"/>
      <c r="L1131" s="940"/>
      <c r="M1131" s="930"/>
      <c r="N1131" s="940" t="s">
        <v>2748</v>
      </c>
      <c r="O1131" s="940" t="s">
        <v>2976</v>
      </c>
      <c r="P1131" s="930">
        <v>11403.24</v>
      </c>
    </row>
    <row r="1132" spans="1:16" x14ac:dyDescent="0.2">
      <c r="A1132" s="937" t="s">
        <v>2744</v>
      </c>
      <c r="B1132" s="912" t="s">
        <v>875</v>
      </c>
      <c r="C1132" s="912" t="s">
        <v>2745</v>
      </c>
      <c r="D1132" s="912" t="s">
        <v>1537</v>
      </c>
      <c r="E1132" s="942">
        <v>1724</v>
      </c>
      <c r="F1132" s="926" t="s">
        <v>2924</v>
      </c>
      <c r="G1132" s="926" t="s">
        <v>2925</v>
      </c>
      <c r="H1132" s="926" t="s">
        <v>1028</v>
      </c>
      <c r="I1132" s="912" t="s">
        <v>1412</v>
      </c>
      <c r="J1132" s="912" t="s">
        <v>2752</v>
      </c>
      <c r="K1132" s="940"/>
      <c r="L1132" s="940"/>
      <c r="M1132" s="930"/>
      <c r="N1132" s="940" t="s">
        <v>2748</v>
      </c>
      <c r="O1132" s="940" t="s">
        <v>2976</v>
      </c>
      <c r="P1132" s="930">
        <v>11403.24</v>
      </c>
    </row>
    <row r="1133" spans="1:16" x14ac:dyDescent="0.2">
      <c r="A1133" s="937" t="s">
        <v>2744</v>
      </c>
      <c r="B1133" s="912" t="s">
        <v>875</v>
      </c>
      <c r="C1133" s="912" t="s">
        <v>2745</v>
      </c>
      <c r="D1133" s="912" t="s">
        <v>1537</v>
      </c>
      <c r="E1133" s="942">
        <v>1724</v>
      </c>
      <c r="F1133" s="926" t="s">
        <v>2779</v>
      </c>
      <c r="G1133" s="926" t="s">
        <v>2780</v>
      </c>
      <c r="H1133" s="926" t="s">
        <v>1028</v>
      </c>
      <c r="I1133" s="912" t="s">
        <v>1412</v>
      </c>
      <c r="J1133" s="912" t="s">
        <v>2752</v>
      </c>
      <c r="K1133" s="940"/>
      <c r="L1133" s="940"/>
      <c r="M1133" s="930"/>
      <c r="N1133" s="940" t="s">
        <v>2748</v>
      </c>
      <c r="O1133" s="940" t="s">
        <v>2976</v>
      </c>
      <c r="P1133" s="930">
        <v>11403.24</v>
      </c>
    </row>
    <row r="1134" spans="1:16" x14ac:dyDescent="0.2">
      <c r="A1134" s="937" t="s">
        <v>2744</v>
      </c>
      <c r="B1134" s="912" t="s">
        <v>875</v>
      </c>
      <c r="C1134" s="912" t="s">
        <v>2745</v>
      </c>
      <c r="D1134" s="912" t="s">
        <v>1537</v>
      </c>
      <c r="E1134" s="942">
        <v>1724</v>
      </c>
      <c r="F1134" s="926" t="s">
        <v>2795</v>
      </c>
      <c r="G1134" s="926" t="s">
        <v>2796</v>
      </c>
      <c r="H1134" s="926" t="s">
        <v>1028</v>
      </c>
      <c r="I1134" s="912" t="s">
        <v>1412</v>
      </c>
      <c r="J1134" s="912" t="s">
        <v>2752</v>
      </c>
      <c r="K1134" s="940"/>
      <c r="L1134" s="940"/>
      <c r="M1134" s="930"/>
      <c r="N1134" s="940" t="s">
        <v>2748</v>
      </c>
      <c r="O1134" s="940" t="s">
        <v>2976</v>
      </c>
      <c r="P1134" s="930">
        <v>11403.24</v>
      </c>
    </row>
    <row r="1135" spans="1:16" x14ac:dyDescent="0.2">
      <c r="A1135" s="937" t="s">
        <v>2744</v>
      </c>
      <c r="B1135" s="912" t="s">
        <v>875</v>
      </c>
      <c r="C1135" s="912" t="s">
        <v>2745</v>
      </c>
      <c r="D1135" s="912" t="s">
        <v>1679</v>
      </c>
      <c r="E1135" s="942">
        <v>1750</v>
      </c>
      <c r="F1135" s="926" t="s">
        <v>2785</v>
      </c>
      <c r="G1135" s="926" t="s">
        <v>2786</v>
      </c>
      <c r="H1135" s="926" t="s">
        <v>982</v>
      </c>
      <c r="I1135" s="912" t="s">
        <v>1412</v>
      </c>
      <c r="J1135" s="912" t="s">
        <v>2752</v>
      </c>
      <c r="K1135" s="940"/>
      <c r="L1135" s="940"/>
      <c r="M1135" s="930"/>
      <c r="N1135" s="940" t="s">
        <v>2748</v>
      </c>
      <c r="O1135" s="940" t="s">
        <v>2976</v>
      </c>
      <c r="P1135" s="930">
        <v>11575.26</v>
      </c>
    </row>
    <row r="1136" spans="1:16" x14ac:dyDescent="0.2">
      <c r="A1136" s="937" t="s">
        <v>2744</v>
      </c>
      <c r="B1136" s="912" t="s">
        <v>875</v>
      </c>
      <c r="C1136" s="912" t="s">
        <v>2745</v>
      </c>
      <c r="D1136" s="912" t="s">
        <v>1679</v>
      </c>
      <c r="E1136" s="942">
        <v>1750</v>
      </c>
      <c r="F1136" s="926" t="s">
        <v>2787</v>
      </c>
      <c r="G1136" s="926" t="s">
        <v>2788</v>
      </c>
      <c r="H1136" s="926" t="s">
        <v>982</v>
      </c>
      <c r="I1136" s="912" t="s">
        <v>1412</v>
      </c>
      <c r="J1136" s="912" t="s">
        <v>2752</v>
      </c>
      <c r="K1136" s="940"/>
      <c r="L1136" s="940"/>
      <c r="M1136" s="930"/>
      <c r="N1136" s="940" t="s">
        <v>2748</v>
      </c>
      <c r="O1136" s="940" t="s">
        <v>2976</v>
      </c>
      <c r="P1136" s="930">
        <v>11575.26</v>
      </c>
    </row>
    <row r="1137" spans="1:16" x14ac:dyDescent="0.2">
      <c r="A1137" s="937" t="s">
        <v>2744</v>
      </c>
      <c r="B1137" s="912" t="s">
        <v>875</v>
      </c>
      <c r="C1137" s="912" t="s">
        <v>2745</v>
      </c>
      <c r="D1137" s="912" t="s">
        <v>1679</v>
      </c>
      <c r="E1137" s="942">
        <v>1750</v>
      </c>
      <c r="F1137" s="926" t="s">
        <v>2789</v>
      </c>
      <c r="G1137" s="926" t="s">
        <v>2790</v>
      </c>
      <c r="H1137" s="926" t="s">
        <v>982</v>
      </c>
      <c r="I1137" s="912" t="s">
        <v>1412</v>
      </c>
      <c r="J1137" s="912" t="s">
        <v>2752</v>
      </c>
      <c r="K1137" s="940"/>
      <c r="L1137" s="940"/>
      <c r="M1137" s="930"/>
      <c r="N1137" s="940" t="s">
        <v>2748</v>
      </c>
      <c r="O1137" s="940" t="s">
        <v>2976</v>
      </c>
      <c r="P1137" s="930">
        <v>11575.26</v>
      </c>
    </row>
    <row r="1138" spans="1:16" x14ac:dyDescent="0.2">
      <c r="A1138" s="937" t="s">
        <v>2744</v>
      </c>
      <c r="B1138" s="912" t="s">
        <v>875</v>
      </c>
      <c r="C1138" s="912" t="s">
        <v>2745</v>
      </c>
      <c r="D1138" s="912" t="s">
        <v>1679</v>
      </c>
      <c r="E1138" s="942">
        <v>1750</v>
      </c>
      <c r="F1138" s="926" t="s">
        <v>2849</v>
      </c>
      <c r="G1138" s="926" t="s">
        <v>2850</v>
      </c>
      <c r="H1138" s="926" t="s">
        <v>2120</v>
      </c>
      <c r="I1138" s="912" t="s">
        <v>1412</v>
      </c>
      <c r="J1138" s="912" t="s">
        <v>2752</v>
      </c>
      <c r="K1138" s="940"/>
      <c r="L1138" s="940"/>
      <c r="M1138" s="930"/>
      <c r="N1138" s="940" t="s">
        <v>2748</v>
      </c>
      <c r="O1138" s="940" t="s">
        <v>2976</v>
      </c>
      <c r="P1138" s="930">
        <v>11575.26</v>
      </c>
    </row>
    <row r="1139" spans="1:16" x14ac:dyDescent="0.2">
      <c r="A1139" s="937" t="s">
        <v>2744</v>
      </c>
      <c r="B1139" s="912" t="s">
        <v>875</v>
      </c>
      <c r="C1139" s="912" t="s">
        <v>2745</v>
      </c>
      <c r="D1139" s="912" t="s">
        <v>1679</v>
      </c>
      <c r="E1139" s="942">
        <v>1750</v>
      </c>
      <c r="F1139" s="926" t="s">
        <v>2851</v>
      </c>
      <c r="G1139" s="926" t="s">
        <v>2852</v>
      </c>
      <c r="H1139" s="926" t="s">
        <v>982</v>
      </c>
      <c r="I1139" s="912" t="s">
        <v>1412</v>
      </c>
      <c r="J1139" s="912" t="s">
        <v>2752</v>
      </c>
      <c r="K1139" s="940"/>
      <c r="L1139" s="940"/>
      <c r="M1139" s="930"/>
      <c r="N1139" s="940" t="s">
        <v>2748</v>
      </c>
      <c r="O1139" s="940" t="s">
        <v>2976</v>
      </c>
      <c r="P1139" s="930">
        <v>11575.26</v>
      </c>
    </row>
    <row r="1140" spans="1:16" x14ac:dyDescent="0.2">
      <c r="A1140" s="937" t="s">
        <v>2744</v>
      </c>
      <c r="B1140" s="912" t="s">
        <v>875</v>
      </c>
      <c r="C1140" s="912" t="s">
        <v>2745</v>
      </c>
      <c r="D1140" s="912" t="s">
        <v>1679</v>
      </c>
      <c r="E1140" s="942">
        <v>1750</v>
      </c>
      <c r="F1140" s="926" t="s">
        <v>2853</v>
      </c>
      <c r="G1140" s="926" t="s">
        <v>2854</v>
      </c>
      <c r="H1140" s="926" t="s">
        <v>2120</v>
      </c>
      <c r="I1140" s="912" t="s">
        <v>1412</v>
      </c>
      <c r="J1140" s="912" t="s">
        <v>2752</v>
      </c>
      <c r="K1140" s="940"/>
      <c r="L1140" s="940"/>
      <c r="M1140" s="930"/>
      <c r="N1140" s="940" t="s">
        <v>2748</v>
      </c>
      <c r="O1140" s="940" t="s">
        <v>2976</v>
      </c>
      <c r="P1140" s="930">
        <v>11575.26</v>
      </c>
    </row>
    <row r="1141" spans="1:16" x14ac:dyDescent="0.2">
      <c r="A1141" s="937" t="s">
        <v>2744</v>
      </c>
      <c r="B1141" s="912" t="s">
        <v>875</v>
      </c>
      <c r="C1141" s="912" t="s">
        <v>2745</v>
      </c>
      <c r="D1141" s="912" t="s">
        <v>1679</v>
      </c>
      <c r="E1141" s="942">
        <v>1750</v>
      </c>
      <c r="F1141" s="926" t="s">
        <v>2855</v>
      </c>
      <c r="G1141" s="926" t="s">
        <v>2856</v>
      </c>
      <c r="H1141" s="926" t="s">
        <v>2120</v>
      </c>
      <c r="I1141" s="912" t="s">
        <v>1412</v>
      </c>
      <c r="J1141" s="912" t="s">
        <v>2752</v>
      </c>
      <c r="K1141" s="940"/>
      <c r="L1141" s="940"/>
      <c r="M1141" s="930"/>
      <c r="N1141" s="940" t="s">
        <v>2748</v>
      </c>
      <c r="O1141" s="940" t="s">
        <v>2976</v>
      </c>
      <c r="P1141" s="930">
        <v>11575.26</v>
      </c>
    </row>
    <row r="1142" spans="1:16" x14ac:dyDescent="0.2">
      <c r="A1142" s="937" t="s">
        <v>2744</v>
      </c>
      <c r="B1142" s="912" t="s">
        <v>875</v>
      </c>
      <c r="C1142" s="912" t="s">
        <v>2745</v>
      </c>
      <c r="D1142" s="912" t="s">
        <v>1679</v>
      </c>
      <c r="E1142" s="942">
        <v>1750</v>
      </c>
      <c r="F1142" s="926" t="s">
        <v>2857</v>
      </c>
      <c r="G1142" s="926" t="s">
        <v>2858</v>
      </c>
      <c r="H1142" s="926" t="s">
        <v>2120</v>
      </c>
      <c r="I1142" s="912" t="s">
        <v>1412</v>
      </c>
      <c r="J1142" s="912" t="s">
        <v>2752</v>
      </c>
      <c r="K1142" s="940"/>
      <c r="L1142" s="940"/>
      <c r="M1142" s="930"/>
      <c r="N1142" s="940" t="s">
        <v>2748</v>
      </c>
      <c r="O1142" s="940" t="s">
        <v>2976</v>
      </c>
      <c r="P1142" s="930">
        <v>11575.26</v>
      </c>
    </row>
    <row r="1143" spans="1:16" x14ac:dyDescent="0.2">
      <c r="A1143" s="937" t="s">
        <v>2744</v>
      </c>
      <c r="B1143" s="912" t="s">
        <v>875</v>
      </c>
      <c r="C1143" s="912" t="s">
        <v>2745</v>
      </c>
      <c r="D1143" s="912" t="s">
        <v>1679</v>
      </c>
      <c r="E1143" s="942">
        <v>1750</v>
      </c>
      <c r="F1143" s="926" t="s">
        <v>2859</v>
      </c>
      <c r="G1143" s="926" t="s">
        <v>2860</v>
      </c>
      <c r="H1143" s="926" t="s">
        <v>2120</v>
      </c>
      <c r="I1143" s="912" t="s">
        <v>1412</v>
      </c>
      <c r="J1143" s="912" t="s">
        <v>2752</v>
      </c>
      <c r="K1143" s="940"/>
      <c r="L1143" s="940"/>
      <c r="M1143" s="930"/>
      <c r="N1143" s="940" t="s">
        <v>2748</v>
      </c>
      <c r="O1143" s="940" t="s">
        <v>2976</v>
      </c>
      <c r="P1143" s="930">
        <v>11575.26</v>
      </c>
    </row>
    <row r="1144" spans="1:16" x14ac:dyDescent="0.2">
      <c r="A1144" s="937" t="s">
        <v>2744</v>
      </c>
      <c r="B1144" s="912" t="s">
        <v>875</v>
      </c>
      <c r="C1144" s="912" t="s">
        <v>2745</v>
      </c>
      <c r="D1144" s="912" t="s">
        <v>1679</v>
      </c>
      <c r="E1144" s="942">
        <v>1750</v>
      </c>
      <c r="F1144" s="926" t="s">
        <v>2861</v>
      </c>
      <c r="G1144" s="926" t="s">
        <v>2862</v>
      </c>
      <c r="H1144" s="926" t="s">
        <v>2120</v>
      </c>
      <c r="I1144" s="912" t="s">
        <v>1412</v>
      </c>
      <c r="J1144" s="912" t="s">
        <v>2752</v>
      </c>
      <c r="K1144" s="940"/>
      <c r="L1144" s="940"/>
      <c r="M1144" s="930"/>
      <c r="N1144" s="940" t="s">
        <v>2748</v>
      </c>
      <c r="O1144" s="940" t="s">
        <v>2976</v>
      </c>
      <c r="P1144" s="930">
        <v>11575.26</v>
      </c>
    </row>
    <row r="1145" spans="1:16" x14ac:dyDescent="0.2">
      <c r="A1145" s="937" t="s">
        <v>2744</v>
      </c>
      <c r="B1145" s="912" t="s">
        <v>875</v>
      </c>
      <c r="C1145" s="912" t="s">
        <v>2745</v>
      </c>
      <c r="D1145" s="912" t="s">
        <v>1537</v>
      </c>
      <c r="E1145" s="942">
        <v>1800</v>
      </c>
      <c r="F1145" s="926" t="s">
        <v>2936</v>
      </c>
      <c r="G1145" s="926" t="s">
        <v>2937</v>
      </c>
      <c r="H1145" s="926" t="s">
        <v>1028</v>
      </c>
      <c r="I1145" s="912" t="s">
        <v>1412</v>
      </c>
      <c r="J1145" s="912" t="s">
        <v>2752</v>
      </c>
      <c r="K1145" s="940"/>
      <c r="L1145" s="940"/>
      <c r="M1145" s="930"/>
      <c r="N1145" s="940" t="s">
        <v>2748</v>
      </c>
      <c r="O1145" s="940" t="s">
        <v>2976</v>
      </c>
      <c r="P1145" s="930">
        <v>11905.92</v>
      </c>
    </row>
    <row r="1146" spans="1:16" x14ac:dyDescent="0.2">
      <c r="A1146" s="937" t="s">
        <v>2744</v>
      </c>
      <c r="B1146" s="912" t="s">
        <v>875</v>
      </c>
      <c r="C1146" s="912" t="s">
        <v>2745</v>
      </c>
      <c r="D1146" s="912" t="s">
        <v>1537</v>
      </c>
      <c r="E1146" s="942">
        <v>1800</v>
      </c>
      <c r="F1146" s="926" t="s">
        <v>2797</v>
      </c>
      <c r="G1146" s="926" t="s">
        <v>2798</v>
      </c>
      <c r="H1146" s="926" t="s">
        <v>1028</v>
      </c>
      <c r="I1146" s="912" t="s">
        <v>1412</v>
      </c>
      <c r="J1146" s="912" t="s">
        <v>2752</v>
      </c>
      <c r="K1146" s="940"/>
      <c r="L1146" s="940"/>
      <c r="M1146" s="930"/>
      <c r="N1146" s="940" t="s">
        <v>2748</v>
      </c>
      <c r="O1146" s="940" t="s">
        <v>2976</v>
      </c>
      <c r="P1146" s="930">
        <v>11905.92</v>
      </c>
    </row>
    <row r="1147" spans="1:16" x14ac:dyDescent="0.2">
      <c r="A1147" s="937" t="s">
        <v>2744</v>
      </c>
      <c r="B1147" s="912" t="s">
        <v>875</v>
      </c>
      <c r="C1147" s="912" t="s">
        <v>2745</v>
      </c>
      <c r="D1147" s="912" t="s">
        <v>1537</v>
      </c>
      <c r="E1147" s="942">
        <v>1800</v>
      </c>
      <c r="F1147" s="926" t="s">
        <v>2799</v>
      </c>
      <c r="G1147" s="926" t="s">
        <v>2800</v>
      </c>
      <c r="H1147" s="926" t="s">
        <v>1028</v>
      </c>
      <c r="I1147" s="912" t="s">
        <v>1412</v>
      </c>
      <c r="J1147" s="912" t="s">
        <v>2752</v>
      </c>
      <c r="K1147" s="940"/>
      <c r="L1147" s="940"/>
      <c r="M1147" s="930"/>
      <c r="N1147" s="940" t="s">
        <v>2748</v>
      </c>
      <c r="O1147" s="940" t="s">
        <v>2976</v>
      </c>
      <c r="P1147" s="930">
        <v>11905.92</v>
      </c>
    </row>
    <row r="1148" spans="1:16" x14ac:dyDescent="0.2">
      <c r="A1148" s="937" t="s">
        <v>2744</v>
      </c>
      <c r="B1148" s="912" t="s">
        <v>875</v>
      </c>
      <c r="C1148" s="912" t="s">
        <v>2745</v>
      </c>
      <c r="D1148" s="912" t="s">
        <v>1537</v>
      </c>
      <c r="E1148" s="942">
        <v>1800</v>
      </c>
      <c r="F1148" s="926" t="s">
        <v>2801</v>
      </c>
      <c r="G1148" s="926" t="s">
        <v>2802</v>
      </c>
      <c r="H1148" s="926" t="s">
        <v>1663</v>
      </c>
      <c r="I1148" s="912" t="s">
        <v>1412</v>
      </c>
      <c r="J1148" s="912" t="s">
        <v>2752</v>
      </c>
      <c r="K1148" s="940"/>
      <c r="L1148" s="940"/>
      <c r="M1148" s="930"/>
      <c r="N1148" s="940" t="s">
        <v>2748</v>
      </c>
      <c r="O1148" s="940" t="s">
        <v>2976</v>
      </c>
      <c r="P1148" s="930">
        <v>11905.92</v>
      </c>
    </row>
    <row r="1149" spans="1:16" x14ac:dyDescent="0.2">
      <c r="A1149" s="937" t="s">
        <v>2744</v>
      </c>
      <c r="B1149" s="912" t="s">
        <v>875</v>
      </c>
      <c r="C1149" s="912" t="s">
        <v>2745</v>
      </c>
      <c r="D1149" s="912" t="s">
        <v>1679</v>
      </c>
      <c r="E1149" s="942">
        <v>2000</v>
      </c>
      <c r="F1149" s="926" t="s">
        <v>2791</v>
      </c>
      <c r="G1149" s="926" t="s">
        <v>2792</v>
      </c>
      <c r="H1149" s="926" t="s">
        <v>982</v>
      </c>
      <c r="I1149" s="912" t="s">
        <v>1412</v>
      </c>
      <c r="J1149" s="912" t="s">
        <v>2752</v>
      </c>
      <c r="K1149" s="940"/>
      <c r="L1149" s="940"/>
      <c r="M1149" s="930"/>
      <c r="N1149" s="940" t="s">
        <v>2748</v>
      </c>
      <c r="O1149" s="940" t="s">
        <v>2976</v>
      </c>
      <c r="P1149" s="930">
        <v>13228.8</v>
      </c>
    </row>
    <row r="1150" spans="1:16" x14ac:dyDescent="0.2">
      <c r="A1150" s="937" t="s">
        <v>2744</v>
      </c>
      <c r="B1150" s="912" t="s">
        <v>875</v>
      </c>
      <c r="C1150" s="912" t="s">
        <v>2745</v>
      </c>
      <c r="D1150" s="912" t="s">
        <v>1679</v>
      </c>
      <c r="E1150" s="942">
        <v>2000</v>
      </c>
      <c r="F1150" s="926" t="s">
        <v>2793</v>
      </c>
      <c r="G1150" s="926" t="s">
        <v>2794</v>
      </c>
      <c r="H1150" s="926" t="s">
        <v>982</v>
      </c>
      <c r="I1150" s="912" t="s">
        <v>1412</v>
      </c>
      <c r="J1150" s="912" t="s">
        <v>2752</v>
      </c>
      <c r="K1150" s="940"/>
      <c r="L1150" s="940"/>
      <c r="M1150" s="930"/>
      <c r="N1150" s="940" t="s">
        <v>2748</v>
      </c>
      <c r="O1150" s="940" t="s">
        <v>2976</v>
      </c>
      <c r="P1150" s="930">
        <v>13228.8</v>
      </c>
    </row>
    <row r="1151" spans="1:16" x14ac:dyDescent="0.2">
      <c r="A1151" s="937" t="s">
        <v>2744</v>
      </c>
      <c r="B1151" s="912" t="s">
        <v>875</v>
      </c>
      <c r="C1151" s="912" t="s">
        <v>2745</v>
      </c>
      <c r="D1151" s="912" t="s">
        <v>1679</v>
      </c>
      <c r="E1151" s="942">
        <v>2000</v>
      </c>
      <c r="F1151" s="926" t="s">
        <v>2863</v>
      </c>
      <c r="G1151" s="926" t="s">
        <v>2864</v>
      </c>
      <c r="H1151" s="926" t="s">
        <v>982</v>
      </c>
      <c r="I1151" s="912" t="s">
        <v>1412</v>
      </c>
      <c r="J1151" s="912" t="s">
        <v>2752</v>
      </c>
      <c r="K1151" s="940"/>
      <c r="L1151" s="940"/>
      <c r="M1151" s="930"/>
      <c r="N1151" s="940" t="s">
        <v>2748</v>
      </c>
      <c r="O1151" s="940" t="s">
        <v>2976</v>
      </c>
      <c r="P1151" s="930">
        <v>13228.8</v>
      </c>
    </row>
    <row r="1152" spans="1:16" x14ac:dyDescent="0.2">
      <c r="A1152" s="937" t="s">
        <v>2744</v>
      </c>
      <c r="B1152" s="912" t="s">
        <v>875</v>
      </c>
      <c r="C1152" s="912" t="s">
        <v>2745</v>
      </c>
      <c r="D1152" s="912" t="s">
        <v>1537</v>
      </c>
      <c r="E1152" s="942">
        <v>2239</v>
      </c>
      <c r="F1152" s="926" t="s">
        <v>2908</v>
      </c>
      <c r="G1152" s="926" t="s">
        <v>2909</v>
      </c>
      <c r="H1152" s="926" t="s">
        <v>1594</v>
      </c>
      <c r="I1152" s="912" t="s">
        <v>940</v>
      </c>
      <c r="J1152" s="912" t="s">
        <v>3095</v>
      </c>
      <c r="K1152" s="940"/>
      <c r="L1152" s="940"/>
      <c r="M1152" s="930"/>
      <c r="N1152" s="940" t="s">
        <v>2748</v>
      </c>
      <c r="O1152" s="940" t="s">
        <v>2976</v>
      </c>
      <c r="P1152" s="930">
        <v>14809.68</v>
      </c>
    </row>
    <row r="1153" spans="1:16" x14ac:dyDescent="0.2">
      <c r="A1153" s="937" t="s">
        <v>2744</v>
      </c>
      <c r="B1153" s="912" t="s">
        <v>875</v>
      </c>
      <c r="C1153" s="912" t="s">
        <v>2745</v>
      </c>
      <c r="D1153" s="912" t="s">
        <v>1537</v>
      </c>
      <c r="E1153" s="942">
        <v>2239</v>
      </c>
      <c r="F1153" s="926" t="s">
        <v>2767</v>
      </c>
      <c r="G1153" s="926" t="s">
        <v>2768</v>
      </c>
      <c r="H1153" s="926" t="s">
        <v>1594</v>
      </c>
      <c r="I1153" s="912" t="s">
        <v>940</v>
      </c>
      <c r="J1153" s="912" t="s">
        <v>3095</v>
      </c>
      <c r="K1153" s="940"/>
      <c r="L1153" s="940"/>
      <c r="M1153" s="930"/>
      <c r="N1153" s="940" t="s">
        <v>2748</v>
      </c>
      <c r="O1153" s="940" t="s">
        <v>2976</v>
      </c>
      <c r="P1153" s="930">
        <v>14809.68</v>
      </c>
    </row>
    <row r="1154" spans="1:16" x14ac:dyDescent="0.2">
      <c r="A1154" s="937" t="s">
        <v>2744</v>
      </c>
      <c r="B1154" s="912" t="s">
        <v>875</v>
      </c>
      <c r="C1154" s="912" t="s">
        <v>2745</v>
      </c>
      <c r="D1154" s="912" t="s">
        <v>1537</v>
      </c>
      <c r="E1154" s="942">
        <v>2239</v>
      </c>
      <c r="F1154" s="926" t="s">
        <v>2769</v>
      </c>
      <c r="G1154" s="926" t="s">
        <v>2770</v>
      </c>
      <c r="H1154" s="926" t="s">
        <v>1594</v>
      </c>
      <c r="I1154" s="912" t="s">
        <v>940</v>
      </c>
      <c r="J1154" s="912" t="s">
        <v>3095</v>
      </c>
      <c r="K1154" s="940"/>
      <c r="L1154" s="940"/>
      <c r="M1154" s="930"/>
      <c r="N1154" s="940" t="s">
        <v>2748</v>
      </c>
      <c r="O1154" s="940" t="s">
        <v>2976</v>
      </c>
      <c r="P1154" s="930">
        <v>14809.68</v>
      </c>
    </row>
    <row r="1155" spans="1:16" x14ac:dyDescent="0.2">
      <c r="A1155" s="937" t="s">
        <v>2744</v>
      </c>
      <c r="B1155" s="912" t="s">
        <v>875</v>
      </c>
      <c r="C1155" s="912" t="s">
        <v>2745</v>
      </c>
      <c r="D1155" s="912" t="s">
        <v>1537</v>
      </c>
      <c r="E1155" s="942">
        <v>2239</v>
      </c>
      <c r="F1155" s="926" t="s">
        <v>2771</v>
      </c>
      <c r="G1155" s="926" t="s">
        <v>2772</v>
      </c>
      <c r="H1155" s="926" t="s">
        <v>1634</v>
      </c>
      <c r="I1155" s="912" t="s">
        <v>940</v>
      </c>
      <c r="J1155" s="912" t="s">
        <v>3095</v>
      </c>
      <c r="K1155" s="940"/>
      <c r="L1155" s="940"/>
      <c r="M1155" s="930"/>
      <c r="N1155" s="940" t="s">
        <v>2748</v>
      </c>
      <c r="O1155" s="940" t="s">
        <v>2976</v>
      </c>
      <c r="P1155" s="930">
        <v>14809.68</v>
      </c>
    </row>
    <row r="1156" spans="1:16" x14ac:dyDescent="0.2">
      <c r="A1156" s="937" t="s">
        <v>2744</v>
      </c>
      <c r="B1156" s="912" t="s">
        <v>875</v>
      </c>
      <c r="C1156" s="912" t="s">
        <v>2745</v>
      </c>
      <c r="D1156" s="912" t="s">
        <v>1537</v>
      </c>
      <c r="E1156" s="942">
        <v>2239</v>
      </c>
      <c r="F1156" s="926" t="s">
        <v>2773</v>
      </c>
      <c r="G1156" s="926" t="s">
        <v>2774</v>
      </c>
      <c r="H1156" s="926" t="s">
        <v>1404</v>
      </c>
      <c r="I1156" s="912" t="s">
        <v>940</v>
      </c>
      <c r="J1156" s="912" t="s">
        <v>3095</v>
      </c>
      <c r="K1156" s="940"/>
      <c r="L1156" s="940"/>
      <c r="M1156" s="930"/>
      <c r="N1156" s="940" t="s">
        <v>2748</v>
      </c>
      <c r="O1156" s="940" t="s">
        <v>2976</v>
      </c>
      <c r="P1156" s="930">
        <v>14809.68</v>
      </c>
    </row>
    <row r="1157" spans="1:16" x14ac:dyDescent="0.2">
      <c r="A1157" s="937" t="s">
        <v>2744</v>
      </c>
      <c r="B1157" s="912" t="s">
        <v>875</v>
      </c>
      <c r="C1157" s="912" t="s">
        <v>2745</v>
      </c>
      <c r="D1157" s="912" t="s">
        <v>1537</v>
      </c>
      <c r="E1157" s="942">
        <v>2239</v>
      </c>
      <c r="F1157" s="926" t="s">
        <v>2775</v>
      </c>
      <c r="G1157" s="926" t="s">
        <v>2776</v>
      </c>
      <c r="H1157" s="926" t="s">
        <v>1404</v>
      </c>
      <c r="I1157" s="912" t="s">
        <v>940</v>
      </c>
      <c r="J1157" s="912" t="s">
        <v>3095</v>
      </c>
      <c r="K1157" s="940"/>
      <c r="L1157" s="940"/>
      <c r="M1157" s="930"/>
      <c r="N1157" s="940" t="s">
        <v>2748</v>
      </c>
      <c r="O1157" s="940" t="s">
        <v>2976</v>
      </c>
      <c r="P1157" s="930">
        <v>14809.68</v>
      </c>
    </row>
    <row r="1158" spans="1:16" x14ac:dyDescent="0.2">
      <c r="A1158" s="937" t="s">
        <v>2744</v>
      </c>
      <c r="B1158" s="912" t="s">
        <v>875</v>
      </c>
      <c r="C1158" s="912" t="s">
        <v>2745</v>
      </c>
      <c r="D1158" s="912" t="s">
        <v>1537</v>
      </c>
      <c r="E1158" s="942">
        <v>2239</v>
      </c>
      <c r="F1158" s="926" t="s">
        <v>2777</v>
      </c>
      <c r="G1158" s="926" t="s">
        <v>2778</v>
      </c>
      <c r="H1158" s="926" t="s">
        <v>1594</v>
      </c>
      <c r="I1158" s="912" t="s">
        <v>940</v>
      </c>
      <c r="J1158" s="912" t="s">
        <v>3095</v>
      </c>
      <c r="K1158" s="940"/>
      <c r="L1158" s="940"/>
      <c r="M1158" s="930"/>
      <c r="N1158" s="940" t="s">
        <v>2748</v>
      </c>
      <c r="O1158" s="940" t="s">
        <v>2976</v>
      </c>
      <c r="P1158" s="930">
        <v>14809.68</v>
      </c>
    </row>
    <row r="1159" spans="1:16" x14ac:dyDescent="0.2">
      <c r="A1159" s="937" t="s">
        <v>2744</v>
      </c>
      <c r="B1159" s="912" t="s">
        <v>875</v>
      </c>
      <c r="C1159" s="912" t="s">
        <v>2745</v>
      </c>
      <c r="D1159" s="912" t="s">
        <v>1537</v>
      </c>
      <c r="E1159" s="942">
        <v>2239</v>
      </c>
      <c r="F1159" s="926" t="s">
        <v>2916</v>
      </c>
      <c r="G1159" s="926" t="s">
        <v>2917</v>
      </c>
      <c r="H1159" s="926" t="s">
        <v>1594</v>
      </c>
      <c r="I1159" s="912" t="s">
        <v>940</v>
      </c>
      <c r="J1159" s="912" t="s">
        <v>3095</v>
      </c>
      <c r="K1159" s="940"/>
      <c r="L1159" s="940"/>
      <c r="M1159" s="930"/>
      <c r="N1159" s="940" t="s">
        <v>2748</v>
      </c>
      <c r="O1159" s="940" t="s">
        <v>2976</v>
      </c>
      <c r="P1159" s="930">
        <v>14809.68</v>
      </c>
    </row>
    <row r="1160" spans="1:16" x14ac:dyDescent="0.2">
      <c r="A1160" s="937" t="s">
        <v>2744</v>
      </c>
      <c r="B1160" s="912" t="s">
        <v>875</v>
      </c>
      <c r="C1160" s="912" t="s">
        <v>2745</v>
      </c>
      <c r="D1160" s="912" t="s">
        <v>1537</v>
      </c>
      <c r="E1160" s="942">
        <v>2239</v>
      </c>
      <c r="F1160" s="926" t="s">
        <v>2781</v>
      </c>
      <c r="G1160" s="926" t="s">
        <v>2782</v>
      </c>
      <c r="H1160" s="926" t="s">
        <v>1634</v>
      </c>
      <c r="I1160" s="912" t="s">
        <v>940</v>
      </c>
      <c r="J1160" s="912" t="s">
        <v>3095</v>
      </c>
      <c r="K1160" s="940"/>
      <c r="L1160" s="940"/>
      <c r="M1160" s="930"/>
      <c r="N1160" s="940" t="s">
        <v>2748</v>
      </c>
      <c r="O1160" s="940" t="s">
        <v>2976</v>
      </c>
      <c r="P1160" s="930">
        <v>14809.68</v>
      </c>
    </row>
    <row r="1161" spans="1:16" x14ac:dyDescent="0.2">
      <c r="A1161" s="937" t="s">
        <v>2744</v>
      </c>
      <c r="B1161" s="912" t="s">
        <v>875</v>
      </c>
      <c r="C1161" s="912" t="s">
        <v>2745</v>
      </c>
      <c r="D1161" s="912" t="s">
        <v>1537</v>
      </c>
      <c r="E1161" s="942">
        <v>2239</v>
      </c>
      <c r="F1161" s="926" t="s">
        <v>2803</v>
      </c>
      <c r="G1161" s="926" t="s">
        <v>2804</v>
      </c>
      <c r="H1161" s="926" t="s">
        <v>1594</v>
      </c>
      <c r="I1161" s="912" t="s">
        <v>940</v>
      </c>
      <c r="J1161" s="912" t="s">
        <v>3095</v>
      </c>
      <c r="K1161" s="940"/>
      <c r="L1161" s="940"/>
      <c r="M1161" s="930"/>
      <c r="N1161" s="940" t="s">
        <v>2748</v>
      </c>
      <c r="O1161" s="940" t="s">
        <v>2976</v>
      </c>
      <c r="P1161" s="930">
        <v>14809.68</v>
      </c>
    </row>
    <row r="1162" spans="1:16" x14ac:dyDescent="0.2">
      <c r="A1162" s="937" t="s">
        <v>2744</v>
      </c>
      <c r="B1162" s="912" t="s">
        <v>875</v>
      </c>
      <c r="C1162" s="912" t="s">
        <v>2745</v>
      </c>
      <c r="D1162" s="912" t="s">
        <v>1537</v>
      </c>
      <c r="E1162" s="942">
        <v>2239</v>
      </c>
      <c r="F1162" s="926" t="s">
        <v>2805</v>
      </c>
      <c r="G1162" s="926" t="s">
        <v>2806</v>
      </c>
      <c r="H1162" s="926" t="s">
        <v>2259</v>
      </c>
      <c r="I1162" s="912" t="s">
        <v>940</v>
      </c>
      <c r="J1162" s="912" t="s">
        <v>3095</v>
      </c>
      <c r="K1162" s="940"/>
      <c r="L1162" s="940"/>
      <c r="M1162" s="930"/>
      <c r="N1162" s="940" t="s">
        <v>2748</v>
      </c>
      <c r="O1162" s="940" t="s">
        <v>2976</v>
      </c>
      <c r="P1162" s="930">
        <v>14809.68</v>
      </c>
    </row>
    <row r="1163" spans="1:16" x14ac:dyDescent="0.2">
      <c r="A1163" s="937" t="s">
        <v>2744</v>
      </c>
      <c r="B1163" s="912" t="s">
        <v>875</v>
      </c>
      <c r="C1163" s="912" t="s">
        <v>2745</v>
      </c>
      <c r="D1163" s="912" t="s">
        <v>1537</v>
      </c>
      <c r="E1163" s="942">
        <v>2239</v>
      </c>
      <c r="F1163" s="926" t="s">
        <v>2807</v>
      </c>
      <c r="G1163" s="926" t="s">
        <v>2808</v>
      </c>
      <c r="H1163" s="926" t="s">
        <v>1594</v>
      </c>
      <c r="I1163" s="912" t="s">
        <v>940</v>
      </c>
      <c r="J1163" s="912" t="s">
        <v>3095</v>
      </c>
      <c r="K1163" s="940"/>
      <c r="L1163" s="940"/>
      <c r="M1163" s="930"/>
      <c r="N1163" s="940" t="s">
        <v>2748</v>
      </c>
      <c r="O1163" s="940" t="s">
        <v>2976</v>
      </c>
      <c r="P1163" s="930">
        <v>14809.68</v>
      </c>
    </row>
    <row r="1164" spans="1:16" x14ac:dyDescent="0.2">
      <c r="A1164" s="937" t="s">
        <v>2744</v>
      </c>
      <c r="B1164" s="912" t="s">
        <v>875</v>
      </c>
      <c r="C1164" s="912" t="s">
        <v>2745</v>
      </c>
      <c r="D1164" s="912" t="s">
        <v>1537</v>
      </c>
      <c r="E1164" s="942">
        <v>2239</v>
      </c>
      <c r="F1164" s="926" t="s">
        <v>2809</v>
      </c>
      <c r="G1164" s="926" t="s">
        <v>2810</v>
      </c>
      <c r="H1164" s="926" t="s">
        <v>1646</v>
      </c>
      <c r="I1164" s="912" t="s">
        <v>940</v>
      </c>
      <c r="J1164" s="912" t="s">
        <v>3095</v>
      </c>
      <c r="K1164" s="940"/>
      <c r="L1164" s="940"/>
      <c r="M1164" s="930"/>
      <c r="N1164" s="940" t="s">
        <v>2748</v>
      </c>
      <c r="O1164" s="940" t="s">
        <v>2976</v>
      </c>
      <c r="P1164" s="930">
        <v>14809.68</v>
      </c>
    </row>
    <row r="1165" spans="1:16" x14ac:dyDescent="0.2">
      <c r="A1165" s="937" t="s">
        <v>2744</v>
      </c>
      <c r="B1165" s="912" t="s">
        <v>875</v>
      </c>
      <c r="C1165" s="912" t="s">
        <v>2745</v>
      </c>
      <c r="D1165" s="912" t="s">
        <v>1537</v>
      </c>
      <c r="E1165" s="942">
        <v>2239</v>
      </c>
      <c r="F1165" s="926" t="s">
        <v>2811</v>
      </c>
      <c r="G1165" s="926" t="s">
        <v>2812</v>
      </c>
      <c r="H1165" s="926" t="s">
        <v>2259</v>
      </c>
      <c r="I1165" s="912" t="s">
        <v>940</v>
      </c>
      <c r="J1165" s="912" t="s">
        <v>3095</v>
      </c>
      <c r="K1165" s="940"/>
      <c r="L1165" s="940"/>
      <c r="M1165" s="930"/>
      <c r="N1165" s="940" t="s">
        <v>2748</v>
      </c>
      <c r="O1165" s="940" t="s">
        <v>2976</v>
      </c>
      <c r="P1165" s="930">
        <v>14809.68</v>
      </c>
    </row>
    <row r="1166" spans="1:16" x14ac:dyDescent="0.2">
      <c r="A1166" s="937" t="s">
        <v>2744</v>
      </c>
      <c r="B1166" s="912" t="s">
        <v>875</v>
      </c>
      <c r="C1166" s="912" t="s">
        <v>2745</v>
      </c>
      <c r="D1166" s="912" t="s">
        <v>1537</v>
      </c>
      <c r="E1166" s="942">
        <v>2239</v>
      </c>
      <c r="F1166" s="926" t="s">
        <v>2813</v>
      </c>
      <c r="G1166" s="926" t="s">
        <v>2814</v>
      </c>
      <c r="H1166" s="926" t="s">
        <v>1626</v>
      </c>
      <c r="I1166" s="912" t="s">
        <v>940</v>
      </c>
      <c r="J1166" s="912" t="s">
        <v>3095</v>
      </c>
      <c r="K1166" s="940"/>
      <c r="L1166" s="940"/>
      <c r="M1166" s="930"/>
      <c r="N1166" s="940" t="s">
        <v>2748</v>
      </c>
      <c r="O1166" s="940" t="s">
        <v>2976</v>
      </c>
      <c r="P1166" s="930">
        <v>14809.68</v>
      </c>
    </row>
    <row r="1167" spans="1:16" x14ac:dyDescent="0.2">
      <c r="A1167" s="937" t="s">
        <v>2744</v>
      </c>
      <c r="B1167" s="912" t="s">
        <v>875</v>
      </c>
      <c r="C1167" s="912" t="s">
        <v>2745</v>
      </c>
      <c r="D1167" s="912" t="s">
        <v>1537</v>
      </c>
      <c r="E1167" s="942">
        <v>2239</v>
      </c>
      <c r="F1167" s="926" t="s">
        <v>2815</v>
      </c>
      <c r="G1167" s="926" t="s">
        <v>2816</v>
      </c>
      <c r="H1167" s="926" t="s">
        <v>1594</v>
      </c>
      <c r="I1167" s="912" t="s">
        <v>940</v>
      </c>
      <c r="J1167" s="912" t="s">
        <v>3095</v>
      </c>
      <c r="K1167" s="940"/>
      <c r="L1167" s="940"/>
      <c r="M1167" s="930"/>
      <c r="N1167" s="940" t="s">
        <v>2748</v>
      </c>
      <c r="O1167" s="940" t="s">
        <v>2976</v>
      </c>
      <c r="P1167" s="930">
        <v>14809.68</v>
      </c>
    </row>
    <row r="1168" spans="1:16" x14ac:dyDescent="0.2">
      <c r="A1168" s="937" t="s">
        <v>2744</v>
      </c>
      <c r="B1168" s="912" t="s">
        <v>875</v>
      </c>
      <c r="C1168" s="912" t="s">
        <v>2745</v>
      </c>
      <c r="D1168" s="912" t="s">
        <v>1537</v>
      </c>
      <c r="E1168" s="942">
        <v>2250</v>
      </c>
      <c r="F1168" s="926" t="s">
        <v>2833</v>
      </c>
      <c r="G1168" s="926" t="s">
        <v>2834</v>
      </c>
      <c r="H1168" s="926" t="s">
        <v>1594</v>
      </c>
      <c r="I1168" s="912" t="s">
        <v>940</v>
      </c>
      <c r="J1168" s="912" t="s">
        <v>3095</v>
      </c>
      <c r="K1168" s="940"/>
      <c r="L1168" s="940"/>
      <c r="M1168" s="930"/>
      <c r="N1168" s="940" t="s">
        <v>2748</v>
      </c>
      <c r="O1168" s="940" t="s">
        <v>2976</v>
      </c>
      <c r="P1168" s="930">
        <v>14882.46</v>
      </c>
    </row>
    <row r="1169" spans="1:16" x14ac:dyDescent="0.2">
      <c r="A1169" s="937" t="s">
        <v>2744</v>
      </c>
      <c r="B1169" s="912" t="s">
        <v>875</v>
      </c>
      <c r="C1169" s="912" t="s">
        <v>2745</v>
      </c>
      <c r="D1169" s="912" t="s">
        <v>1537</v>
      </c>
      <c r="E1169" s="942">
        <v>2500</v>
      </c>
      <c r="F1169" s="926" t="s">
        <v>3096</v>
      </c>
      <c r="G1169" s="926" t="s">
        <v>3097</v>
      </c>
      <c r="H1169" s="926" t="s">
        <v>1634</v>
      </c>
      <c r="I1169" s="912" t="s">
        <v>940</v>
      </c>
      <c r="J1169" s="912" t="s">
        <v>3095</v>
      </c>
      <c r="K1169" s="940"/>
      <c r="L1169" s="940"/>
      <c r="M1169" s="930"/>
      <c r="N1169" s="940" t="s">
        <v>2748</v>
      </c>
      <c r="O1169" s="940" t="s">
        <v>2976</v>
      </c>
      <c r="P1169" s="930">
        <v>16492.800000000003</v>
      </c>
    </row>
    <row r="1170" spans="1:16" x14ac:dyDescent="0.2">
      <c r="A1170" s="937" t="s">
        <v>2744</v>
      </c>
      <c r="B1170" s="912" t="s">
        <v>875</v>
      </c>
      <c r="C1170" s="912" t="s">
        <v>2745</v>
      </c>
      <c r="D1170" s="912" t="s">
        <v>1537</v>
      </c>
      <c r="E1170" s="942">
        <v>2500</v>
      </c>
      <c r="F1170" s="926" t="s">
        <v>2912</v>
      </c>
      <c r="G1170" s="926" t="s">
        <v>2913</v>
      </c>
      <c r="H1170" s="926" t="s">
        <v>1594</v>
      </c>
      <c r="I1170" s="912" t="s">
        <v>940</v>
      </c>
      <c r="J1170" s="912" t="s">
        <v>3095</v>
      </c>
      <c r="K1170" s="940"/>
      <c r="L1170" s="940"/>
      <c r="M1170" s="930"/>
      <c r="N1170" s="940" t="s">
        <v>2748</v>
      </c>
      <c r="O1170" s="940" t="s">
        <v>2976</v>
      </c>
      <c r="P1170" s="930">
        <v>16492.800000000003</v>
      </c>
    </row>
    <row r="1171" spans="1:16" x14ac:dyDescent="0.2">
      <c r="A1171" s="937" t="s">
        <v>2744</v>
      </c>
      <c r="B1171" s="912" t="s">
        <v>875</v>
      </c>
      <c r="C1171" s="912" t="s">
        <v>2745</v>
      </c>
      <c r="D1171" s="912" t="s">
        <v>1537</v>
      </c>
      <c r="E1171" s="942">
        <v>2500</v>
      </c>
      <c r="F1171" s="926" t="s">
        <v>2783</v>
      </c>
      <c r="G1171" s="926" t="s">
        <v>2784</v>
      </c>
      <c r="H1171" s="926" t="s">
        <v>1634</v>
      </c>
      <c r="I1171" s="912" t="s">
        <v>940</v>
      </c>
      <c r="J1171" s="912" t="s">
        <v>3095</v>
      </c>
      <c r="K1171" s="940"/>
      <c r="L1171" s="940"/>
      <c r="M1171" s="930"/>
      <c r="N1171" s="940" t="s">
        <v>2748</v>
      </c>
      <c r="O1171" s="940" t="s">
        <v>2976</v>
      </c>
      <c r="P1171" s="930">
        <v>16492.800000000003</v>
      </c>
    </row>
    <row r="1172" spans="1:16" x14ac:dyDescent="0.2">
      <c r="A1172" s="937" t="s">
        <v>2744</v>
      </c>
      <c r="B1172" s="912" t="s">
        <v>875</v>
      </c>
      <c r="C1172" s="912" t="s">
        <v>2745</v>
      </c>
      <c r="D1172" s="912" t="s">
        <v>1537</v>
      </c>
      <c r="E1172" s="942">
        <v>2500</v>
      </c>
      <c r="F1172" s="926" t="s">
        <v>2817</v>
      </c>
      <c r="G1172" s="926" t="s">
        <v>2818</v>
      </c>
      <c r="H1172" s="926" t="s">
        <v>1594</v>
      </c>
      <c r="I1172" s="912" t="s">
        <v>940</v>
      </c>
      <c r="J1172" s="912" t="s">
        <v>3095</v>
      </c>
      <c r="K1172" s="940"/>
      <c r="L1172" s="940"/>
      <c r="M1172" s="930"/>
      <c r="N1172" s="940" t="s">
        <v>2748</v>
      </c>
      <c r="O1172" s="940" t="s">
        <v>2976</v>
      </c>
      <c r="P1172" s="930">
        <v>16492.800000000003</v>
      </c>
    </row>
    <row r="1173" spans="1:16" x14ac:dyDescent="0.2">
      <c r="A1173" s="937" t="s">
        <v>2744</v>
      </c>
      <c r="B1173" s="912" t="s">
        <v>875</v>
      </c>
      <c r="C1173" s="912" t="s">
        <v>2745</v>
      </c>
      <c r="D1173" s="912" t="s">
        <v>1537</v>
      </c>
      <c r="E1173" s="942">
        <v>2500</v>
      </c>
      <c r="F1173" s="926" t="s">
        <v>2819</v>
      </c>
      <c r="G1173" s="926" t="s">
        <v>2820</v>
      </c>
      <c r="H1173" s="926" t="s">
        <v>1634</v>
      </c>
      <c r="I1173" s="912" t="s">
        <v>940</v>
      </c>
      <c r="J1173" s="912" t="s">
        <v>3095</v>
      </c>
      <c r="K1173" s="940"/>
      <c r="L1173" s="940"/>
      <c r="M1173" s="930"/>
      <c r="N1173" s="940" t="s">
        <v>2748</v>
      </c>
      <c r="O1173" s="940" t="s">
        <v>2976</v>
      </c>
      <c r="P1173" s="930">
        <v>16492.800000000003</v>
      </c>
    </row>
    <row r="1174" spans="1:16" x14ac:dyDescent="0.2">
      <c r="A1174" s="937" t="s">
        <v>2744</v>
      </c>
      <c r="B1174" s="912" t="s">
        <v>875</v>
      </c>
      <c r="C1174" s="912" t="s">
        <v>2745</v>
      </c>
      <c r="D1174" s="912" t="s">
        <v>1537</v>
      </c>
      <c r="E1174" s="942">
        <v>2500</v>
      </c>
      <c r="F1174" s="926" t="s">
        <v>2821</v>
      </c>
      <c r="G1174" s="926" t="s">
        <v>2822</v>
      </c>
      <c r="H1174" s="926" t="s">
        <v>1707</v>
      </c>
      <c r="I1174" s="912" t="s">
        <v>940</v>
      </c>
      <c r="J1174" s="912" t="s">
        <v>3095</v>
      </c>
      <c r="K1174" s="940"/>
      <c r="L1174" s="940"/>
      <c r="M1174" s="930"/>
      <c r="N1174" s="940" t="s">
        <v>2748</v>
      </c>
      <c r="O1174" s="940" t="s">
        <v>2976</v>
      </c>
      <c r="P1174" s="930">
        <v>16492.800000000003</v>
      </c>
    </row>
    <row r="1175" spans="1:16" x14ac:dyDescent="0.2">
      <c r="A1175" s="937" t="s">
        <v>2744</v>
      </c>
      <c r="B1175" s="912" t="s">
        <v>875</v>
      </c>
      <c r="C1175" s="912" t="s">
        <v>2745</v>
      </c>
      <c r="D1175" s="912" t="s">
        <v>1537</v>
      </c>
      <c r="E1175" s="942">
        <v>2500</v>
      </c>
      <c r="F1175" s="926" t="s">
        <v>2823</v>
      </c>
      <c r="G1175" s="926" t="s">
        <v>2824</v>
      </c>
      <c r="H1175" s="926" t="s">
        <v>1634</v>
      </c>
      <c r="I1175" s="912" t="s">
        <v>940</v>
      </c>
      <c r="J1175" s="912" t="s">
        <v>3095</v>
      </c>
      <c r="K1175" s="940"/>
      <c r="L1175" s="940"/>
      <c r="M1175" s="930"/>
      <c r="N1175" s="940" t="s">
        <v>2748</v>
      </c>
      <c r="O1175" s="940" t="s">
        <v>2976</v>
      </c>
      <c r="P1175" s="930">
        <v>16492.800000000003</v>
      </c>
    </row>
    <row r="1176" spans="1:16" x14ac:dyDescent="0.2">
      <c r="A1176" s="937" t="s">
        <v>2744</v>
      </c>
      <c r="B1176" s="912" t="s">
        <v>875</v>
      </c>
      <c r="C1176" s="912" t="s">
        <v>2745</v>
      </c>
      <c r="D1176" s="912" t="s">
        <v>1537</v>
      </c>
      <c r="E1176" s="942">
        <v>2500</v>
      </c>
      <c r="F1176" s="926" t="s">
        <v>2825</v>
      </c>
      <c r="G1176" s="926" t="s">
        <v>2826</v>
      </c>
      <c r="H1176" s="926" t="s">
        <v>1634</v>
      </c>
      <c r="I1176" s="912" t="s">
        <v>940</v>
      </c>
      <c r="J1176" s="912" t="s">
        <v>3095</v>
      </c>
      <c r="K1176" s="940"/>
      <c r="L1176" s="940"/>
      <c r="M1176" s="930"/>
      <c r="N1176" s="940" t="s">
        <v>2748</v>
      </c>
      <c r="O1176" s="940" t="s">
        <v>2976</v>
      </c>
      <c r="P1176" s="930">
        <v>16492.800000000003</v>
      </c>
    </row>
    <row r="1177" spans="1:16" x14ac:dyDescent="0.2">
      <c r="A1177" s="937" t="s">
        <v>2744</v>
      </c>
      <c r="B1177" s="912" t="s">
        <v>875</v>
      </c>
      <c r="C1177" s="912" t="s">
        <v>2745</v>
      </c>
      <c r="D1177" s="912" t="s">
        <v>1537</v>
      </c>
      <c r="E1177" s="942">
        <v>2500</v>
      </c>
      <c r="F1177" s="926" t="s">
        <v>2827</v>
      </c>
      <c r="G1177" s="926" t="s">
        <v>2828</v>
      </c>
      <c r="H1177" s="926" t="s">
        <v>1594</v>
      </c>
      <c r="I1177" s="912" t="s">
        <v>940</v>
      </c>
      <c r="J1177" s="912" t="s">
        <v>3095</v>
      </c>
      <c r="K1177" s="940"/>
      <c r="L1177" s="940"/>
      <c r="M1177" s="930"/>
      <c r="N1177" s="940" t="s">
        <v>2748</v>
      </c>
      <c r="O1177" s="940" t="s">
        <v>2976</v>
      </c>
      <c r="P1177" s="930">
        <v>16492.800000000003</v>
      </c>
    </row>
    <row r="1178" spans="1:16" x14ac:dyDescent="0.2">
      <c r="A1178" s="937" t="s">
        <v>2744</v>
      </c>
      <c r="B1178" s="912" t="s">
        <v>875</v>
      </c>
      <c r="C1178" s="912" t="s">
        <v>2745</v>
      </c>
      <c r="D1178" s="912" t="s">
        <v>1537</v>
      </c>
      <c r="E1178" s="942">
        <v>2500</v>
      </c>
      <c r="F1178" s="926" t="s">
        <v>2829</v>
      </c>
      <c r="G1178" s="926" t="s">
        <v>2830</v>
      </c>
      <c r="H1178" s="926" t="s">
        <v>1594</v>
      </c>
      <c r="I1178" s="912" t="s">
        <v>940</v>
      </c>
      <c r="J1178" s="912" t="s">
        <v>3095</v>
      </c>
      <c r="K1178" s="940"/>
      <c r="L1178" s="940"/>
      <c r="M1178" s="930"/>
      <c r="N1178" s="940" t="s">
        <v>2748</v>
      </c>
      <c r="O1178" s="940" t="s">
        <v>2976</v>
      </c>
      <c r="P1178" s="930">
        <v>16492.800000000003</v>
      </c>
    </row>
    <row r="1179" spans="1:16" x14ac:dyDescent="0.2">
      <c r="A1179" s="937" t="s">
        <v>2744</v>
      </c>
      <c r="B1179" s="912" t="s">
        <v>875</v>
      </c>
      <c r="C1179" s="912" t="s">
        <v>2745</v>
      </c>
      <c r="D1179" s="912" t="s">
        <v>1537</v>
      </c>
      <c r="E1179" s="942">
        <v>2500</v>
      </c>
      <c r="F1179" s="926" t="s">
        <v>2922</v>
      </c>
      <c r="G1179" s="926" t="s">
        <v>2923</v>
      </c>
      <c r="H1179" s="926" t="s">
        <v>1641</v>
      </c>
      <c r="I1179" s="912" t="s">
        <v>940</v>
      </c>
      <c r="J1179" s="912" t="s">
        <v>3095</v>
      </c>
      <c r="K1179" s="940"/>
      <c r="L1179" s="940"/>
      <c r="M1179" s="930"/>
      <c r="N1179" s="940" t="s">
        <v>2748</v>
      </c>
      <c r="O1179" s="940" t="s">
        <v>2976</v>
      </c>
      <c r="P1179" s="930">
        <v>16492.800000000003</v>
      </c>
    </row>
    <row r="1180" spans="1:16" x14ac:dyDescent="0.2">
      <c r="A1180" s="937" t="s">
        <v>2744</v>
      </c>
      <c r="B1180" s="912" t="s">
        <v>875</v>
      </c>
      <c r="C1180" s="912" t="s">
        <v>2745</v>
      </c>
      <c r="D1180" s="912" t="s">
        <v>1537</v>
      </c>
      <c r="E1180" s="942">
        <v>2500</v>
      </c>
      <c r="F1180" s="926" t="s">
        <v>2835</v>
      </c>
      <c r="G1180" s="926" t="s">
        <v>2836</v>
      </c>
      <c r="H1180" s="926" t="s">
        <v>976</v>
      </c>
      <c r="I1180" s="912" t="s">
        <v>940</v>
      </c>
      <c r="J1180" s="912" t="s">
        <v>3095</v>
      </c>
      <c r="K1180" s="940"/>
      <c r="L1180" s="940"/>
      <c r="M1180" s="930"/>
      <c r="N1180" s="940" t="s">
        <v>2748</v>
      </c>
      <c r="O1180" s="940" t="s">
        <v>2976</v>
      </c>
      <c r="P1180" s="930">
        <v>16492.800000000003</v>
      </c>
    </row>
    <row r="1181" spans="1:16" x14ac:dyDescent="0.2">
      <c r="A1181" s="937" t="s">
        <v>2744</v>
      </c>
      <c r="B1181" s="912" t="s">
        <v>875</v>
      </c>
      <c r="C1181" s="912" t="s">
        <v>2745</v>
      </c>
      <c r="D1181" s="912" t="s">
        <v>1537</v>
      </c>
      <c r="E1181" s="942">
        <v>2689</v>
      </c>
      <c r="F1181" s="926" t="s">
        <v>2914</v>
      </c>
      <c r="G1181" s="926" t="s">
        <v>2915</v>
      </c>
      <c r="H1181" s="926" t="s">
        <v>1404</v>
      </c>
      <c r="I1181" s="912" t="s">
        <v>940</v>
      </c>
      <c r="J1181" s="912" t="s">
        <v>3095</v>
      </c>
      <c r="K1181" s="940"/>
      <c r="L1181" s="940"/>
      <c r="M1181" s="930"/>
      <c r="N1181" s="940" t="s">
        <v>2748</v>
      </c>
      <c r="O1181" s="940" t="s">
        <v>2976</v>
      </c>
      <c r="P1181" s="930">
        <v>17640.840000000004</v>
      </c>
    </row>
    <row r="1182" spans="1:16" x14ac:dyDescent="0.2">
      <c r="A1182" s="937" t="s">
        <v>2744</v>
      </c>
      <c r="B1182" s="912" t="s">
        <v>875</v>
      </c>
      <c r="C1182" s="912" t="s">
        <v>2745</v>
      </c>
      <c r="D1182" s="912" t="s">
        <v>1537</v>
      </c>
      <c r="E1182" s="942">
        <v>2689</v>
      </c>
      <c r="F1182" s="926" t="s">
        <v>2920</v>
      </c>
      <c r="G1182" s="926" t="s">
        <v>2921</v>
      </c>
      <c r="H1182" s="926" t="s">
        <v>1631</v>
      </c>
      <c r="I1182" s="912" t="s">
        <v>940</v>
      </c>
      <c r="J1182" s="912" t="s">
        <v>3095</v>
      </c>
      <c r="K1182" s="940"/>
      <c r="L1182" s="940"/>
      <c r="M1182" s="930"/>
      <c r="N1182" s="940" t="s">
        <v>2748</v>
      </c>
      <c r="O1182" s="940" t="s">
        <v>2976</v>
      </c>
      <c r="P1182" s="930">
        <v>17640.840000000004</v>
      </c>
    </row>
    <row r="1183" spans="1:16" x14ac:dyDescent="0.2">
      <c r="A1183" s="937" t="s">
        <v>2744</v>
      </c>
      <c r="B1183" s="912" t="s">
        <v>875</v>
      </c>
      <c r="C1183" s="912" t="s">
        <v>2745</v>
      </c>
      <c r="D1183" s="912" t="s">
        <v>1537</v>
      </c>
      <c r="E1183" s="942">
        <v>2689</v>
      </c>
      <c r="F1183" s="926" t="s">
        <v>2837</v>
      </c>
      <c r="G1183" s="926" t="s">
        <v>2838</v>
      </c>
      <c r="H1183" s="926" t="s">
        <v>2163</v>
      </c>
      <c r="I1183" s="912" t="s">
        <v>940</v>
      </c>
      <c r="J1183" s="912" t="s">
        <v>3095</v>
      </c>
      <c r="K1183" s="940"/>
      <c r="L1183" s="940"/>
      <c r="M1183" s="930"/>
      <c r="N1183" s="940" t="s">
        <v>2748</v>
      </c>
      <c r="O1183" s="940" t="s">
        <v>2976</v>
      </c>
      <c r="P1183" s="930">
        <v>17640.840000000004</v>
      </c>
    </row>
    <row r="1184" spans="1:16" x14ac:dyDescent="0.2">
      <c r="A1184" s="937" t="s">
        <v>2744</v>
      </c>
      <c r="B1184" s="912" t="s">
        <v>875</v>
      </c>
      <c r="C1184" s="912" t="s">
        <v>2745</v>
      </c>
      <c r="D1184" s="912" t="s">
        <v>1537</v>
      </c>
      <c r="E1184" s="942">
        <v>5000</v>
      </c>
      <c r="F1184" s="926" t="s">
        <v>2765</v>
      </c>
      <c r="G1184" s="926" t="s">
        <v>2766</v>
      </c>
      <c r="H1184" s="926" t="s">
        <v>1175</v>
      </c>
      <c r="I1184" s="912" t="s">
        <v>940</v>
      </c>
      <c r="J1184" s="912" t="s">
        <v>3095</v>
      </c>
      <c r="K1184" s="940"/>
      <c r="L1184" s="940"/>
      <c r="M1184" s="930"/>
      <c r="N1184" s="940" t="s">
        <v>2748</v>
      </c>
      <c r="O1184" s="940" t="s">
        <v>2976</v>
      </c>
      <c r="P1184" s="930">
        <v>31678.800000000003</v>
      </c>
    </row>
    <row r="1185" spans="1:16" x14ac:dyDescent="0.2">
      <c r="A1185" s="937" t="s">
        <v>2744</v>
      </c>
      <c r="B1185" s="912" t="s">
        <v>875</v>
      </c>
      <c r="C1185" s="912" t="s">
        <v>2745</v>
      </c>
      <c r="D1185" s="912" t="s">
        <v>1537</v>
      </c>
      <c r="E1185" s="942">
        <v>6500</v>
      </c>
      <c r="F1185" s="926" t="s">
        <v>2839</v>
      </c>
      <c r="G1185" s="926" t="s">
        <v>2840</v>
      </c>
      <c r="H1185" s="926" t="s">
        <v>1175</v>
      </c>
      <c r="I1185" s="912" t="s">
        <v>940</v>
      </c>
      <c r="J1185" s="912" t="s">
        <v>3095</v>
      </c>
      <c r="K1185" s="940"/>
      <c r="L1185" s="940"/>
      <c r="M1185" s="930"/>
      <c r="N1185" s="940" t="s">
        <v>2748</v>
      </c>
      <c r="O1185" s="940" t="s">
        <v>2976</v>
      </c>
      <c r="P1185" s="930">
        <v>40790.399999999994</v>
      </c>
    </row>
    <row r="1186" spans="1:16" x14ac:dyDescent="0.2">
      <c r="A1186" s="937" t="s">
        <v>2744</v>
      </c>
      <c r="B1186" s="912" t="s">
        <v>875</v>
      </c>
      <c r="C1186" s="912" t="s">
        <v>2745</v>
      </c>
      <c r="D1186" s="912" t="s">
        <v>1537</v>
      </c>
      <c r="E1186" s="942">
        <v>1800</v>
      </c>
      <c r="F1186" s="926" t="s">
        <v>2906</v>
      </c>
      <c r="G1186" s="926" t="s">
        <v>2907</v>
      </c>
      <c r="H1186" s="926" t="s">
        <v>1663</v>
      </c>
      <c r="I1186" s="912" t="s">
        <v>1412</v>
      </c>
      <c r="J1186" s="912" t="s">
        <v>2752</v>
      </c>
      <c r="K1186" s="940"/>
      <c r="L1186" s="940"/>
      <c r="M1186" s="930"/>
      <c r="N1186" s="940" t="s">
        <v>2748</v>
      </c>
      <c r="O1186" s="940" t="s">
        <v>2976</v>
      </c>
      <c r="P1186" s="930">
        <v>12000</v>
      </c>
    </row>
    <row r="1187" spans="1:16" x14ac:dyDescent="0.2">
      <c r="A1187" s="937" t="s">
        <v>2744</v>
      </c>
      <c r="B1187" s="912" t="s">
        <v>875</v>
      </c>
      <c r="C1187" s="912" t="s">
        <v>2745</v>
      </c>
      <c r="D1187" s="912" t="s">
        <v>1679</v>
      </c>
      <c r="E1187" s="942">
        <v>1500</v>
      </c>
      <c r="F1187" s="926" t="s">
        <v>2895</v>
      </c>
      <c r="G1187" s="926" t="s">
        <v>2896</v>
      </c>
      <c r="H1187" s="926" t="s">
        <v>2897</v>
      </c>
      <c r="I1187" s="912" t="s">
        <v>1412</v>
      </c>
      <c r="J1187" s="912" t="s">
        <v>2752</v>
      </c>
      <c r="K1187" s="940"/>
      <c r="L1187" s="940"/>
      <c r="M1187" s="930"/>
      <c r="N1187" s="940" t="s">
        <v>2748</v>
      </c>
      <c r="O1187" s="940" t="s">
        <v>2976</v>
      </c>
      <c r="P1187" s="930">
        <v>9921.6</v>
      </c>
    </row>
    <row r="1188" spans="1:16" x14ac:dyDescent="0.2">
      <c r="A1188" s="937" t="s">
        <v>2744</v>
      </c>
      <c r="B1188" s="912" t="s">
        <v>875</v>
      </c>
      <c r="C1188" s="912" t="s">
        <v>2745</v>
      </c>
      <c r="D1188" s="912" t="s">
        <v>1679</v>
      </c>
      <c r="E1188" s="942">
        <v>1500</v>
      </c>
      <c r="F1188" s="926" t="s">
        <v>2865</v>
      </c>
      <c r="G1188" s="926" t="s">
        <v>2866</v>
      </c>
      <c r="H1188" s="926" t="s">
        <v>982</v>
      </c>
      <c r="I1188" s="912" t="s">
        <v>1412</v>
      </c>
      <c r="J1188" s="912" t="s">
        <v>2752</v>
      </c>
      <c r="K1188" s="940"/>
      <c r="L1188" s="940"/>
      <c r="M1188" s="930"/>
      <c r="N1188" s="940" t="s">
        <v>2748</v>
      </c>
      <c r="O1188" s="940" t="s">
        <v>2976</v>
      </c>
      <c r="P1188" s="930">
        <v>9921.6</v>
      </c>
    </row>
    <row r="1189" spans="1:16" x14ac:dyDescent="0.2">
      <c r="A1189" s="937" t="s">
        <v>2744</v>
      </c>
      <c r="B1189" s="912" t="s">
        <v>875</v>
      </c>
      <c r="C1189" s="912" t="s">
        <v>2745</v>
      </c>
      <c r="D1189" s="912" t="s">
        <v>1679</v>
      </c>
      <c r="E1189" s="942">
        <v>1500</v>
      </c>
      <c r="F1189" s="926" t="s">
        <v>2900</v>
      </c>
      <c r="G1189" s="926" t="s">
        <v>2901</v>
      </c>
      <c r="H1189" s="926" t="s">
        <v>2897</v>
      </c>
      <c r="I1189" s="912" t="s">
        <v>1412</v>
      </c>
      <c r="J1189" s="912" t="s">
        <v>2752</v>
      </c>
      <c r="K1189" s="940"/>
      <c r="L1189" s="940"/>
      <c r="M1189" s="930"/>
      <c r="N1189" s="940" t="s">
        <v>2748</v>
      </c>
      <c r="O1189" s="940" t="s">
        <v>2976</v>
      </c>
      <c r="P1189" s="930">
        <v>9921.6</v>
      </c>
    </row>
    <row r="1190" spans="1:16" x14ac:dyDescent="0.2">
      <c r="A1190" s="937" t="s">
        <v>2744</v>
      </c>
      <c r="B1190" s="912" t="s">
        <v>875</v>
      </c>
      <c r="C1190" s="912" t="s">
        <v>2745</v>
      </c>
      <c r="D1190" s="912" t="s">
        <v>1679</v>
      </c>
      <c r="E1190" s="942">
        <v>1500</v>
      </c>
      <c r="F1190" s="926" t="s">
        <v>2898</v>
      </c>
      <c r="G1190" s="926" t="s">
        <v>2899</v>
      </c>
      <c r="H1190" s="926" t="s">
        <v>2897</v>
      </c>
      <c r="I1190" s="912" t="s">
        <v>1412</v>
      </c>
      <c r="J1190" s="912" t="s">
        <v>2752</v>
      </c>
      <c r="K1190" s="940"/>
      <c r="L1190" s="940"/>
      <c r="M1190" s="930"/>
      <c r="N1190" s="940" t="s">
        <v>2748</v>
      </c>
      <c r="O1190" s="940" t="s">
        <v>2976</v>
      </c>
      <c r="P1190" s="930">
        <v>9921.6</v>
      </c>
    </row>
    <row r="1191" spans="1:16" x14ac:dyDescent="0.2">
      <c r="A1191" s="937" t="s">
        <v>2744</v>
      </c>
      <c r="B1191" s="912" t="s">
        <v>875</v>
      </c>
      <c r="C1191" s="912" t="s">
        <v>2745</v>
      </c>
      <c r="D1191" s="912" t="s">
        <v>1679</v>
      </c>
      <c r="E1191" s="942">
        <v>1500</v>
      </c>
      <c r="F1191" s="926" t="s">
        <v>2902</v>
      </c>
      <c r="G1191" s="926" t="s">
        <v>2903</v>
      </c>
      <c r="H1191" s="926" t="s">
        <v>2756</v>
      </c>
      <c r="I1191" s="912" t="s">
        <v>1412</v>
      </c>
      <c r="J1191" s="912" t="s">
        <v>2752</v>
      </c>
      <c r="K1191" s="940"/>
      <c r="L1191" s="940"/>
      <c r="M1191" s="930"/>
      <c r="N1191" s="940" t="s">
        <v>2748</v>
      </c>
      <c r="O1191" s="940" t="s">
        <v>2976</v>
      </c>
      <c r="P1191" s="930">
        <v>9921.6</v>
      </c>
    </row>
    <row r="1192" spans="1:16" x14ac:dyDescent="0.2">
      <c r="A1192" s="937" t="s">
        <v>2744</v>
      </c>
      <c r="B1192" s="912" t="s">
        <v>875</v>
      </c>
      <c r="C1192" s="912" t="s">
        <v>2745</v>
      </c>
      <c r="D1192" s="912" t="s">
        <v>1537</v>
      </c>
      <c r="E1192" s="942">
        <v>1724</v>
      </c>
      <c r="F1192" s="926" t="s">
        <v>2867</v>
      </c>
      <c r="G1192" s="926" t="s">
        <v>2868</v>
      </c>
      <c r="H1192" s="926" t="s">
        <v>1878</v>
      </c>
      <c r="I1192" s="912" t="s">
        <v>1412</v>
      </c>
      <c r="J1192" s="912" t="s">
        <v>2752</v>
      </c>
      <c r="K1192" s="940"/>
      <c r="L1192" s="940"/>
      <c r="M1192" s="930"/>
      <c r="N1192" s="940" t="s">
        <v>2748</v>
      </c>
      <c r="O1192" s="940" t="s">
        <v>2976</v>
      </c>
      <c r="P1192" s="930">
        <v>11403.24</v>
      </c>
    </row>
    <row r="1193" spans="1:16" x14ac:dyDescent="0.2">
      <c r="A1193" s="937" t="s">
        <v>2744</v>
      </c>
      <c r="B1193" s="912" t="s">
        <v>875</v>
      </c>
      <c r="C1193" s="912" t="s">
        <v>2745</v>
      </c>
      <c r="D1193" s="912" t="s">
        <v>1537</v>
      </c>
      <c r="E1193" s="942">
        <v>1740</v>
      </c>
      <c r="F1193" s="926" t="s">
        <v>2910</v>
      </c>
      <c r="G1193" s="926" t="s">
        <v>2911</v>
      </c>
      <c r="H1193" s="926" t="s">
        <v>1028</v>
      </c>
      <c r="I1193" s="912" t="s">
        <v>1412</v>
      </c>
      <c r="J1193" s="912" t="s">
        <v>2752</v>
      </c>
      <c r="K1193" s="940"/>
      <c r="L1193" s="940"/>
      <c r="M1193" s="930"/>
      <c r="N1193" s="940" t="s">
        <v>2748</v>
      </c>
      <c r="O1193" s="940" t="s">
        <v>2976</v>
      </c>
      <c r="P1193" s="930">
        <v>11509.019999999999</v>
      </c>
    </row>
    <row r="1194" spans="1:16" x14ac:dyDescent="0.2">
      <c r="A1194" s="937" t="s">
        <v>2744</v>
      </c>
      <c r="B1194" s="912" t="s">
        <v>875</v>
      </c>
      <c r="C1194" s="912" t="s">
        <v>2745</v>
      </c>
      <c r="D1194" s="912" t="s">
        <v>1679</v>
      </c>
      <c r="E1194" s="942">
        <v>1750</v>
      </c>
      <c r="F1194" s="926" t="s">
        <v>2904</v>
      </c>
      <c r="G1194" s="926" t="s">
        <v>2905</v>
      </c>
      <c r="H1194" s="926" t="s">
        <v>2756</v>
      </c>
      <c r="I1194" s="912" t="s">
        <v>1412</v>
      </c>
      <c r="J1194" s="912" t="s">
        <v>2752</v>
      </c>
      <c r="K1194" s="940"/>
      <c r="L1194" s="940"/>
      <c r="M1194" s="930"/>
      <c r="N1194" s="940" t="s">
        <v>2748</v>
      </c>
      <c r="O1194" s="940" t="s">
        <v>2976</v>
      </c>
      <c r="P1194" s="930">
        <v>11575.26</v>
      </c>
    </row>
    <row r="1195" spans="1:16" x14ac:dyDescent="0.2">
      <c r="A1195" s="937" t="s">
        <v>2744</v>
      </c>
      <c r="B1195" s="912" t="s">
        <v>875</v>
      </c>
      <c r="C1195" s="912" t="s">
        <v>2745</v>
      </c>
      <c r="D1195" s="912" t="s">
        <v>1679</v>
      </c>
      <c r="E1195" s="942">
        <v>2000</v>
      </c>
      <c r="F1195" s="926" t="s">
        <v>2893</v>
      </c>
      <c r="G1195" s="926" t="s">
        <v>2894</v>
      </c>
      <c r="H1195" s="926" t="s">
        <v>982</v>
      </c>
      <c r="I1195" s="912" t="s">
        <v>1412</v>
      </c>
      <c r="J1195" s="912" t="s">
        <v>2752</v>
      </c>
      <c r="K1195" s="940"/>
      <c r="L1195" s="940"/>
      <c r="M1195" s="930"/>
      <c r="N1195" s="940" t="s">
        <v>2748</v>
      </c>
      <c r="O1195" s="940" t="s">
        <v>2976</v>
      </c>
      <c r="P1195" s="930">
        <v>13228.8</v>
      </c>
    </row>
    <row r="1196" spans="1:16" x14ac:dyDescent="0.2">
      <c r="A1196" s="937" t="s">
        <v>2744</v>
      </c>
      <c r="B1196" s="912" t="s">
        <v>875</v>
      </c>
      <c r="C1196" s="912" t="s">
        <v>2745</v>
      </c>
      <c r="D1196" s="912" t="s">
        <v>1537</v>
      </c>
      <c r="E1196" s="942">
        <v>2239</v>
      </c>
      <c r="F1196" s="926" t="s">
        <v>2928</v>
      </c>
      <c r="G1196" s="926" t="s">
        <v>2929</v>
      </c>
      <c r="H1196" s="926" t="s">
        <v>1594</v>
      </c>
      <c r="I1196" s="912" t="s">
        <v>940</v>
      </c>
      <c r="J1196" s="912" t="s">
        <v>3095</v>
      </c>
      <c r="K1196" s="940"/>
      <c r="L1196" s="940"/>
      <c r="M1196" s="930"/>
      <c r="N1196" s="940" t="s">
        <v>2748</v>
      </c>
      <c r="O1196" s="940" t="s">
        <v>2976</v>
      </c>
      <c r="P1196" s="930">
        <v>14809.68</v>
      </c>
    </row>
    <row r="1197" spans="1:16" x14ac:dyDescent="0.2">
      <c r="A1197" s="937" t="s">
        <v>2744</v>
      </c>
      <c r="B1197" s="912" t="s">
        <v>875</v>
      </c>
      <c r="C1197" s="912" t="s">
        <v>2745</v>
      </c>
      <c r="D1197" s="912" t="s">
        <v>1537</v>
      </c>
      <c r="E1197" s="942">
        <v>2239</v>
      </c>
      <c r="F1197" s="926" t="s">
        <v>2930</v>
      </c>
      <c r="G1197" s="926" t="s">
        <v>2931</v>
      </c>
      <c r="H1197" s="926" t="s">
        <v>1626</v>
      </c>
      <c r="I1197" s="912" t="s">
        <v>940</v>
      </c>
      <c r="J1197" s="912" t="s">
        <v>3095</v>
      </c>
      <c r="K1197" s="940"/>
      <c r="L1197" s="940"/>
      <c r="M1197" s="930"/>
      <c r="N1197" s="940" t="s">
        <v>2748</v>
      </c>
      <c r="O1197" s="940" t="s">
        <v>2976</v>
      </c>
      <c r="P1197" s="930">
        <v>14809.68</v>
      </c>
    </row>
    <row r="1198" spans="1:16" x14ac:dyDescent="0.2">
      <c r="A1198" s="937" t="s">
        <v>2744</v>
      </c>
      <c r="B1198" s="912" t="s">
        <v>875</v>
      </c>
      <c r="C1198" s="912" t="s">
        <v>2745</v>
      </c>
      <c r="D1198" s="912" t="s">
        <v>1537</v>
      </c>
      <c r="E1198" s="942">
        <v>2239</v>
      </c>
      <c r="F1198" s="926" t="s">
        <v>2934</v>
      </c>
      <c r="G1198" s="926" t="s">
        <v>2935</v>
      </c>
      <c r="H1198" s="926" t="s">
        <v>1594</v>
      </c>
      <c r="I1198" s="912" t="s">
        <v>940</v>
      </c>
      <c r="J1198" s="912" t="s">
        <v>3095</v>
      </c>
      <c r="K1198" s="940"/>
      <c r="L1198" s="940"/>
      <c r="M1198" s="930"/>
      <c r="N1198" s="940" t="s">
        <v>2748</v>
      </c>
      <c r="O1198" s="940" t="s">
        <v>2976</v>
      </c>
      <c r="P1198" s="930">
        <v>14809.68</v>
      </c>
    </row>
    <row r="1199" spans="1:16" x14ac:dyDescent="0.2">
      <c r="A1199" s="937" t="s">
        <v>2744</v>
      </c>
      <c r="B1199" s="912" t="s">
        <v>875</v>
      </c>
      <c r="C1199" s="912" t="s">
        <v>2745</v>
      </c>
      <c r="D1199" s="912" t="s">
        <v>1537</v>
      </c>
      <c r="E1199" s="942">
        <v>2239</v>
      </c>
      <c r="F1199" s="926" t="s">
        <v>2940</v>
      </c>
      <c r="G1199" s="926" t="s">
        <v>2941</v>
      </c>
      <c r="H1199" s="926" t="s">
        <v>2259</v>
      </c>
      <c r="I1199" s="912" t="s">
        <v>940</v>
      </c>
      <c r="J1199" s="912" t="s">
        <v>3095</v>
      </c>
      <c r="K1199" s="940"/>
      <c r="L1199" s="940"/>
      <c r="M1199" s="930"/>
      <c r="N1199" s="940" t="s">
        <v>2748</v>
      </c>
      <c r="O1199" s="940" t="s">
        <v>2976</v>
      </c>
      <c r="P1199" s="930">
        <v>14809.68</v>
      </c>
    </row>
    <row r="1200" spans="1:16" x14ac:dyDescent="0.2">
      <c r="A1200" s="937" t="s">
        <v>2744</v>
      </c>
      <c r="B1200" s="912" t="s">
        <v>875</v>
      </c>
      <c r="C1200" s="912" t="s">
        <v>2745</v>
      </c>
      <c r="D1200" s="912" t="s">
        <v>1537</v>
      </c>
      <c r="E1200" s="942">
        <v>2239</v>
      </c>
      <c r="F1200" s="926" t="s">
        <v>2873</v>
      </c>
      <c r="G1200" s="926" t="s">
        <v>2874</v>
      </c>
      <c r="H1200" s="926" t="s">
        <v>1594</v>
      </c>
      <c r="I1200" s="912" t="s">
        <v>940</v>
      </c>
      <c r="J1200" s="912" t="s">
        <v>3095</v>
      </c>
      <c r="K1200" s="940"/>
      <c r="L1200" s="940"/>
      <c r="M1200" s="930"/>
      <c r="N1200" s="940" t="s">
        <v>2748</v>
      </c>
      <c r="O1200" s="940" t="s">
        <v>2976</v>
      </c>
      <c r="P1200" s="930">
        <v>14809.68</v>
      </c>
    </row>
    <row r="1201" spans="1:16" x14ac:dyDescent="0.2">
      <c r="A1201" s="937" t="s">
        <v>2744</v>
      </c>
      <c r="B1201" s="912" t="s">
        <v>875</v>
      </c>
      <c r="C1201" s="912" t="s">
        <v>2745</v>
      </c>
      <c r="D1201" s="912" t="s">
        <v>1537</v>
      </c>
      <c r="E1201" s="942">
        <v>2239</v>
      </c>
      <c r="F1201" s="926" t="s">
        <v>2875</v>
      </c>
      <c r="G1201" s="926" t="s">
        <v>2876</v>
      </c>
      <c r="H1201" s="926" t="s">
        <v>1594</v>
      </c>
      <c r="I1201" s="912" t="s">
        <v>940</v>
      </c>
      <c r="J1201" s="912" t="s">
        <v>3095</v>
      </c>
      <c r="K1201" s="940"/>
      <c r="L1201" s="940"/>
      <c r="M1201" s="930"/>
      <c r="N1201" s="940" t="s">
        <v>2748</v>
      </c>
      <c r="O1201" s="940" t="s">
        <v>2976</v>
      </c>
      <c r="P1201" s="930">
        <v>14809.68</v>
      </c>
    </row>
    <row r="1202" spans="1:16" x14ac:dyDescent="0.2">
      <c r="A1202" s="937" t="s">
        <v>2744</v>
      </c>
      <c r="B1202" s="912" t="s">
        <v>875</v>
      </c>
      <c r="C1202" s="912" t="s">
        <v>2745</v>
      </c>
      <c r="D1202" s="912" t="s">
        <v>1537</v>
      </c>
      <c r="E1202" s="942">
        <v>2239</v>
      </c>
      <c r="F1202" s="926" t="s">
        <v>2877</v>
      </c>
      <c r="G1202" s="926" t="s">
        <v>2878</v>
      </c>
      <c r="H1202" s="926" t="s">
        <v>1626</v>
      </c>
      <c r="I1202" s="912" t="s">
        <v>940</v>
      </c>
      <c r="J1202" s="912" t="s">
        <v>3095</v>
      </c>
      <c r="K1202" s="940"/>
      <c r="L1202" s="940"/>
      <c r="M1202" s="930"/>
      <c r="N1202" s="940" t="s">
        <v>2748</v>
      </c>
      <c r="O1202" s="940" t="s">
        <v>2976</v>
      </c>
      <c r="P1202" s="930">
        <v>14809.68</v>
      </c>
    </row>
    <row r="1203" spans="1:16" x14ac:dyDescent="0.2">
      <c r="A1203" s="937" t="s">
        <v>2744</v>
      </c>
      <c r="B1203" s="912" t="s">
        <v>875</v>
      </c>
      <c r="C1203" s="912" t="s">
        <v>2745</v>
      </c>
      <c r="D1203" s="912" t="s">
        <v>1537</v>
      </c>
      <c r="E1203" s="942">
        <v>2239</v>
      </c>
      <c r="F1203" s="926" t="s">
        <v>2926</v>
      </c>
      <c r="G1203" s="926" t="s">
        <v>2927</v>
      </c>
      <c r="H1203" s="926" t="s">
        <v>1594</v>
      </c>
      <c r="I1203" s="912" t="s">
        <v>940</v>
      </c>
      <c r="J1203" s="912" t="s">
        <v>3095</v>
      </c>
      <c r="K1203" s="940"/>
      <c r="L1203" s="940"/>
      <c r="M1203" s="930"/>
      <c r="N1203" s="940" t="s">
        <v>2748</v>
      </c>
      <c r="O1203" s="940" t="s">
        <v>2976</v>
      </c>
      <c r="P1203" s="930">
        <v>14809.68</v>
      </c>
    </row>
    <row r="1204" spans="1:16" x14ac:dyDescent="0.2">
      <c r="A1204" s="937" t="s">
        <v>2744</v>
      </c>
      <c r="B1204" s="912" t="s">
        <v>875</v>
      </c>
      <c r="C1204" s="912" t="s">
        <v>2745</v>
      </c>
      <c r="D1204" s="912" t="s">
        <v>1537</v>
      </c>
      <c r="E1204" s="942">
        <v>2239</v>
      </c>
      <c r="F1204" s="926" t="s">
        <v>2948</v>
      </c>
      <c r="G1204" s="926" t="s">
        <v>2949</v>
      </c>
      <c r="H1204" s="926" t="s">
        <v>1594</v>
      </c>
      <c r="I1204" s="912" t="s">
        <v>940</v>
      </c>
      <c r="J1204" s="912" t="s">
        <v>3095</v>
      </c>
      <c r="K1204" s="940"/>
      <c r="L1204" s="940"/>
      <c r="M1204" s="930"/>
      <c r="N1204" s="940" t="s">
        <v>2748</v>
      </c>
      <c r="O1204" s="940" t="s">
        <v>2976</v>
      </c>
      <c r="P1204" s="930">
        <v>14809.68</v>
      </c>
    </row>
    <row r="1205" spans="1:16" x14ac:dyDescent="0.2">
      <c r="A1205" s="937" t="s">
        <v>2744</v>
      </c>
      <c r="B1205" s="912" t="s">
        <v>875</v>
      </c>
      <c r="C1205" s="912" t="s">
        <v>2745</v>
      </c>
      <c r="D1205" s="912" t="s">
        <v>1537</v>
      </c>
      <c r="E1205" s="942">
        <v>2239</v>
      </c>
      <c r="F1205" s="926" t="s">
        <v>2879</v>
      </c>
      <c r="G1205" s="926" t="s">
        <v>2880</v>
      </c>
      <c r="H1205" s="926" t="s">
        <v>1594</v>
      </c>
      <c r="I1205" s="912" t="s">
        <v>940</v>
      </c>
      <c r="J1205" s="912" t="s">
        <v>3095</v>
      </c>
      <c r="K1205" s="940"/>
      <c r="L1205" s="940"/>
      <c r="M1205" s="930"/>
      <c r="N1205" s="940" t="s">
        <v>2748</v>
      </c>
      <c r="O1205" s="940" t="s">
        <v>2976</v>
      </c>
      <c r="P1205" s="930">
        <v>14809.68</v>
      </c>
    </row>
    <row r="1206" spans="1:16" x14ac:dyDescent="0.2">
      <c r="A1206" s="937" t="s">
        <v>2744</v>
      </c>
      <c r="B1206" s="912" t="s">
        <v>875</v>
      </c>
      <c r="C1206" s="912" t="s">
        <v>2745</v>
      </c>
      <c r="D1206" s="912" t="s">
        <v>1537</v>
      </c>
      <c r="E1206" s="942">
        <v>2239</v>
      </c>
      <c r="F1206" s="926" t="s">
        <v>2881</v>
      </c>
      <c r="G1206" s="926" t="s">
        <v>2882</v>
      </c>
      <c r="H1206" s="926" t="s">
        <v>1631</v>
      </c>
      <c r="I1206" s="912" t="s">
        <v>940</v>
      </c>
      <c r="J1206" s="912" t="s">
        <v>3095</v>
      </c>
      <c r="K1206" s="940"/>
      <c r="L1206" s="940"/>
      <c r="M1206" s="930"/>
      <c r="N1206" s="940" t="s">
        <v>2748</v>
      </c>
      <c r="O1206" s="940" t="s">
        <v>2976</v>
      </c>
      <c r="P1206" s="930">
        <v>14809.68</v>
      </c>
    </row>
    <row r="1207" spans="1:16" x14ac:dyDescent="0.2">
      <c r="A1207" s="937" t="s">
        <v>2744</v>
      </c>
      <c r="B1207" s="912" t="s">
        <v>875</v>
      </c>
      <c r="C1207" s="912" t="s">
        <v>2745</v>
      </c>
      <c r="D1207" s="912" t="s">
        <v>1537</v>
      </c>
      <c r="E1207" s="942">
        <v>2239</v>
      </c>
      <c r="F1207" s="926" t="s">
        <v>2883</v>
      </c>
      <c r="G1207" s="926" t="s">
        <v>2884</v>
      </c>
      <c r="H1207" s="926" t="s">
        <v>1594</v>
      </c>
      <c r="I1207" s="912" t="s">
        <v>940</v>
      </c>
      <c r="J1207" s="912" t="s">
        <v>3095</v>
      </c>
      <c r="K1207" s="940"/>
      <c r="L1207" s="940"/>
      <c r="M1207" s="930"/>
      <c r="N1207" s="940" t="s">
        <v>2748</v>
      </c>
      <c r="O1207" s="940" t="s">
        <v>2976</v>
      </c>
      <c r="P1207" s="930">
        <v>14809.68</v>
      </c>
    </row>
    <row r="1208" spans="1:16" x14ac:dyDescent="0.2">
      <c r="A1208" s="937" t="s">
        <v>2744</v>
      </c>
      <c r="B1208" s="912" t="s">
        <v>875</v>
      </c>
      <c r="C1208" s="912" t="s">
        <v>2745</v>
      </c>
      <c r="D1208" s="912" t="s">
        <v>1537</v>
      </c>
      <c r="E1208" s="942">
        <v>2500</v>
      </c>
      <c r="F1208" s="926" t="s">
        <v>3098</v>
      </c>
      <c r="G1208" s="926" t="s">
        <v>3099</v>
      </c>
      <c r="H1208" s="926" t="s">
        <v>1634</v>
      </c>
      <c r="I1208" s="912" t="s">
        <v>940</v>
      </c>
      <c r="J1208" s="912" t="s">
        <v>3095</v>
      </c>
      <c r="K1208" s="940"/>
      <c r="L1208" s="940"/>
      <c r="M1208" s="930"/>
      <c r="N1208" s="940" t="s">
        <v>2748</v>
      </c>
      <c r="O1208" s="940" t="s">
        <v>2976</v>
      </c>
      <c r="P1208" s="930">
        <v>16492.800000000003</v>
      </c>
    </row>
    <row r="1209" spans="1:16" x14ac:dyDescent="0.2">
      <c r="A1209" s="937" t="s">
        <v>2744</v>
      </c>
      <c r="B1209" s="912" t="s">
        <v>875</v>
      </c>
      <c r="C1209" s="912" t="s">
        <v>2745</v>
      </c>
      <c r="D1209" s="912" t="s">
        <v>1537</v>
      </c>
      <c r="E1209" s="942">
        <v>2500</v>
      </c>
      <c r="F1209" s="926" t="s">
        <v>2885</v>
      </c>
      <c r="G1209" s="926" t="s">
        <v>2886</v>
      </c>
      <c r="H1209" s="926" t="s">
        <v>1594</v>
      </c>
      <c r="I1209" s="912" t="s">
        <v>940</v>
      </c>
      <c r="J1209" s="912" t="s">
        <v>3095</v>
      </c>
      <c r="K1209" s="940"/>
      <c r="L1209" s="940"/>
      <c r="M1209" s="930"/>
      <c r="N1209" s="940" t="s">
        <v>2748</v>
      </c>
      <c r="O1209" s="940" t="s">
        <v>2976</v>
      </c>
      <c r="P1209" s="930">
        <v>16492.800000000003</v>
      </c>
    </row>
    <row r="1210" spans="1:16" x14ac:dyDescent="0.2">
      <c r="A1210" s="937" t="s">
        <v>2744</v>
      </c>
      <c r="B1210" s="912" t="s">
        <v>875</v>
      </c>
      <c r="C1210" s="912" t="s">
        <v>2745</v>
      </c>
      <c r="D1210" s="912" t="s">
        <v>1537</v>
      </c>
      <c r="E1210" s="942">
        <v>2500</v>
      </c>
      <c r="F1210" s="926" t="s">
        <v>2887</v>
      </c>
      <c r="G1210" s="926" t="s">
        <v>2888</v>
      </c>
      <c r="H1210" s="926" t="s">
        <v>1594</v>
      </c>
      <c r="I1210" s="912" t="s">
        <v>940</v>
      </c>
      <c r="J1210" s="912" t="s">
        <v>3095</v>
      </c>
      <c r="K1210" s="940"/>
      <c r="L1210" s="940"/>
      <c r="M1210" s="930"/>
      <c r="N1210" s="940" t="s">
        <v>2748</v>
      </c>
      <c r="O1210" s="940" t="s">
        <v>2976</v>
      </c>
      <c r="P1210" s="930">
        <v>16492.800000000003</v>
      </c>
    </row>
    <row r="1211" spans="1:16" x14ac:dyDescent="0.2">
      <c r="A1211" s="937" t="s">
        <v>2744</v>
      </c>
      <c r="B1211" s="912" t="s">
        <v>875</v>
      </c>
      <c r="C1211" s="912" t="s">
        <v>2745</v>
      </c>
      <c r="D1211" s="912" t="s">
        <v>1537</v>
      </c>
      <c r="E1211" s="942">
        <v>2500</v>
      </c>
      <c r="F1211" s="926" t="s">
        <v>2889</v>
      </c>
      <c r="G1211" s="926" t="s">
        <v>2890</v>
      </c>
      <c r="H1211" s="926" t="s">
        <v>1641</v>
      </c>
      <c r="I1211" s="912" t="s">
        <v>940</v>
      </c>
      <c r="J1211" s="912" t="s">
        <v>3095</v>
      </c>
      <c r="K1211" s="940"/>
      <c r="L1211" s="940"/>
      <c r="M1211" s="930"/>
      <c r="N1211" s="940" t="s">
        <v>2748</v>
      </c>
      <c r="O1211" s="940" t="s">
        <v>2976</v>
      </c>
      <c r="P1211" s="930">
        <v>16492.800000000003</v>
      </c>
    </row>
    <row r="1212" spans="1:16" x14ac:dyDescent="0.2">
      <c r="A1212" s="937" t="s">
        <v>2744</v>
      </c>
      <c r="B1212" s="912" t="s">
        <v>875</v>
      </c>
      <c r="C1212" s="912" t="s">
        <v>2745</v>
      </c>
      <c r="D1212" s="912" t="s">
        <v>1537</v>
      </c>
      <c r="E1212" s="942">
        <v>5532</v>
      </c>
      <c r="F1212" s="926" t="s">
        <v>2938</v>
      </c>
      <c r="G1212" s="926" t="s">
        <v>2939</v>
      </c>
      <c r="H1212" s="926" t="s">
        <v>1175</v>
      </c>
      <c r="I1212" s="912" t="s">
        <v>940</v>
      </c>
      <c r="J1212" s="912" t="s">
        <v>3095</v>
      </c>
      <c r="K1212" s="940"/>
      <c r="L1212" s="940"/>
      <c r="M1212" s="930"/>
      <c r="N1212" s="940" t="s">
        <v>2748</v>
      </c>
      <c r="O1212" s="940" t="s">
        <v>2976</v>
      </c>
      <c r="P1212" s="930">
        <v>34910.400000000001</v>
      </c>
    </row>
    <row r="1213" spans="1:16" x14ac:dyDescent="0.2">
      <c r="A1213" s="937" t="s">
        <v>2744</v>
      </c>
      <c r="B1213" s="912" t="s">
        <v>875</v>
      </c>
      <c r="C1213" s="912" t="s">
        <v>2745</v>
      </c>
      <c r="D1213" s="912" t="s">
        <v>1537</v>
      </c>
      <c r="E1213" s="942">
        <v>5532</v>
      </c>
      <c r="F1213" s="926" t="s">
        <v>2946</v>
      </c>
      <c r="G1213" s="926" t="s">
        <v>2947</v>
      </c>
      <c r="H1213" s="926" t="s">
        <v>1175</v>
      </c>
      <c r="I1213" s="912" t="s">
        <v>940</v>
      </c>
      <c r="J1213" s="912" t="s">
        <v>3095</v>
      </c>
      <c r="K1213" s="940"/>
      <c r="L1213" s="940"/>
      <c r="M1213" s="930"/>
      <c r="N1213" s="940" t="s">
        <v>2748</v>
      </c>
      <c r="O1213" s="940" t="s">
        <v>2976</v>
      </c>
      <c r="P1213" s="930">
        <v>34910.400000000001</v>
      </c>
    </row>
    <row r="1214" spans="1:16" x14ac:dyDescent="0.2">
      <c r="A1214" s="937" t="s">
        <v>2744</v>
      </c>
      <c r="B1214" s="912" t="s">
        <v>875</v>
      </c>
      <c r="C1214" s="912" t="s">
        <v>2745</v>
      </c>
      <c r="D1214" s="912" t="s">
        <v>1537</v>
      </c>
      <c r="E1214" s="942">
        <v>6500</v>
      </c>
      <c r="F1214" s="926" t="s">
        <v>2918</v>
      </c>
      <c r="G1214" s="926" t="s">
        <v>2919</v>
      </c>
      <c r="H1214" s="926" t="s">
        <v>1175</v>
      </c>
      <c r="I1214" s="912" t="s">
        <v>940</v>
      </c>
      <c r="J1214" s="912" t="s">
        <v>3095</v>
      </c>
      <c r="K1214" s="940"/>
      <c r="L1214" s="940"/>
      <c r="M1214" s="930"/>
      <c r="N1214" s="940" t="s">
        <v>2748</v>
      </c>
      <c r="O1214" s="940" t="s">
        <v>2976</v>
      </c>
      <c r="P1214" s="930">
        <v>40790.399999999994</v>
      </c>
    </row>
    <row r="1215" spans="1:16" x14ac:dyDescent="0.2">
      <c r="A1215" s="937" t="s">
        <v>2744</v>
      </c>
      <c r="B1215" s="912" t="s">
        <v>875</v>
      </c>
      <c r="C1215" s="912" t="s">
        <v>2745</v>
      </c>
      <c r="D1215" s="912" t="s">
        <v>1537</v>
      </c>
      <c r="E1215" s="942">
        <v>6500</v>
      </c>
      <c r="F1215" s="926" t="s">
        <v>3100</v>
      </c>
      <c r="G1215" s="926" t="s">
        <v>3101</v>
      </c>
      <c r="H1215" s="926" t="s">
        <v>1175</v>
      </c>
      <c r="I1215" s="912" t="s">
        <v>940</v>
      </c>
      <c r="J1215" s="912" t="s">
        <v>3095</v>
      </c>
      <c r="K1215" s="940"/>
      <c r="L1215" s="940"/>
      <c r="M1215" s="930"/>
      <c r="N1215" s="940" t="s">
        <v>2748</v>
      </c>
      <c r="O1215" s="940" t="s">
        <v>2976</v>
      </c>
      <c r="P1215" s="930">
        <v>40790.399999999994</v>
      </c>
    </row>
    <row r="1216" spans="1:16" x14ac:dyDescent="0.2">
      <c r="A1216" s="937" t="s">
        <v>2744</v>
      </c>
      <c r="B1216" s="912" t="s">
        <v>875</v>
      </c>
      <c r="C1216" s="912" t="s">
        <v>2745</v>
      </c>
      <c r="D1216" s="912" t="s">
        <v>1537</v>
      </c>
      <c r="E1216" s="942">
        <v>8000</v>
      </c>
      <c r="F1216" s="926" t="s">
        <v>2932</v>
      </c>
      <c r="G1216" s="926" t="s">
        <v>2933</v>
      </c>
      <c r="H1216" s="926" t="s">
        <v>1568</v>
      </c>
      <c r="I1216" s="912" t="s">
        <v>940</v>
      </c>
      <c r="J1216" s="912" t="s">
        <v>3095</v>
      </c>
      <c r="K1216" s="940"/>
      <c r="L1216" s="940"/>
      <c r="M1216" s="930"/>
      <c r="N1216" s="940" t="s">
        <v>2748</v>
      </c>
      <c r="O1216" s="940" t="s">
        <v>2976</v>
      </c>
      <c r="P1216" s="930">
        <v>49901.999999999985</v>
      </c>
    </row>
    <row r="1217" spans="1:16" x14ac:dyDescent="0.2">
      <c r="A1217" s="937" t="s">
        <v>2744</v>
      </c>
      <c r="B1217" s="912" t="s">
        <v>875</v>
      </c>
      <c r="C1217" s="912" t="s">
        <v>2745</v>
      </c>
      <c r="D1217" s="912" t="s">
        <v>1679</v>
      </c>
      <c r="E1217" s="942">
        <v>10000</v>
      </c>
      <c r="F1217" s="926" t="s">
        <v>3102</v>
      </c>
      <c r="G1217" s="926" t="s">
        <v>3103</v>
      </c>
      <c r="H1217" s="926" t="s">
        <v>1682</v>
      </c>
      <c r="I1217" s="912" t="s">
        <v>940</v>
      </c>
      <c r="J1217" s="912" t="s">
        <v>3095</v>
      </c>
      <c r="K1217" s="940"/>
      <c r="L1217" s="940"/>
      <c r="M1217" s="930"/>
      <c r="N1217" s="940" t="s">
        <v>2748</v>
      </c>
      <c r="O1217" s="940" t="s">
        <v>2976</v>
      </c>
      <c r="P1217" s="930">
        <v>62050.799999999996</v>
      </c>
    </row>
    <row r="1218" spans="1:16" x14ac:dyDescent="0.2">
      <c r="A1218" s="937" t="s">
        <v>2744</v>
      </c>
      <c r="B1218" s="912" t="s">
        <v>875</v>
      </c>
      <c r="C1218" s="912" t="s">
        <v>2745</v>
      </c>
      <c r="D1218" s="912" t="s">
        <v>1679</v>
      </c>
      <c r="E1218" s="942">
        <v>11000</v>
      </c>
      <c r="F1218" s="926" t="s">
        <v>3104</v>
      </c>
      <c r="G1218" s="926" t="s">
        <v>3105</v>
      </c>
      <c r="H1218" s="926" t="s">
        <v>2366</v>
      </c>
      <c r="I1218" s="912" t="s">
        <v>940</v>
      </c>
      <c r="J1218" s="912" t="s">
        <v>3095</v>
      </c>
      <c r="K1218" s="940"/>
      <c r="L1218" s="940"/>
      <c r="M1218" s="930"/>
      <c r="N1218" s="940" t="s">
        <v>2748</v>
      </c>
      <c r="O1218" s="940" t="s">
        <v>2976</v>
      </c>
      <c r="P1218" s="930">
        <v>68090.22</v>
      </c>
    </row>
    <row r="1219" spans="1:16" x14ac:dyDescent="0.2">
      <c r="A1219" s="937" t="s">
        <v>2744</v>
      </c>
      <c r="B1219" s="912" t="s">
        <v>875</v>
      </c>
      <c r="C1219" s="912" t="s">
        <v>2745</v>
      </c>
      <c r="D1219" s="912" t="s">
        <v>1537</v>
      </c>
      <c r="E1219" s="942">
        <v>2500</v>
      </c>
      <c r="F1219" s="926" t="s">
        <v>2944</v>
      </c>
      <c r="G1219" s="926" t="s">
        <v>2945</v>
      </c>
      <c r="H1219" s="926" t="s">
        <v>1626</v>
      </c>
      <c r="I1219" s="912" t="s">
        <v>940</v>
      </c>
      <c r="J1219" s="912" t="s">
        <v>3095</v>
      </c>
      <c r="K1219" s="940"/>
      <c r="L1219" s="940"/>
      <c r="M1219" s="943"/>
      <c r="N1219" s="940" t="s">
        <v>2748</v>
      </c>
      <c r="O1219" s="940" t="s">
        <v>2976</v>
      </c>
      <c r="P1219" s="930">
        <v>16492.800000000003</v>
      </c>
    </row>
    <row r="1220" spans="1:16" x14ac:dyDescent="0.2">
      <c r="A1220" s="937" t="s">
        <v>2744</v>
      </c>
      <c r="B1220" s="912" t="s">
        <v>875</v>
      </c>
      <c r="C1220" s="912" t="s">
        <v>2973</v>
      </c>
      <c r="D1220" s="912" t="s">
        <v>1537</v>
      </c>
      <c r="E1220" s="942">
        <v>2120</v>
      </c>
      <c r="F1220" s="926" t="s">
        <v>2974</v>
      </c>
      <c r="G1220" s="926" t="s">
        <v>2975</v>
      </c>
      <c r="H1220" s="926" t="s">
        <v>1784</v>
      </c>
      <c r="I1220" s="912" t="s">
        <v>1020</v>
      </c>
      <c r="J1220" s="912" t="s">
        <v>1020</v>
      </c>
      <c r="K1220" s="935"/>
      <c r="L1220" s="935"/>
      <c r="M1220" s="930"/>
      <c r="N1220" s="940" t="s">
        <v>3106</v>
      </c>
      <c r="O1220" s="940" t="s">
        <v>2976</v>
      </c>
      <c r="P1220" s="930">
        <v>14022.54</v>
      </c>
    </row>
    <row r="1221" spans="1:16" x14ac:dyDescent="0.2">
      <c r="A1221" s="937" t="s">
        <v>2744</v>
      </c>
      <c r="B1221" s="912" t="s">
        <v>875</v>
      </c>
      <c r="C1221" s="912" t="s">
        <v>2973</v>
      </c>
      <c r="D1221" s="912" t="s">
        <v>1537</v>
      </c>
      <c r="E1221" s="942">
        <v>2120</v>
      </c>
      <c r="F1221" s="926" t="s">
        <v>2978</v>
      </c>
      <c r="G1221" s="926" t="s">
        <v>2979</v>
      </c>
      <c r="H1221" s="926" t="s">
        <v>1784</v>
      </c>
      <c r="I1221" s="912" t="s">
        <v>1020</v>
      </c>
      <c r="J1221" s="912" t="s">
        <v>1020</v>
      </c>
      <c r="K1221" s="935"/>
      <c r="L1221" s="935"/>
      <c r="M1221" s="930"/>
      <c r="N1221" s="940" t="s">
        <v>3106</v>
      </c>
      <c r="O1221" s="940" t="s">
        <v>2976</v>
      </c>
      <c r="P1221" s="930">
        <v>14022.54</v>
      </c>
    </row>
    <row r="1222" spans="1:16" x14ac:dyDescent="0.2">
      <c r="A1222" s="937" t="s">
        <v>2744</v>
      </c>
      <c r="B1222" s="912" t="s">
        <v>875</v>
      </c>
      <c r="C1222" s="912" t="s">
        <v>2973</v>
      </c>
      <c r="D1222" s="912" t="s">
        <v>1537</v>
      </c>
      <c r="E1222" s="942">
        <v>2120</v>
      </c>
      <c r="F1222" s="926" t="s">
        <v>3107</v>
      </c>
      <c r="G1222" s="926" t="s">
        <v>3108</v>
      </c>
      <c r="H1222" s="926" t="s">
        <v>1784</v>
      </c>
      <c r="I1222" s="912" t="s">
        <v>1020</v>
      </c>
      <c r="J1222" s="912" t="s">
        <v>1020</v>
      </c>
      <c r="K1222" s="935"/>
      <c r="L1222" s="935"/>
      <c r="M1222" s="930"/>
      <c r="N1222" s="940" t="s">
        <v>3106</v>
      </c>
      <c r="O1222" s="940" t="s">
        <v>2976</v>
      </c>
      <c r="P1222" s="930">
        <v>14022.54</v>
      </c>
    </row>
    <row r="1223" spans="1:16" x14ac:dyDescent="0.2">
      <c r="A1223" s="937" t="s">
        <v>2744</v>
      </c>
      <c r="B1223" s="912" t="s">
        <v>875</v>
      </c>
      <c r="C1223" s="912" t="s">
        <v>2973</v>
      </c>
      <c r="D1223" s="912" t="s">
        <v>1537</v>
      </c>
      <c r="E1223" s="942">
        <v>2120</v>
      </c>
      <c r="F1223" s="926" t="s">
        <v>3109</v>
      </c>
      <c r="G1223" s="926" t="s">
        <v>3110</v>
      </c>
      <c r="H1223" s="926" t="s">
        <v>1784</v>
      </c>
      <c r="I1223" s="912" t="s">
        <v>1020</v>
      </c>
      <c r="J1223" s="912" t="s">
        <v>1020</v>
      </c>
      <c r="K1223" s="935"/>
      <c r="L1223" s="935"/>
      <c r="M1223" s="930"/>
      <c r="N1223" s="940" t="s">
        <v>3106</v>
      </c>
      <c r="O1223" s="940" t="s">
        <v>2976</v>
      </c>
      <c r="P1223" s="930">
        <v>14022.54</v>
      </c>
    </row>
    <row r="1224" spans="1:16" x14ac:dyDescent="0.2">
      <c r="A1224" s="937" t="s">
        <v>2744</v>
      </c>
      <c r="B1224" s="912" t="s">
        <v>875</v>
      </c>
      <c r="C1224" s="912" t="s">
        <v>2973</v>
      </c>
      <c r="D1224" s="912" t="s">
        <v>1537</v>
      </c>
      <c r="E1224" s="942">
        <v>2120</v>
      </c>
      <c r="F1224" s="926" t="s">
        <v>2980</v>
      </c>
      <c r="G1224" s="926" t="s">
        <v>2981</v>
      </c>
      <c r="H1224" s="926" t="s">
        <v>1784</v>
      </c>
      <c r="I1224" s="912" t="s">
        <v>1020</v>
      </c>
      <c r="J1224" s="912" t="s">
        <v>1020</v>
      </c>
      <c r="K1224" s="935"/>
      <c r="L1224" s="935"/>
      <c r="M1224" s="930"/>
      <c r="N1224" s="940" t="s">
        <v>3106</v>
      </c>
      <c r="O1224" s="940" t="s">
        <v>2976</v>
      </c>
      <c r="P1224" s="930">
        <v>14022.54</v>
      </c>
    </row>
    <row r="1225" spans="1:16" x14ac:dyDescent="0.2">
      <c r="A1225" s="937" t="s">
        <v>2744</v>
      </c>
      <c r="B1225" s="912" t="s">
        <v>875</v>
      </c>
      <c r="C1225" s="912" t="s">
        <v>2973</v>
      </c>
      <c r="D1225" s="912" t="s">
        <v>1537</v>
      </c>
      <c r="E1225" s="942">
        <v>2120</v>
      </c>
      <c r="F1225" s="926" t="s">
        <v>3111</v>
      </c>
      <c r="G1225" s="926" t="s">
        <v>3112</v>
      </c>
      <c r="H1225" s="926" t="s">
        <v>1784</v>
      </c>
      <c r="I1225" s="912" t="s">
        <v>1020</v>
      </c>
      <c r="J1225" s="912" t="s">
        <v>1020</v>
      </c>
      <c r="K1225" s="935"/>
      <c r="L1225" s="935"/>
      <c r="M1225" s="930"/>
      <c r="N1225" s="940" t="s">
        <v>3106</v>
      </c>
      <c r="O1225" s="940" t="s">
        <v>2976</v>
      </c>
      <c r="P1225" s="930">
        <v>14022.54</v>
      </c>
    </row>
    <row r="1226" spans="1:16" x14ac:dyDescent="0.2">
      <c r="A1226" s="937" t="s">
        <v>2744</v>
      </c>
      <c r="B1226" s="912" t="s">
        <v>875</v>
      </c>
      <c r="C1226" s="912" t="s">
        <v>2973</v>
      </c>
      <c r="D1226" s="912" t="s">
        <v>1537</v>
      </c>
      <c r="E1226" s="942">
        <v>2120</v>
      </c>
      <c r="F1226" s="926" t="s">
        <v>2982</v>
      </c>
      <c r="G1226" s="926" t="s">
        <v>2983</v>
      </c>
      <c r="H1226" s="926" t="s">
        <v>2446</v>
      </c>
      <c r="I1226" s="912" t="s">
        <v>1020</v>
      </c>
      <c r="J1226" s="912" t="s">
        <v>1020</v>
      </c>
      <c r="K1226" s="935"/>
      <c r="L1226" s="935"/>
      <c r="M1226" s="930"/>
      <c r="N1226" s="940" t="s">
        <v>3106</v>
      </c>
      <c r="O1226" s="940" t="s">
        <v>2976</v>
      </c>
      <c r="P1226" s="930">
        <v>14022.54</v>
      </c>
    </row>
    <row r="1227" spans="1:16" x14ac:dyDescent="0.2">
      <c r="A1227" s="937" t="s">
        <v>2744</v>
      </c>
      <c r="B1227" s="912" t="s">
        <v>875</v>
      </c>
      <c r="C1227" s="912" t="s">
        <v>2973</v>
      </c>
      <c r="D1227" s="912" t="s">
        <v>1537</v>
      </c>
      <c r="E1227" s="942">
        <v>2120</v>
      </c>
      <c r="F1227" s="926" t="s">
        <v>3113</v>
      </c>
      <c r="G1227" s="926" t="s">
        <v>3114</v>
      </c>
      <c r="H1227" s="926" t="s">
        <v>1784</v>
      </c>
      <c r="I1227" s="912" t="s">
        <v>1020</v>
      </c>
      <c r="J1227" s="912" t="s">
        <v>1020</v>
      </c>
      <c r="K1227" s="935"/>
      <c r="L1227" s="935"/>
      <c r="M1227" s="930"/>
      <c r="N1227" s="940" t="s">
        <v>3106</v>
      </c>
      <c r="O1227" s="940" t="s">
        <v>2976</v>
      </c>
      <c r="P1227" s="930">
        <v>14022.54</v>
      </c>
    </row>
    <row r="1228" spans="1:16" x14ac:dyDescent="0.2">
      <c r="A1228" s="937" t="s">
        <v>2744</v>
      </c>
      <c r="B1228" s="912" t="s">
        <v>875</v>
      </c>
      <c r="C1228" s="912" t="s">
        <v>2973</v>
      </c>
      <c r="D1228" s="912" t="s">
        <v>1537</v>
      </c>
      <c r="E1228" s="942">
        <v>2120</v>
      </c>
      <c r="F1228" s="926" t="s">
        <v>2984</v>
      </c>
      <c r="G1228" s="926" t="s">
        <v>2985</v>
      </c>
      <c r="H1228" s="926" t="s">
        <v>1784</v>
      </c>
      <c r="I1228" s="912" t="s">
        <v>1020</v>
      </c>
      <c r="J1228" s="912" t="s">
        <v>1020</v>
      </c>
      <c r="K1228" s="935"/>
      <c r="L1228" s="935"/>
      <c r="M1228" s="930"/>
      <c r="N1228" s="940" t="s">
        <v>3106</v>
      </c>
      <c r="O1228" s="940" t="s">
        <v>2976</v>
      </c>
      <c r="P1228" s="930">
        <v>14022.54</v>
      </c>
    </row>
    <row r="1229" spans="1:16" x14ac:dyDescent="0.2">
      <c r="A1229" s="937" t="s">
        <v>2744</v>
      </c>
      <c r="B1229" s="912" t="s">
        <v>875</v>
      </c>
      <c r="C1229" s="912" t="s">
        <v>2973</v>
      </c>
      <c r="D1229" s="912" t="s">
        <v>1537</v>
      </c>
      <c r="E1229" s="942">
        <v>2120</v>
      </c>
      <c r="F1229" s="926" t="s">
        <v>3115</v>
      </c>
      <c r="G1229" s="926" t="s">
        <v>3116</v>
      </c>
      <c r="H1229" s="926" t="s">
        <v>1784</v>
      </c>
      <c r="I1229" s="912" t="s">
        <v>1020</v>
      </c>
      <c r="J1229" s="912" t="s">
        <v>1020</v>
      </c>
      <c r="K1229" s="935"/>
      <c r="L1229" s="935"/>
      <c r="M1229" s="930"/>
      <c r="N1229" s="940" t="s">
        <v>3106</v>
      </c>
      <c r="O1229" s="940" t="s">
        <v>2976</v>
      </c>
      <c r="P1229" s="930">
        <v>14022.54</v>
      </c>
    </row>
    <row r="1230" spans="1:16" x14ac:dyDescent="0.2">
      <c r="A1230" s="937" t="s">
        <v>2744</v>
      </c>
      <c r="B1230" s="912" t="s">
        <v>875</v>
      </c>
      <c r="C1230" s="912" t="s">
        <v>2973</v>
      </c>
      <c r="D1230" s="912" t="s">
        <v>1537</v>
      </c>
      <c r="E1230" s="942">
        <v>2120</v>
      </c>
      <c r="F1230" s="926" t="s">
        <v>2986</v>
      </c>
      <c r="G1230" s="926" t="s">
        <v>2987</v>
      </c>
      <c r="H1230" s="926" t="s">
        <v>1784</v>
      </c>
      <c r="I1230" s="912" t="s">
        <v>1020</v>
      </c>
      <c r="J1230" s="912" t="s">
        <v>1020</v>
      </c>
      <c r="K1230" s="935"/>
      <c r="L1230" s="935"/>
      <c r="M1230" s="930"/>
      <c r="N1230" s="940" t="s">
        <v>3106</v>
      </c>
      <c r="O1230" s="940" t="s">
        <v>2976</v>
      </c>
      <c r="P1230" s="930">
        <v>14022.54</v>
      </c>
    </row>
    <row r="1231" spans="1:16" x14ac:dyDescent="0.2">
      <c r="A1231" s="937" t="s">
        <v>2744</v>
      </c>
      <c r="B1231" s="912" t="s">
        <v>875</v>
      </c>
      <c r="C1231" s="912" t="s">
        <v>2973</v>
      </c>
      <c r="D1231" s="912" t="s">
        <v>1537</v>
      </c>
      <c r="E1231" s="942">
        <v>2120</v>
      </c>
      <c r="F1231" s="926" t="s">
        <v>3117</v>
      </c>
      <c r="G1231" s="926" t="s">
        <v>3118</v>
      </c>
      <c r="H1231" s="926" t="s">
        <v>1784</v>
      </c>
      <c r="I1231" s="912" t="s">
        <v>1020</v>
      </c>
      <c r="J1231" s="912" t="s">
        <v>1020</v>
      </c>
      <c r="K1231" s="935"/>
      <c r="L1231" s="935"/>
      <c r="M1231" s="930"/>
      <c r="N1231" s="940" t="s">
        <v>3106</v>
      </c>
      <c r="O1231" s="940" t="s">
        <v>2976</v>
      </c>
      <c r="P1231" s="930">
        <v>14022.54</v>
      </c>
    </row>
    <row r="1232" spans="1:16" x14ac:dyDescent="0.2">
      <c r="A1232" s="937" t="s">
        <v>2744</v>
      </c>
      <c r="B1232" s="912" t="s">
        <v>875</v>
      </c>
      <c r="C1232" s="912" t="s">
        <v>2973</v>
      </c>
      <c r="D1232" s="912" t="s">
        <v>1537</v>
      </c>
      <c r="E1232" s="942">
        <v>2120</v>
      </c>
      <c r="F1232" s="926" t="s">
        <v>2988</v>
      </c>
      <c r="G1232" s="926" t="s">
        <v>2989</v>
      </c>
      <c r="H1232" s="926" t="s">
        <v>1784</v>
      </c>
      <c r="I1232" s="912" t="s">
        <v>1020</v>
      </c>
      <c r="J1232" s="912" t="s">
        <v>1020</v>
      </c>
      <c r="K1232" s="935"/>
      <c r="L1232" s="935"/>
      <c r="M1232" s="930"/>
      <c r="N1232" s="940" t="s">
        <v>3106</v>
      </c>
      <c r="O1232" s="940" t="s">
        <v>2976</v>
      </c>
      <c r="P1232" s="930">
        <v>14022.54</v>
      </c>
    </row>
    <row r="1233" spans="1:16" x14ac:dyDescent="0.2">
      <c r="A1233" s="937" t="s">
        <v>2744</v>
      </c>
      <c r="B1233" s="912" t="s">
        <v>875</v>
      </c>
      <c r="C1233" s="912" t="s">
        <v>2973</v>
      </c>
      <c r="D1233" s="912" t="s">
        <v>1537</v>
      </c>
      <c r="E1233" s="942">
        <v>2120</v>
      </c>
      <c r="F1233" s="926" t="s">
        <v>2992</v>
      </c>
      <c r="G1233" s="926" t="s">
        <v>2993</v>
      </c>
      <c r="H1233" s="926" t="s">
        <v>1784</v>
      </c>
      <c r="I1233" s="912" t="s">
        <v>1020</v>
      </c>
      <c r="J1233" s="912" t="s">
        <v>1020</v>
      </c>
      <c r="K1233" s="935"/>
      <c r="L1233" s="935"/>
      <c r="M1233" s="930"/>
      <c r="N1233" s="940" t="s">
        <v>3106</v>
      </c>
      <c r="O1233" s="940" t="s">
        <v>2976</v>
      </c>
      <c r="P1233" s="930">
        <v>14022.54</v>
      </c>
    </row>
    <row r="1234" spans="1:16" x14ac:dyDescent="0.2">
      <c r="A1234" s="937" t="s">
        <v>2744</v>
      </c>
      <c r="B1234" s="912" t="s">
        <v>875</v>
      </c>
      <c r="C1234" s="912" t="s">
        <v>2973</v>
      </c>
      <c r="D1234" s="912" t="s">
        <v>1537</v>
      </c>
      <c r="E1234" s="942">
        <v>2120</v>
      </c>
      <c r="F1234" s="926" t="s">
        <v>2994</v>
      </c>
      <c r="G1234" s="926" t="s">
        <v>2995</v>
      </c>
      <c r="H1234" s="926" t="s">
        <v>1784</v>
      </c>
      <c r="I1234" s="912" t="s">
        <v>1020</v>
      </c>
      <c r="J1234" s="912" t="s">
        <v>1020</v>
      </c>
      <c r="K1234" s="935"/>
      <c r="L1234" s="935"/>
      <c r="M1234" s="930"/>
      <c r="N1234" s="940" t="s">
        <v>3106</v>
      </c>
      <c r="O1234" s="940" t="s">
        <v>2976</v>
      </c>
      <c r="P1234" s="930">
        <v>14022.54</v>
      </c>
    </row>
    <row r="1235" spans="1:16" x14ac:dyDescent="0.2">
      <c r="A1235" s="937" t="s">
        <v>2744</v>
      </c>
      <c r="B1235" s="912" t="s">
        <v>875</v>
      </c>
      <c r="C1235" s="912" t="s">
        <v>2973</v>
      </c>
      <c r="D1235" s="912" t="s">
        <v>1537</v>
      </c>
      <c r="E1235" s="942">
        <v>2120</v>
      </c>
      <c r="F1235" s="926" t="s">
        <v>3119</v>
      </c>
      <c r="G1235" s="926" t="s">
        <v>3120</v>
      </c>
      <c r="H1235" s="926" t="s">
        <v>1784</v>
      </c>
      <c r="I1235" s="912" t="s">
        <v>1020</v>
      </c>
      <c r="J1235" s="912" t="s">
        <v>1020</v>
      </c>
      <c r="K1235" s="935"/>
      <c r="L1235" s="935"/>
      <c r="M1235" s="930"/>
      <c r="N1235" s="940" t="s">
        <v>3106</v>
      </c>
      <c r="O1235" s="940" t="s">
        <v>2976</v>
      </c>
      <c r="P1235" s="930">
        <v>14022.54</v>
      </c>
    </row>
    <row r="1236" spans="1:16" x14ac:dyDescent="0.2">
      <c r="A1236" s="937" t="s">
        <v>2744</v>
      </c>
      <c r="B1236" s="912" t="s">
        <v>875</v>
      </c>
      <c r="C1236" s="912" t="s">
        <v>2973</v>
      </c>
      <c r="D1236" s="912" t="s">
        <v>1537</v>
      </c>
      <c r="E1236" s="942">
        <v>2120</v>
      </c>
      <c r="F1236" s="926" t="s">
        <v>2996</v>
      </c>
      <c r="G1236" s="926" t="s">
        <v>2997</v>
      </c>
      <c r="H1236" s="926" t="s">
        <v>1784</v>
      </c>
      <c r="I1236" s="912" t="s">
        <v>1020</v>
      </c>
      <c r="J1236" s="912" t="s">
        <v>1020</v>
      </c>
      <c r="K1236" s="935"/>
      <c r="L1236" s="935"/>
      <c r="M1236" s="930"/>
      <c r="N1236" s="940" t="s">
        <v>3106</v>
      </c>
      <c r="O1236" s="940" t="s">
        <v>2976</v>
      </c>
      <c r="P1236" s="930">
        <v>14022.54</v>
      </c>
    </row>
    <row r="1237" spans="1:16" x14ac:dyDescent="0.2">
      <c r="A1237" s="937" t="s">
        <v>2744</v>
      </c>
      <c r="B1237" s="912" t="s">
        <v>875</v>
      </c>
      <c r="C1237" s="912" t="s">
        <v>2973</v>
      </c>
      <c r="D1237" s="912" t="s">
        <v>1537</v>
      </c>
      <c r="E1237" s="942">
        <v>2120</v>
      </c>
      <c r="F1237" s="926" t="s">
        <v>3121</v>
      </c>
      <c r="G1237" s="926" t="s">
        <v>3122</v>
      </c>
      <c r="H1237" s="926" t="s">
        <v>1784</v>
      </c>
      <c r="I1237" s="912" t="s">
        <v>1020</v>
      </c>
      <c r="J1237" s="912" t="s">
        <v>1020</v>
      </c>
      <c r="K1237" s="935"/>
      <c r="L1237" s="935"/>
      <c r="M1237" s="930"/>
      <c r="N1237" s="940" t="s">
        <v>3106</v>
      </c>
      <c r="O1237" s="940" t="s">
        <v>2976</v>
      </c>
      <c r="P1237" s="930">
        <v>14022.54</v>
      </c>
    </row>
    <row r="1238" spans="1:16" x14ac:dyDescent="0.2">
      <c r="A1238" s="937" t="s">
        <v>2744</v>
      </c>
      <c r="B1238" s="912" t="s">
        <v>875</v>
      </c>
      <c r="C1238" s="912" t="s">
        <v>2973</v>
      </c>
      <c r="D1238" s="912" t="s">
        <v>1537</v>
      </c>
      <c r="E1238" s="942">
        <v>2120</v>
      </c>
      <c r="F1238" s="926" t="s">
        <v>2998</v>
      </c>
      <c r="G1238" s="926" t="s">
        <v>2999</v>
      </c>
      <c r="H1238" s="926" t="s">
        <v>1784</v>
      </c>
      <c r="I1238" s="912" t="s">
        <v>1020</v>
      </c>
      <c r="J1238" s="912" t="s">
        <v>1020</v>
      </c>
      <c r="K1238" s="935"/>
      <c r="L1238" s="935"/>
      <c r="M1238" s="930"/>
      <c r="N1238" s="940" t="s">
        <v>3106</v>
      </c>
      <c r="O1238" s="940" t="s">
        <v>2976</v>
      </c>
      <c r="P1238" s="930">
        <v>14022.54</v>
      </c>
    </row>
    <row r="1239" spans="1:16" x14ac:dyDescent="0.2">
      <c r="A1239" s="937" t="s">
        <v>2744</v>
      </c>
      <c r="B1239" s="912" t="s">
        <v>875</v>
      </c>
      <c r="C1239" s="912" t="s">
        <v>2973</v>
      </c>
      <c r="D1239" s="912" t="s">
        <v>1537</v>
      </c>
      <c r="E1239" s="942">
        <v>2120</v>
      </c>
      <c r="F1239" s="926" t="s">
        <v>3123</v>
      </c>
      <c r="G1239" s="926" t="s">
        <v>3124</v>
      </c>
      <c r="H1239" s="926" t="s">
        <v>1784</v>
      </c>
      <c r="I1239" s="912" t="s">
        <v>1020</v>
      </c>
      <c r="J1239" s="912" t="s">
        <v>1020</v>
      </c>
      <c r="K1239" s="935"/>
      <c r="L1239" s="935"/>
      <c r="M1239" s="930"/>
      <c r="N1239" s="940" t="s">
        <v>3106</v>
      </c>
      <c r="O1239" s="940" t="s">
        <v>2976</v>
      </c>
      <c r="P1239" s="930">
        <v>14022.54</v>
      </c>
    </row>
    <row r="1240" spans="1:16" x14ac:dyDescent="0.2">
      <c r="A1240" s="937" t="s">
        <v>2744</v>
      </c>
      <c r="B1240" s="912" t="s">
        <v>875</v>
      </c>
      <c r="C1240" s="912" t="s">
        <v>2973</v>
      </c>
      <c r="D1240" s="912" t="s">
        <v>1537</v>
      </c>
      <c r="E1240" s="942">
        <v>2120</v>
      </c>
      <c r="F1240" s="926" t="s">
        <v>3125</v>
      </c>
      <c r="G1240" s="926" t="s">
        <v>3126</v>
      </c>
      <c r="H1240" s="926" t="s">
        <v>1784</v>
      </c>
      <c r="I1240" s="912" t="s">
        <v>1020</v>
      </c>
      <c r="J1240" s="912" t="s">
        <v>1020</v>
      </c>
      <c r="K1240" s="935"/>
      <c r="L1240" s="935"/>
      <c r="M1240" s="930"/>
      <c r="N1240" s="940" t="s">
        <v>3106</v>
      </c>
      <c r="O1240" s="940" t="s">
        <v>2976</v>
      </c>
      <c r="P1240" s="930">
        <v>14022.54</v>
      </c>
    </row>
    <row r="1241" spans="1:16" x14ac:dyDescent="0.2">
      <c r="A1241" s="937" t="s">
        <v>2744</v>
      </c>
      <c r="B1241" s="912" t="s">
        <v>875</v>
      </c>
      <c r="C1241" s="912" t="s">
        <v>2973</v>
      </c>
      <c r="D1241" s="912" t="s">
        <v>1537</v>
      </c>
      <c r="E1241" s="942">
        <v>2120</v>
      </c>
      <c r="F1241" s="926" t="s">
        <v>3000</v>
      </c>
      <c r="G1241" s="926" t="s">
        <v>3001</v>
      </c>
      <c r="H1241" s="926" t="s">
        <v>1784</v>
      </c>
      <c r="I1241" s="912" t="s">
        <v>1020</v>
      </c>
      <c r="J1241" s="912" t="s">
        <v>1020</v>
      </c>
      <c r="K1241" s="935"/>
      <c r="L1241" s="935"/>
      <c r="M1241" s="930"/>
      <c r="N1241" s="940" t="s">
        <v>3106</v>
      </c>
      <c r="O1241" s="940" t="s">
        <v>2976</v>
      </c>
      <c r="P1241" s="930">
        <v>14022.54</v>
      </c>
    </row>
    <row r="1242" spans="1:16" x14ac:dyDescent="0.2">
      <c r="A1242" s="937" t="s">
        <v>2744</v>
      </c>
      <c r="B1242" s="912" t="s">
        <v>875</v>
      </c>
      <c r="C1242" s="912" t="s">
        <v>2973</v>
      </c>
      <c r="D1242" s="912" t="s">
        <v>1537</v>
      </c>
      <c r="E1242" s="942">
        <v>2120</v>
      </c>
      <c r="F1242" s="926" t="s">
        <v>3002</v>
      </c>
      <c r="G1242" s="926" t="s">
        <v>3003</v>
      </c>
      <c r="H1242" s="926" t="s">
        <v>1784</v>
      </c>
      <c r="I1242" s="912" t="s">
        <v>1020</v>
      </c>
      <c r="J1242" s="912" t="s">
        <v>1020</v>
      </c>
      <c r="K1242" s="935"/>
      <c r="L1242" s="935"/>
      <c r="M1242" s="930"/>
      <c r="N1242" s="940" t="s">
        <v>3106</v>
      </c>
      <c r="O1242" s="940" t="s">
        <v>2976</v>
      </c>
      <c r="P1242" s="930">
        <v>14022.54</v>
      </c>
    </row>
    <row r="1243" spans="1:16" x14ac:dyDescent="0.2">
      <c r="A1243" s="937" t="s">
        <v>2744</v>
      </c>
      <c r="B1243" s="912" t="s">
        <v>875</v>
      </c>
      <c r="C1243" s="912" t="s">
        <v>2973</v>
      </c>
      <c r="D1243" s="912" t="s">
        <v>1537</v>
      </c>
      <c r="E1243" s="942">
        <v>2120</v>
      </c>
      <c r="F1243" s="926" t="s">
        <v>3004</v>
      </c>
      <c r="G1243" s="926" t="s">
        <v>3005</v>
      </c>
      <c r="H1243" s="926" t="s">
        <v>1784</v>
      </c>
      <c r="I1243" s="912" t="s">
        <v>1020</v>
      </c>
      <c r="J1243" s="912" t="s">
        <v>1020</v>
      </c>
      <c r="K1243" s="935"/>
      <c r="L1243" s="935"/>
      <c r="M1243" s="930"/>
      <c r="N1243" s="940" t="s">
        <v>3106</v>
      </c>
      <c r="O1243" s="940" t="s">
        <v>2976</v>
      </c>
      <c r="P1243" s="930">
        <v>19530.000000000004</v>
      </c>
    </row>
    <row r="1244" spans="1:16" x14ac:dyDescent="0.2">
      <c r="A1244" s="937" t="s">
        <v>2744</v>
      </c>
      <c r="B1244" s="912" t="s">
        <v>875</v>
      </c>
      <c r="C1244" s="912" t="s">
        <v>2973</v>
      </c>
      <c r="D1244" s="912" t="s">
        <v>1537</v>
      </c>
      <c r="E1244" s="942">
        <v>3000</v>
      </c>
      <c r="F1244" s="926" t="s">
        <v>3006</v>
      </c>
      <c r="G1244" s="926" t="s">
        <v>3007</v>
      </c>
      <c r="H1244" s="926" t="s">
        <v>1028</v>
      </c>
      <c r="I1244" s="912" t="s">
        <v>1412</v>
      </c>
      <c r="J1244" s="912" t="s">
        <v>2752</v>
      </c>
      <c r="K1244" s="935"/>
      <c r="L1244" s="935"/>
      <c r="M1244" s="930"/>
      <c r="N1244" s="940" t="s">
        <v>3106</v>
      </c>
      <c r="O1244" s="940" t="s">
        <v>2976</v>
      </c>
      <c r="P1244" s="930">
        <v>19530.000000000004</v>
      </c>
    </row>
    <row r="1245" spans="1:16" x14ac:dyDescent="0.2">
      <c r="A1245" s="937" t="s">
        <v>2744</v>
      </c>
      <c r="B1245" s="912" t="s">
        <v>875</v>
      </c>
      <c r="C1245" s="912" t="s">
        <v>2973</v>
      </c>
      <c r="D1245" s="912" t="s">
        <v>1537</v>
      </c>
      <c r="E1245" s="942">
        <v>3000</v>
      </c>
      <c r="F1245" s="926" t="s">
        <v>3127</v>
      </c>
      <c r="G1245" s="926" t="s">
        <v>3128</v>
      </c>
      <c r="H1245" s="926" t="s">
        <v>1028</v>
      </c>
      <c r="I1245" s="912" t="s">
        <v>1412</v>
      </c>
      <c r="J1245" s="912" t="s">
        <v>2752</v>
      </c>
      <c r="K1245" s="935"/>
      <c r="L1245" s="935"/>
      <c r="M1245" s="930"/>
      <c r="N1245" s="940" t="s">
        <v>3106</v>
      </c>
      <c r="O1245" s="940" t="s">
        <v>2976</v>
      </c>
      <c r="P1245" s="930">
        <v>19530.000000000004</v>
      </c>
    </row>
    <row r="1246" spans="1:16" x14ac:dyDescent="0.2">
      <c r="A1246" s="937" t="s">
        <v>2744</v>
      </c>
      <c r="B1246" s="912" t="s">
        <v>875</v>
      </c>
      <c r="C1246" s="912" t="s">
        <v>2973</v>
      </c>
      <c r="D1246" s="912" t="s">
        <v>1537</v>
      </c>
      <c r="E1246" s="942">
        <v>3000</v>
      </c>
      <c r="F1246" s="926" t="s">
        <v>3008</v>
      </c>
      <c r="G1246" s="926" t="s">
        <v>3009</v>
      </c>
      <c r="H1246" s="926" t="s">
        <v>1028</v>
      </c>
      <c r="I1246" s="912" t="s">
        <v>1412</v>
      </c>
      <c r="J1246" s="912" t="s">
        <v>2752</v>
      </c>
      <c r="K1246" s="935"/>
      <c r="L1246" s="935"/>
      <c r="M1246" s="930"/>
      <c r="N1246" s="940" t="s">
        <v>3106</v>
      </c>
      <c r="O1246" s="940" t="s">
        <v>2976</v>
      </c>
      <c r="P1246" s="930">
        <v>19530.000000000004</v>
      </c>
    </row>
    <row r="1247" spans="1:16" x14ac:dyDescent="0.2">
      <c r="A1247" s="937" t="s">
        <v>2744</v>
      </c>
      <c r="B1247" s="912" t="s">
        <v>875</v>
      </c>
      <c r="C1247" s="912" t="s">
        <v>2973</v>
      </c>
      <c r="D1247" s="912" t="s">
        <v>1537</v>
      </c>
      <c r="E1247" s="942">
        <v>3000</v>
      </c>
      <c r="F1247" s="926" t="s">
        <v>3129</v>
      </c>
      <c r="G1247" s="926" t="s">
        <v>3130</v>
      </c>
      <c r="H1247" s="926" t="s">
        <v>1028</v>
      </c>
      <c r="I1247" s="912" t="s">
        <v>1412</v>
      </c>
      <c r="J1247" s="912" t="s">
        <v>2752</v>
      </c>
      <c r="K1247" s="935"/>
      <c r="L1247" s="935"/>
      <c r="M1247" s="930"/>
      <c r="N1247" s="940" t="s">
        <v>3106</v>
      </c>
      <c r="O1247" s="940" t="s">
        <v>2976</v>
      </c>
      <c r="P1247" s="930">
        <v>19530.000000000004</v>
      </c>
    </row>
    <row r="1248" spans="1:16" x14ac:dyDescent="0.2">
      <c r="A1248" s="937" t="s">
        <v>2744</v>
      </c>
      <c r="B1248" s="912" t="s">
        <v>875</v>
      </c>
      <c r="C1248" s="912" t="s">
        <v>2973</v>
      </c>
      <c r="D1248" s="912" t="s">
        <v>1537</v>
      </c>
      <c r="E1248" s="942">
        <v>3000</v>
      </c>
      <c r="F1248" s="926" t="s">
        <v>3131</v>
      </c>
      <c r="G1248" s="926" t="s">
        <v>3132</v>
      </c>
      <c r="H1248" s="926" t="s">
        <v>1028</v>
      </c>
      <c r="I1248" s="912" t="s">
        <v>1412</v>
      </c>
      <c r="J1248" s="912" t="s">
        <v>2752</v>
      </c>
      <c r="K1248" s="935"/>
      <c r="L1248" s="935"/>
      <c r="M1248" s="930"/>
      <c r="N1248" s="940" t="s">
        <v>3106</v>
      </c>
      <c r="O1248" s="940" t="s">
        <v>2976</v>
      </c>
      <c r="P1248" s="930">
        <v>19530.000000000004</v>
      </c>
    </row>
    <row r="1249" spans="1:16" x14ac:dyDescent="0.2">
      <c r="A1249" s="937" t="s">
        <v>2744</v>
      </c>
      <c r="B1249" s="912" t="s">
        <v>875</v>
      </c>
      <c r="C1249" s="912" t="s">
        <v>2973</v>
      </c>
      <c r="D1249" s="912" t="s">
        <v>1537</v>
      </c>
      <c r="E1249" s="942">
        <v>3000</v>
      </c>
      <c r="F1249" s="926" t="s">
        <v>3133</v>
      </c>
      <c r="G1249" s="926" t="s">
        <v>3134</v>
      </c>
      <c r="H1249" s="926" t="s">
        <v>1028</v>
      </c>
      <c r="I1249" s="912" t="s">
        <v>1412</v>
      </c>
      <c r="J1249" s="912" t="s">
        <v>2752</v>
      </c>
      <c r="K1249" s="935"/>
      <c r="L1249" s="935"/>
      <c r="M1249" s="930"/>
      <c r="N1249" s="940" t="s">
        <v>3106</v>
      </c>
      <c r="O1249" s="940" t="s">
        <v>2976</v>
      </c>
      <c r="P1249" s="930">
        <v>19530.000000000004</v>
      </c>
    </row>
    <row r="1250" spans="1:16" x14ac:dyDescent="0.2">
      <c r="A1250" s="937" t="s">
        <v>2744</v>
      </c>
      <c r="B1250" s="912" t="s">
        <v>875</v>
      </c>
      <c r="C1250" s="912" t="s">
        <v>2973</v>
      </c>
      <c r="D1250" s="912" t="s">
        <v>1537</v>
      </c>
      <c r="E1250" s="942">
        <v>3000</v>
      </c>
      <c r="F1250" s="926" t="s">
        <v>3010</v>
      </c>
      <c r="G1250" s="926" t="s">
        <v>3011</v>
      </c>
      <c r="H1250" s="926" t="s">
        <v>1028</v>
      </c>
      <c r="I1250" s="912" t="s">
        <v>1412</v>
      </c>
      <c r="J1250" s="912" t="s">
        <v>2752</v>
      </c>
      <c r="K1250" s="935"/>
      <c r="L1250" s="935"/>
      <c r="M1250" s="930"/>
      <c r="N1250" s="940" t="s">
        <v>3106</v>
      </c>
      <c r="O1250" s="940" t="s">
        <v>2976</v>
      </c>
      <c r="P1250" s="930">
        <v>19530.000000000004</v>
      </c>
    </row>
    <row r="1251" spans="1:16" x14ac:dyDescent="0.2">
      <c r="A1251" s="937" t="s">
        <v>2744</v>
      </c>
      <c r="B1251" s="912" t="s">
        <v>875</v>
      </c>
      <c r="C1251" s="912" t="s">
        <v>2973</v>
      </c>
      <c r="D1251" s="912" t="s">
        <v>1537</v>
      </c>
      <c r="E1251" s="942">
        <v>3000</v>
      </c>
      <c r="F1251" s="926" t="s">
        <v>3012</v>
      </c>
      <c r="G1251" s="926" t="s">
        <v>3013</v>
      </c>
      <c r="H1251" s="926" t="s">
        <v>1028</v>
      </c>
      <c r="I1251" s="912" t="s">
        <v>1412</v>
      </c>
      <c r="J1251" s="912" t="s">
        <v>2752</v>
      </c>
      <c r="K1251" s="935"/>
      <c r="L1251" s="935"/>
      <c r="M1251" s="930"/>
      <c r="N1251" s="940" t="s">
        <v>3106</v>
      </c>
      <c r="O1251" s="940" t="s">
        <v>2976</v>
      </c>
      <c r="P1251" s="930">
        <v>19530.000000000004</v>
      </c>
    </row>
    <row r="1252" spans="1:16" x14ac:dyDescent="0.2">
      <c r="A1252" s="937" t="s">
        <v>2744</v>
      </c>
      <c r="B1252" s="912" t="s">
        <v>875</v>
      </c>
      <c r="C1252" s="912" t="s">
        <v>2973</v>
      </c>
      <c r="D1252" s="912" t="s">
        <v>1537</v>
      </c>
      <c r="E1252" s="942">
        <v>3000</v>
      </c>
      <c r="F1252" s="926" t="s">
        <v>3014</v>
      </c>
      <c r="G1252" s="926" t="s">
        <v>3015</v>
      </c>
      <c r="H1252" s="926" t="s">
        <v>1028</v>
      </c>
      <c r="I1252" s="912" t="s">
        <v>1412</v>
      </c>
      <c r="J1252" s="912" t="s">
        <v>2752</v>
      </c>
      <c r="K1252" s="935"/>
      <c r="L1252" s="935"/>
      <c r="M1252" s="930"/>
      <c r="N1252" s="940" t="s">
        <v>3106</v>
      </c>
      <c r="O1252" s="940" t="s">
        <v>2976</v>
      </c>
      <c r="P1252" s="930">
        <v>19530.000000000004</v>
      </c>
    </row>
    <row r="1253" spans="1:16" x14ac:dyDescent="0.2">
      <c r="A1253" s="937" t="s">
        <v>2744</v>
      </c>
      <c r="B1253" s="912" t="s">
        <v>875</v>
      </c>
      <c r="C1253" s="912" t="s">
        <v>2973</v>
      </c>
      <c r="D1253" s="912" t="s">
        <v>1537</v>
      </c>
      <c r="E1253" s="942">
        <v>3000</v>
      </c>
      <c r="F1253" s="926" t="s">
        <v>3135</v>
      </c>
      <c r="G1253" s="926" t="s">
        <v>3136</v>
      </c>
      <c r="H1253" s="926" t="s">
        <v>1028</v>
      </c>
      <c r="I1253" s="912" t="s">
        <v>1412</v>
      </c>
      <c r="J1253" s="912" t="s">
        <v>2752</v>
      </c>
      <c r="K1253" s="935"/>
      <c r="L1253" s="935"/>
      <c r="M1253" s="930"/>
      <c r="N1253" s="940" t="s">
        <v>3106</v>
      </c>
      <c r="O1253" s="940" t="s">
        <v>2976</v>
      </c>
      <c r="P1253" s="930">
        <v>19530.000000000004</v>
      </c>
    </row>
    <row r="1254" spans="1:16" x14ac:dyDescent="0.2">
      <c r="A1254" s="937" t="s">
        <v>2744</v>
      </c>
      <c r="B1254" s="912" t="s">
        <v>875</v>
      </c>
      <c r="C1254" s="912" t="s">
        <v>2973</v>
      </c>
      <c r="D1254" s="912" t="s">
        <v>1537</v>
      </c>
      <c r="E1254" s="942">
        <v>3000</v>
      </c>
      <c r="F1254" s="926" t="s">
        <v>3016</v>
      </c>
      <c r="G1254" s="926" t="s">
        <v>3017</v>
      </c>
      <c r="H1254" s="926" t="s">
        <v>1028</v>
      </c>
      <c r="I1254" s="912" t="s">
        <v>1412</v>
      </c>
      <c r="J1254" s="912" t="s">
        <v>2752</v>
      </c>
      <c r="K1254" s="935"/>
      <c r="L1254" s="935"/>
      <c r="M1254" s="930"/>
      <c r="N1254" s="940" t="s">
        <v>3106</v>
      </c>
      <c r="O1254" s="940" t="s">
        <v>2976</v>
      </c>
      <c r="P1254" s="930">
        <v>19530.000000000004</v>
      </c>
    </row>
    <row r="1255" spans="1:16" x14ac:dyDescent="0.2">
      <c r="A1255" s="937" t="s">
        <v>2744</v>
      </c>
      <c r="B1255" s="912" t="s">
        <v>875</v>
      </c>
      <c r="C1255" s="912" t="s">
        <v>2973</v>
      </c>
      <c r="D1255" s="912" t="s">
        <v>1537</v>
      </c>
      <c r="E1255" s="942">
        <v>3000</v>
      </c>
      <c r="F1255" s="926" t="s">
        <v>3018</v>
      </c>
      <c r="G1255" s="926" t="s">
        <v>3019</v>
      </c>
      <c r="H1255" s="926" t="s">
        <v>1028</v>
      </c>
      <c r="I1255" s="912" t="s">
        <v>1412</v>
      </c>
      <c r="J1255" s="912" t="s">
        <v>2752</v>
      </c>
      <c r="K1255" s="935"/>
      <c r="L1255" s="935"/>
      <c r="M1255" s="930"/>
      <c r="N1255" s="940" t="s">
        <v>3106</v>
      </c>
      <c r="O1255" s="940" t="s">
        <v>2976</v>
      </c>
      <c r="P1255" s="930">
        <v>19530.000000000004</v>
      </c>
    </row>
    <row r="1256" spans="1:16" x14ac:dyDescent="0.2">
      <c r="A1256" s="937" t="s">
        <v>2744</v>
      </c>
      <c r="B1256" s="912" t="s">
        <v>875</v>
      </c>
      <c r="C1256" s="912" t="s">
        <v>2973</v>
      </c>
      <c r="D1256" s="912" t="s">
        <v>1537</v>
      </c>
      <c r="E1256" s="942">
        <v>3000</v>
      </c>
      <c r="F1256" s="926" t="s">
        <v>3137</v>
      </c>
      <c r="G1256" s="926" t="s">
        <v>3138</v>
      </c>
      <c r="H1256" s="926" t="s">
        <v>1028</v>
      </c>
      <c r="I1256" s="912" t="s">
        <v>1412</v>
      </c>
      <c r="J1256" s="912" t="s">
        <v>2752</v>
      </c>
      <c r="K1256" s="935"/>
      <c r="L1256" s="935"/>
      <c r="M1256" s="930"/>
      <c r="N1256" s="940" t="s">
        <v>3106</v>
      </c>
      <c r="O1256" s="940" t="s">
        <v>2976</v>
      </c>
      <c r="P1256" s="930">
        <v>19530.000000000004</v>
      </c>
    </row>
    <row r="1257" spans="1:16" x14ac:dyDescent="0.2">
      <c r="A1257" s="937" t="s">
        <v>2744</v>
      </c>
      <c r="B1257" s="912" t="s">
        <v>875</v>
      </c>
      <c r="C1257" s="912" t="s">
        <v>2973</v>
      </c>
      <c r="D1257" s="912" t="s">
        <v>1537</v>
      </c>
      <c r="E1257" s="942">
        <v>3000</v>
      </c>
      <c r="F1257" s="926" t="s">
        <v>3020</v>
      </c>
      <c r="G1257" s="926" t="s">
        <v>3021</v>
      </c>
      <c r="H1257" s="926" t="s">
        <v>1028</v>
      </c>
      <c r="I1257" s="912" t="s">
        <v>1412</v>
      </c>
      <c r="J1257" s="912" t="s">
        <v>2752</v>
      </c>
      <c r="K1257" s="935"/>
      <c r="L1257" s="935"/>
      <c r="M1257" s="930"/>
      <c r="N1257" s="940" t="s">
        <v>3106</v>
      </c>
      <c r="O1257" s="940" t="s">
        <v>2976</v>
      </c>
      <c r="P1257" s="930">
        <v>19530.000000000004</v>
      </c>
    </row>
    <row r="1258" spans="1:16" x14ac:dyDescent="0.2">
      <c r="A1258" s="937" t="s">
        <v>2744</v>
      </c>
      <c r="B1258" s="912" t="s">
        <v>875</v>
      </c>
      <c r="C1258" s="912" t="s">
        <v>2973</v>
      </c>
      <c r="D1258" s="912" t="s">
        <v>1537</v>
      </c>
      <c r="E1258" s="942">
        <v>3000</v>
      </c>
      <c r="F1258" s="926" t="s">
        <v>3022</v>
      </c>
      <c r="G1258" s="926" t="s">
        <v>3023</v>
      </c>
      <c r="H1258" s="926" t="s">
        <v>1028</v>
      </c>
      <c r="I1258" s="912" t="s">
        <v>1412</v>
      </c>
      <c r="J1258" s="912" t="s">
        <v>2752</v>
      </c>
      <c r="K1258" s="935"/>
      <c r="L1258" s="935"/>
      <c r="M1258" s="930"/>
      <c r="N1258" s="940" t="s">
        <v>3106</v>
      </c>
      <c r="O1258" s="940" t="s">
        <v>2976</v>
      </c>
      <c r="P1258" s="930">
        <v>19530.000000000004</v>
      </c>
    </row>
    <row r="1259" spans="1:16" x14ac:dyDescent="0.2">
      <c r="A1259" s="937" t="s">
        <v>2744</v>
      </c>
      <c r="B1259" s="912" t="s">
        <v>875</v>
      </c>
      <c r="C1259" s="912" t="s">
        <v>2973</v>
      </c>
      <c r="D1259" s="912" t="s">
        <v>1537</v>
      </c>
      <c r="E1259" s="942">
        <v>3000</v>
      </c>
      <c r="F1259" s="926" t="s">
        <v>3139</v>
      </c>
      <c r="G1259" s="926" t="s">
        <v>3140</v>
      </c>
      <c r="H1259" s="926" t="s">
        <v>1028</v>
      </c>
      <c r="I1259" s="912" t="s">
        <v>1412</v>
      </c>
      <c r="J1259" s="912" t="s">
        <v>2752</v>
      </c>
      <c r="K1259" s="935"/>
      <c r="L1259" s="935"/>
      <c r="M1259" s="930"/>
      <c r="N1259" s="940" t="s">
        <v>3106</v>
      </c>
      <c r="O1259" s="940" t="s">
        <v>2976</v>
      </c>
      <c r="P1259" s="930">
        <v>19530.000000000004</v>
      </c>
    </row>
    <row r="1260" spans="1:16" x14ac:dyDescent="0.2">
      <c r="A1260" s="937" t="s">
        <v>2744</v>
      </c>
      <c r="B1260" s="912" t="s">
        <v>875</v>
      </c>
      <c r="C1260" s="912" t="s">
        <v>2973</v>
      </c>
      <c r="D1260" s="912" t="s">
        <v>1537</v>
      </c>
      <c r="E1260" s="942">
        <v>3000</v>
      </c>
      <c r="F1260" s="926" t="s">
        <v>3024</v>
      </c>
      <c r="G1260" s="926" t="s">
        <v>3025</v>
      </c>
      <c r="H1260" s="926" t="s">
        <v>1028</v>
      </c>
      <c r="I1260" s="912" t="s">
        <v>1412</v>
      </c>
      <c r="J1260" s="912" t="s">
        <v>2752</v>
      </c>
      <c r="K1260" s="935"/>
      <c r="L1260" s="935"/>
      <c r="M1260" s="930"/>
      <c r="N1260" s="940" t="s">
        <v>3106</v>
      </c>
      <c r="O1260" s="940" t="s">
        <v>2976</v>
      </c>
      <c r="P1260" s="930">
        <v>19530.000000000004</v>
      </c>
    </row>
    <row r="1261" spans="1:16" x14ac:dyDescent="0.2">
      <c r="A1261" s="937" t="s">
        <v>2744</v>
      </c>
      <c r="B1261" s="912" t="s">
        <v>875</v>
      </c>
      <c r="C1261" s="912" t="s">
        <v>2973</v>
      </c>
      <c r="D1261" s="912" t="s">
        <v>1537</v>
      </c>
      <c r="E1261" s="942">
        <v>3000</v>
      </c>
      <c r="F1261" s="926" t="s">
        <v>3141</v>
      </c>
      <c r="G1261" s="926" t="s">
        <v>3142</v>
      </c>
      <c r="H1261" s="926" t="s">
        <v>1028</v>
      </c>
      <c r="I1261" s="912" t="s">
        <v>1412</v>
      </c>
      <c r="J1261" s="912" t="s">
        <v>2752</v>
      </c>
      <c r="K1261" s="935"/>
      <c r="L1261" s="935"/>
      <c r="M1261" s="930"/>
      <c r="N1261" s="940" t="s">
        <v>3106</v>
      </c>
      <c r="O1261" s="940" t="s">
        <v>2976</v>
      </c>
      <c r="P1261" s="930">
        <v>19530.000000000004</v>
      </c>
    </row>
    <row r="1262" spans="1:16" x14ac:dyDescent="0.2">
      <c r="A1262" s="937" t="s">
        <v>2744</v>
      </c>
      <c r="B1262" s="912" t="s">
        <v>875</v>
      </c>
      <c r="C1262" s="912" t="s">
        <v>2973</v>
      </c>
      <c r="D1262" s="912" t="s">
        <v>1537</v>
      </c>
      <c r="E1262" s="942">
        <v>3000</v>
      </c>
      <c r="F1262" s="926" t="s">
        <v>3026</v>
      </c>
      <c r="G1262" s="926" t="s">
        <v>3027</v>
      </c>
      <c r="H1262" s="926" t="s">
        <v>1028</v>
      </c>
      <c r="I1262" s="912" t="s">
        <v>1412</v>
      </c>
      <c r="J1262" s="912" t="s">
        <v>2752</v>
      </c>
      <c r="K1262" s="935"/>
      <c r="L1262" s="935"/>
      <c r="M1262" s="930"/>
      <c r="N1262" s="940" t="s">
        <v>3106</v>
      </c>
      <c r="O1262" s="940" t="s">
        <v>2976</v>
      </c>
      <c r="P1262" s="930">
        <v>19530.000000000004</v>
      </c>
    </row>
    <row r="1263" spans="1:16" x14ac:dyDescent="0.2">
      <c r="A1263" s="937" t="s">
        <v>2744</v>
      </c>
      <c r="B1263" s="912" t="s">
        <v>875</v>
      </c>
      <c r="C1263" s="912" t="s">
        <v>2973</v>
      </c>
      <c r="D1263" s="912" t="s">
        <v>1537</v>
      </c>
      <c r="E1263" s="942">
        <v>3000</v>
      </c>
      <c r="F1263" s="926" t="s">
        <v>3028</v>
      </c>
      <c r="G1263" s="926" t="s">
        <v>3029</v>
      </c>
      <c r="H1263" s="926" t="s">
        <v>1028</v>
      </c>
      <c r="I1263" s="912" t="s">
        <v>1412</v>
      </c>
      <c r="J1263" s="912" t="s">
        <v>2752</v>
      </c>
      <c r="K1263" s="935"/>
      <c r="L1263" s="935"/>
      <c r="M1263" s="930"/>
      <c r="N1263" s="940" t="s">
        <v>3106</v>
      </c>
      <c r="O1263" s="940" t="s">
        <v>2976</v>
      </c>
      <c r="P1263" s="930">
        <v>19530.000000000004</v>
      </c>
    </row>
    <row r="1264" spans="1:16" x14ac:dyDescent="0.2">
      <c r="A1264" s="937" t="s">
        <v>2744</v>
      </c>
      <c r="B1264" s="912" t="s">
        <v>875</v>
      </c>
      <c r="C1264" s="912" t="s">
        <v>2973</v>
      </c>
      <c r="D1264" s="912" t="s">
        <v>1537</v>
      </c>
      <c r="E1264" s="942">
        <v>3000</v>
      </c>
      <c r="F1264" s="926" t="s">
        <v>3030</v>
      </c>
      <c r="G1264" s="926" t="s">
        <v>3031</v>
      </c>
      <c r="H1264" s="926" t="s">
        <v>3032</v>
      </c>
      <c r="I1264" s="912" t="s">
        <v>1412</v>
      </c>
      <c r="J1264" s="912" t="s">
        <v>2752</v>
      </c>
      <c r="K1264" s="935"/>
      <c r="L1264" s="935"/>
      <c r="M1264" s="930"/>
      <c r="N1264" s="940" t="s">
        <v>3106</v>
      </c>
      <c r="O1264" s="940" t="s">
        <v>2976</v>
      </c>
      <c r="P1264" s="930">
        <v>19530.000000000004</v>
      </c>
    </row>
    <row r="1265" spans="1:16" x14ac:dyDescent="0.2">
      <c r="A1265" s="937" t="s">
        <v>2744</v>
      </c>
      <c r="B1265" s="912" t="s">
        <v>875</v>
      </c>
      <c r="C1265" s="912" t="s">
        <v>2973</v>
      </c>
      <c r="D1265" s="912" t="s">
        <v>1537</v>
      </c>
      <c r="E1265" s="942">
        <v>3000</v>
      </c>
      <c r="F1265" s="926" t="s">
        <v>3143</v>
      </c>
      <c r="G1265" s="926" t="s">
        <v>3144</v>
      </c>
      <c r="H1265" s="926" t="s">
        <v>1028</v>
      </c>
      <c r="I1265" s="912" t="s">
        <v>1412</v>
      </c>
      <c r="J1265" s="912" t="s">
        <v>2752</v>
      </c>
      <c r="K1265" s="935"/>
      <c r="L1265" s="935"/>
      <c r="M1265" s="930"/>
      <c r="N1265" s="940" t="s">
        <v>3106</v>
      </c>
      <c r="O1265" s="940" t="s">
        <v>2976</v>
      </c>
      <c r="P1265" s="930">
        <v>25604.399999999998</v>
      </c>
    </row>
    <row r="1266" spans="1:16" x14ac:dyDescent="0.2">
      <c r="A1266" s="937" t="s">
        <v>2744</v>
      </c>
      <c r="B1266" s="912" t="s">
        <v>875</v>
      </c>
      <c r="C1266" s="912" t="s">
        <v>2973</v>
      </c>
      <c r="D1266" s="912" t="s">
        <v>1537</v>
      </c>
      <c r="E1266" s="942">
        <v>4000</v>
      </c>
      <c r="F1266" s="926" t="s">
        <v>3145</v>
      </c>
      <c r="G1266" s="926" t="s">
        <v>3146</v>
      </c>
      <c r="H1266" s="926" t="s">
        <v>1594</v>
      </c>
      <c r="I1266" s="912" t="s">
        <v>940</v>
      </c>
      <c r="J1266" s="912" t="s">
        <v>3095</v>
      </c>
      <c r="K1266" s="935"/>
      <c r="L1266" s="935"/>
      <c r="M1266" s="930"/>
      <c r="N1266" s="940" t="s">
        <v>3106</v>
      </c>
      <c r="O1266" s="940" t="s">
        <v>2976</v>
      </c>
      <c r="P1266" s="930">
        <v>25604.399999999998</v>
      </c>
    </row>
    <row r="1267" spans="1:16" x14ac:dyDescent="0.2">
      <c r="A1267" s="937" t="s">
        <v>2744</v>
      </c>
      <c r="B1267" s="912" t="s">
        <v>875</v>
      </c>
      <c r="C1267" s="912" t="s">
        <v>2973</v>
      </c>
      <c r="D1267" s="912" t="s">
        <v>1537</v>
      </c>
      <c r="E1267" s="942">
        <v>4000</v>
      </c>
      <c r="F1267" s="926" t="s">
        <v>3077</v>
      </c>
      <c r="G1267" s="926" t="s">
        <v>3078</v>
      </c>
      <c r="H1267" s="926" t="s">
        <v>1594</v>
      </c>
      <c r="I1267" s="912" t="s">
        <v>940</v>
      </c>
      <c r="J1267" s="912" t="s">
        <v>3095</v>
      </c>
      <c r="K1267" s="935"/>
      <c r="L1267" s="935"/>
      <c r="M1267" s="930"/>
      <c r="N1267" s="940" t="s">
        <v>3106</v>
      </c>
      <c r="O1267" s="940" t="s">
        <v>2976</v>
      </c>
      <c r="P1267" s="930">
        <v>25604.399999999998</v>
      </c>
    </row>
    <row r="1268" spans="1:16" x14ac:dyDescent="0.2">
      <c r="A1268" s="937" t="s">
        <v>2744</v>
      </c>
      <c r="B1268" s="912" t="s">
        <v>875</v>
      </c>
      <c r="C1268" s="912" t="s">
        <v>2973</v>
      </c>
      <c r="D1268" s="912" t="s">
        <v>1537</v>
      </c>
      <c r="E1268" s="942">
        <v>4000</v>
      </c>
      <c r="F1268" s="926" t="s">
        <v>3041</v>
      </c>
      <c r="G1268" s="926" t="s">
        <v>3042</v>
      </c>
      <c r="H1268" s="926" t="s">
        <v>1594</v>
      </c>
      <c r="I1268" s="912" t="s">
        <v>940</v>
      </c>
      <c r="J1268" s="912" t="s">
        <v>3095</v>
      </c>
      <c r="K1268" s="935"/>
      <c r="L1268" s="935"/>
      <c r="M1268" s="930"/>
      <c r="N1268" s="940" t="s">
        <v>3106</v>
      </c>
      <c r="O1268" s="940" t="s">
        <v>2976</v>
      </c>
      <c r="P1268" s="930">
        <v>25604.399999999998</v>
      </c>
    </row>
    <row r="1269" spans="1:16" x14ac:dyDescent="0.2">
      <c r="A1269" s="937" t="s">
        <v>2744</v>
      </c>
      <c r="B1269" s="912" t="s">
        <v>875</v>
      </c>
      <c r="C1269" s="912" t="s">
        <v>2973</v>
      </c>
      <c r="D1269" s="912" t="s">
        <v>1537</v>
      </c>
      <c r="E1269" s="942">
        <v>4000</v>
      </c>
      <c r="F1269" s="926" t="s">
        <v>3043</v>
      </c>
      <c r="G1269" s="926" t="s">
        <v>3044</v>
      </c>
      <c r="H1269" s="926" t="s">
        <v>1594</v>
      </c>
      <c r="I1269" s="912" t="s">
        <v>940</v>
      </c>
      <c r="J1269" s="912" t="s">
        <v>3095</v>
      </c>
      <c r="K1269" s="935"/>
      <c r="L1269" s="935"/>
      <c r="M1269" s="930"/>
      <c r="N1269" s="940" t="s">
        <v>3106</v>
      </c>
      <c r="O1269" s="940" t="s">
        <v>2976</v>
      </c>
      <c r="P1269" s="930">
        <v>25604.399999999998</v>
      </c>
    </row>
    <row r="1270" spans="1:16" x14ac:dyDescent="0.2">
      <c r="A1270" s="937" t="s">
        <v>2744</v>
      </c>
      <c r="B1270" s="912" t="s">
        <v>875</v>
      </c>
      <c r="C1270" s="912" t="s">
        <v>2973</v>
      </c>
      <c r="D1270" s="912" t="s">
        <v>1537</v>
      </c>
      <c r="E1270" s="942">
        <v>4000</v>
      </c>
      <c r="F1270" s="926" t="s">
        <v>3045</v>
      </c>
      <c r="G1270" s="926" t="s">
        <v>3046</v>
      </c>
      <c r="H1270" s="926" t="s">
        <v>1594</v>
      </c>
      <c r="I1270" s="912" t="s">
        <v>940</v>
      </c>
      <c r="J1270" s="912" t="s">
        <v>3095</v>
      </c>
      <c r="K1270" s="935"/>
      <c r="L1270" s="935"/>
      <c r="M1270" s="930"/>
      <c r="N1270" s="940" t="s">
        <v>3106</v>
      </c>
      <c r="O1270" s="940" t="s">
        <v>2976</v>
      </c>
      <c r="P1270" s="930">
        <v>25604.399999999998</v>
      </c>
    </row>
    <row r="1271" spans="1:16" x14ac:dyDescent="0.2">
      <c r="A1271" s="937" t="s">
        <v>2744</v>
      </c>
      <c r="B1271" s="912" t="s">
        <v>875</v>
      </c>
      <c r="C1271" s="912" t="s">
        <v>2973</v>
      </c>
      <c r="D1271" s="912" t="s">
        <v>1537</v>
      </c>
      <c r="E1271" s="942">
        <v>4000</v>
      </c>
      <c r="F1271" s="926" t="s">
        <v>3147</v>
      </c>
      <c r="G1271" s="926" t="s">
        <v>3148</v>
      </c>
      <c r="H1271" s="926" t="s">
        <v>1594</v>
      </c>
      <c r="I1271" s="912" t="s">
        <v>940</v>
      </c>
      <c r="J1271" s="912" t="s">
        <v>3095</v>
      </c>
      <c r="K1271" s="935"/>
      <c r="L1271" s="935"/>
      <c r="M1271" s="930"/>
      <c r="N1271" s="940" t="s">
        <v>3106</v>
      </c>
      <c r="O1271" s="940" t="s">
        <v>2976</v>
      </c>
      <c r="P1271" s="930">
        <v>25604.399999999998</v>
      </c>
    </row>
    <row r="1272" spans="1:16" x14ac:dyDescent="0.2">
      <c r="A1272" s="937" t="s">
        <v>2744</v>
      </c>
      <c r="B1272" s="912" t="s">
        <v>875</v>
      </c>
      <c r="C1272" s="912" t="s">
        <v>2973</v>
      </c>
      <c r="D1272" s="912" t="s">
        <v>1537</v>
      </c>
      <c r="E1272" s="942">
        <v>4000</v>
      </c>
      <c r="F1272" s="926" t="s">
        <v>3149</v>
      </c>
      <c r="G1272" s="926" t="s">
        <v>3150</v>
      </c>
      <c r="H1272" s="926" t="s">
        <v>1594</v>
      </c>
      <c r="I1272" s="912" t="s">
        <v>940</v>
      </c>
      <c r="J1272" s="912" t="s">
        <v>3095</v>
      </c>
      <c r="K1272" s="935"/>
      <c r="L1272" s="935"/>
      <c r="M1272" s="930"/>
      <c r="N1272" s="940" t="s">
        <v>3106</v>
      </c>
      <c r="O1272" s="940" t="s">
        <v>2976</v>
      </c>
      <c r="P1272" s="930">
        <v>25604.399999999998</v>
      </c>
    </row>
    <row r="1273" spans="1:16" x14ac:dyDescent="0.2">
      <c r="A1273" s="937" t="s">
        <v>2744</v>
      </c>
      <c r="B1273" s="912" t="s">
        <v>875</v>
      </c>
      <c r="C1273" s="912" t="s">
        <v>2973</v>
      </c>
      <c r="D1273" s="912" t="s">
        <v>1537</v>
      </c>
      <c r="E1273" s="942">
        <v>4000</v>
      </c>
      <c r="F1273" s="926" t="s">
        <v>3049</v>
      </c>
      <c r="G1273" s="926" t="s">
        <v>3050</v>
      </c>
      <c r="H1273" s="926" t="s">
        <v>1594</v>
      </c>
      <c r="I1273" s="912" t="s">
        <v>940</v>
      </c>
      <c r="J1273" s="912" t="s">
        <v>3095</v>
      </c>
      <c r="K1273" s="935"/>
      <c r="L1273" s="935"/>
      <c r="M1273" s="930"/>
      <c r="N1273" s="940" t="s">
        <v>3106</v>
      </c>
      <c r="O1273" s="940" t="s">
        <v>2976</v>
      </c>
      <c r="P1273" s="930">
        <v>25604.399999999998</v>
      </c>
    </row>
    <row r="1274" spans="1:16" x14ac:dyDescent="0.2">
      <c r="A1274" s="937" t="s">
        <v>2744</v>
      </c>
      <c r="B1274" s="912" t="s">
        <v>875</v>
      </c>
      <c r="C1274" s="912" t="s">
        <v>2973</v>
      </c>
      <c r="D1274" s="912" t="s">
        <v>1537</v>
      </c>
      <c r="E1274" s="942">
        <v>4000</v>
      </c>
      <c r="F1274" s="926" t="s">
        <v>2942</v>
      </c>
      <c r="G1274" s="926" t="s">
        <v>2943</v>
      </c>
      <c r="H1274" s="926" t="s">
        <v>1594</v>
      </c>
      <c r="I1274" s="912" t="s">
        <v>940</v>
      </c>
      <c r="J1274" s="912" t="s">
        <v>3095</v>
      </c>
      <c r="K1274" s="935"/>
      <c r="L1274" s="935"/>
      <c r="M1274" s="930"/>
      <c r="N1274" s="940" t="s">
        <v>3106</v>
      </c>
      <c r="O1274" s="940" t="s">
        <v>2976</v>
      </c>
      <c r="P1274" s="930">
        <v>25604.399999999998</v>
      </c>
    </row>
    <row r="1275" spans="1:16" x14ac:dyDescent="0.2">
      <c r="A1275" s="937" t="s">
        <v>2744</v>
      </c>
      <c r="B1275" s="912" t="s">
        <v>875</v>
      </c>
      <c r="C1275" s="912" t="s">
        <v>2973</v>
      </c>
      <c r="D1275" s="912" t="s">
        <v>1537</v>
      </c>
      <c r="E1275" s="942">
        <v>4000</v>
      </c>
      <c r="F1275" s="926" t="s">
        <v>3051</v>
      </c>
      <c r="G1275" s="926" t="s">
        <v>3052</v>
      </c>
      <c r="H1275" s="926" t="s">
        <v>1594</v>
      </c>
      <c r="I1275" s="912" t="s">
        <v>940</v>
      </c>
      <c r="J1275" s="912" t="s">
        <v>3095</v>
      </c>
      <c r="K1275" s="935"/>
      <c r="L1275" s="935"/>
      <c r="M1275" s="930"/>
      <c r="N1275" s="940" t="s">
        <v>3106</v>
      </c>
      <c r="O1275" s="940" t="s">
        <v>2976</v>
      </c>
      <c r="P1275" s="930">
        <v>25604.399999999998</v>
      </c>
    </row>
    <row r="1276" spans="1:16" x14ac:dyDescent="0.2">
      <c r="A1276" s="937" t="s">
        <v>2744</v>
      </c>
      <c r="B1276" s="912" t="s">
        <v>875</v>
      </c>
      <c r="C1276" s="912" t="s">
        <v>2973</v>
      </c>
      <c r="D1276" s="912" t="s">
        <v>1537</v>
      </c>
      <c r="E1276" s="942">
        <v>4000</v>
      </c>
      <c r="F1276" s="926" t="s">
        <v>3053</v>
      </c>
      <c r="G1276" s="926" t="s">
        <v>3054</v>
      </c>
      <c r="H1276" s="926" t="s">
        <v>2259</v>
      </c>
      <c r="I1276" s="912" t="s">
        <v>940</v>
      </c>
      <c r="J1276" s="912" t="s">
        <v>3095</v>
      </c>
      <c r="K1276" s="935"/>
      <c r="L1276" s="935"/>
      <c r="M1276" s="930"/>
      <c r="N1276" s="940" t="s">
        <v>3106</v>
      </c>
      <c r="O1276" s="940" t="s">
        <v>2976</v>
      </c>
      <c r="P1276" s="930">
        <v>25604.399999999998</v>
      </c>
    </row>
    <row r="1277" spans="1:16" x14ac:dyDescent="0.2">
      <c r="A1277" s="937" t="s">
        <v>2744</v>
      </c>
      <c r="B1277" s="912" t="s">
        <v>875</v>
      </c>
      <c r="C1277" s="912" t="s">
        <v>2973</v>
      </c>
      <c r="D1277" s="912" t="s">
        <v>1537</v>
      </c>
      <c r="E1277" s="942">
        <v>4000</v>
      </c>
      <c r="F1277" s="926" t="s">
        <v>3151</v>
      </c>
      <c r="G1277" s="926" t="s">
        <v>3152</v>
      </c>
      <c r="H1277" s="926" t="s">
        <v>1594</v>
      </c>
      <c r="I1277" s="912" t="s">
        <v>940</v>
      </c>
      <c r="J1277" s="912" t="s">
        <v>3095</v>
      </c>
      <c r="K1277" s="935"/>
      <c r="L1277" s="935"/>
      <c r="M1277" s="930"/>
      <c r="N1277" s="940" t="s">
        <v>3106</v>
      </c>
      <c r="O1277" s="940" t="s">
        <v>2976</v>
      </c>
      <c r="P1277" s="930">
        <v>25604.399999999998</v>
      </c>
    </row>
    <row r="1278" spans="1:16" x14ac:dyDescent="0.2">
      <c r="A1278" s="937" t="s">
        <v>2744</v>
      </c>
      <c r="B1278" s="912" t="s">
        <v>875</v>
      </c>
      <c r="C1278" s="912" t="s">
        <v>2973</v>
      </c>
      <c r="D1278" s="912" t="s">
        <v>1537</v>
      </c>
      <c r="E1278" s="942">
        <v>4000</v>
      </c>
      <c r="F1278" s="926" t="s">
        <v>3055</v>
      </c>
      <c r="G1278" s="926" t="s">
        <v>3056</v>
      </c>
      <c r="H1278" s="926" t="s">
        <v>2259</v>
      </c>
      <c r="I1278" s="912" t="s">
        <v>940</v>
      </c>
      <c r="J1278" s="912" t="s">
        <v>3095</v>
      </c>
      <c r="K1278" s="935"/>
      <c r="L1278" s="935"/>
      <c r="M1278" s="930"/>
      <c r="N1278" s="940" t="s">
        <v>3106</v>
      </c>
      <c r="O1278" s="940" t="s">
        <v>2976</v>
      </c>
      <c r="P1278" s="930">
        <v>25604.399999999998</v>
      </c>
    </row>
    <row r="1279" spans="1:16" x14ac:dyDescent="0.2">
      <c r="A1279" s="937" t="s">
        <v>2744</v>
      </c>
      <c r="B1279" s="912" t="s">
        <v>875</v>
      </c>
      <c r="C1279" s="912" t="s">
        <v>2973</v>
      </c>
      <c r="D1279" s="912" t="s">
        <v>1537</v>
      </c>
      <c r="E1279" s="942">
        <v>4000</v>
      </c>
      <c r="F1279" s="926" t="s">
        <v>3153</v>
      </c>
      <c r="G1279" s="926" t="s">
        <v>3154</v>
      </c>
      <c r="H1279" s="926" t="s">
        <v>1594</v>
      </c>
      <c r="I1279" s="912" t="s">
        <v>940</v>
      </c>
      <c r="J1279" s="912" t="s">
        <v>3095</v>
      </c>
      <c r="K1279" s="935"/>
      <c r="L1279" s="935"/>
      <c r="M1279" s="930"/>
      <c r="N1279" s="940" t="s">
        <v>3106</v>
      </c>
      <c r="O1279" s="940" t="s">
        <v>2976</v>
      </c>
      <c r="P1279" s="930">
        <v>25604.399999999998</v>
      </c>
    </row>
    <row r="1280" spans="1:16" x14ac:dyDescent="0.2">
      <c r="A1280" s="937" t="s">
        <v>2744</v>
      </c>
      <c r="B1280" s="912" t="s">
        <v>875</v>
      </c>
      <c r="C1280" s="912" t="s">
        <v>2973</v>
      </c>
      <c r="D1280" s="912" t="s">
        <v>1537</v>
      </c>
      <c r="E1280" s="942">
        <v>4000</v>
      </c>
      <c r="F1280" s="926" t="s">
        <v>3057</v>
      </c>
      <c r="G1280" s="926" t="s">
        <v>3058</v>
      </c>
      <c r="H1280" s="926" t="s">
        <v>1594</v>
      </c>
      <c r="I1280" s="912" t="s">
        <v>940</v>
      </c>
      <c r="J1280" s="912" t="s">
        <v>3095</v>
      </c>
      <c r="K1280" s="935"/>
      <c r="L1280" s="935"/>
      <c r="M1280" s="930"/>
      <c r="N1280" s="940" t="s">
        <v>3106</v>
      </c>
      <c r="O1280" s="940" t="s">
        <v>2976</v>
      </c>
      <c r="P1280" s="930">
        <v>25604.399999999998</v>
      </c>
    </row>
    <row r="1281" spans="1:16" x14ac:dyDescent="0.2">
      <c r="A1281" s="937" t="s">
        <v>2744</v>
      </c>
      <c r="B1281" s="912" t="s">
        <v>875</v>
      </c>
      <c r="C1281" s="912" t="s">
        <v>2973</v>
      </c>
      <c r="D1281" s="912" t="s">
        <v>1537</v>
      </c>
      <c r="E1281" s="942">
        <v>4000</v>
      </c>
      <c r="F1281" s="926" t="s">
        <v>3155</v>
      </c>
      <c r="G1281" s="926" t="s">
        <v>3156</v>
      </c>
      <c r="H1281" s="926" t="s">
        <v>1594</v>
      </c>
      <c r="I1281" s="912" t="s">
        <v>940</v>
      </c>
      <c r="J1281" s="912" t="s">
        <v>3095</v>
      </c>
      <c r="K1281" s="935"/>
      <c r="L1281" s="935"/>
      <c r="M1281" s="930"/>
      <c r="N1281" s="940" t="s">
        <v>3106</v>
      </c>
      <c r="O1281" s="940" t="s">
        <v>2976</v>
      </c>
      <c r="P1281" s="930">
        <v>25604.399999999998</v>
      </c>
    </row>
    <row r="1282" spans="1:16" x14ac:dyDescent="0.2">
      <c r="A1282" s="937" t="s">
        <v>2744</v>
      </c>
      <c r="B1282" s="912" t="s">
        <v>875</v>
      </c>
      <c r="C1282" s="912" t="s">
        <v>2973</v>
      </c>
      <c r="D1282" s="912" t="s">
        <v>1537</v>
      </c>
      <c r="E1282" s="942">
        <v>4000</v>
      </c>
      <c r="F1282" s="926" t="s">
        <v>3059</v>
      </c>
      <c r="G1282" s="926" t="s">
        <v>3060</v>
      </c>
      <c r="H1282" s="926" t="s">
        <v>1594</v>
      </c>
      <c r="I1282" s="912" t="s">
        <v>940</v>
      </c>
      <c r="J1282" s="912" t="s">
        <v>3095</v>
      </c>
      <c r="K1282" s="935"/>
      <c r="L1282" s="935"/>
      <c r="M1282" s="930"/>
      <c r="N1282" s="940" t="s">
        <v>3106</v>
      </c>
      <c r="O1282" s="940" t="s">
        <v>2976</v>
      </c>
      <c r="P1282" s="930">
        <v>25604.399999999998</v>
      </c>
    </row>
    <row r="1283" spans="1:16" x14ac:dyDescent="0.2">
      <c r="A1283" s="937" t="s">
        <v>2744</v>
      </c>
      <c r="B1283" s="912" t="s">
        <v>875</v>
      </c>
      <c r="C1283" s="912" t="s">
        <v>2973</v>
      </c>
      <c r="D1283" s="912" t="s">
        <v>1537</v>
      </c>
      <c r="E1283" s="942">
        <v>4000</v>
      </c>
      <c r="F1283" s="926" t="s">
        <v>3157</v>
      </c>
      <c r="G1283" s="926" t="s">
        <v>3158</v>
      </c>
      <c r="H1283" s="926" t="s">
        <v>1594</v>
      </c>
      <c r="I1283" s="912" t="s">
        <v>940</v>
      </c>
      <c r="J1283" s="912" t="s">
        <v>3095</v>
      </c>
      <c r="K1283" s="935"/>
      <c r="L1283" s="935"/>
      <c r="M1283" s="930"/>
      <c r="N1283" s="940" t="s">
        <v>3106</v>
      </c>
      <c r="O1283" s="940" t="s">
        <v>2976</v>
      </c>
      <c r="P1283" s="930">
        <v>25604.399999999998</v>
      </c>
    </row>
    <row r="1284" spans="1:16" x14ac:dyDescent="0.2">
      <c r="A1284" s="937" t="s">
        <v>2744</v>
      </c>
      <c r="B1284" s="912" t="s">
        <v>875</v>
      </c>
      <c r="C1284" s="912" t="s">
        <v>2973</v>
      </c>
      <c r="D1284" s="912" t="s">
        <v>1537</v>
      </c>
      <c r="E1284" s="942">
        <v>4000</v>
      </c>
      <c r="F1284" s="926" t="s">
        <v>3081</v>
      </c>
      <c r="G1284" s="926" t="s">
        <v>3082</v>
      </c>
      <c r="H1284" s="926" t="s">
        <v>1594</v>
      </c>
      <c r="I1284" s="912" t="s">
        <v>940</v>
      </c>
      <c r="J1284" s="912" t="s">
        <v>3095</v>
      </c>
      <c r="K1284" s="935"/>
      <c r="L1284" s="935"/>
      <c r="M1284" s="930"/>
      <c r="N1284" s="940" t="s">
        <v>3106</v>
      </c>
      <c r="O1284" s="940" t="s">
        <v>2976</v>
      </c>
      <c r="P1284" s="930">
        <v>25604.399999999998</v>
      </c>
    </row>
    <row r="1285" spans="1:16" x14ac:dyDescent="0.2">
      <c r="A1285" s="937" t="s">
        <v>2744</v>
      </c>
      <c r="B1285" s="912" t="s">
        <v>875</v>
      </c>
      <c r="C1285" s="912" t="s">
        <v>2973</v>
      </c>
      <c r="D1285" s="912" t="s">
        <v>1537</v>
      </c>
      <c r="E1285" s="942">
        <v>4000</v>
      </c>
      <c r="F1285" s="926" t="s">
        <v>3061</v>
      </c>
      <c r="G1285" s="926" t="s">
        <v>3062</v>
      </c>
      <c r="H1285" s="926" t="s">
        <v>1594</v>
      </c>
      <c r="I1285" s="912" t="s">
        <v>940</v>
      </c>
      <c r="J1285" s="912" t="s">
        <v>3095</v>
      </c>
      <c r="K1285" s="935"/>
      <c r="L1285" s="935"/>
      <c r="M1285" s="930"/>
      <c r="N1285" s="940" t="s">
        <v>3106</v>
      </c>
      <c r="O1285" s="940" t="s">
        <v>2976</v>
      </c>
      <c r="P1285" s="930">
        <v>25604.399999999998</v>
      </c>
    </row>
    <row r="1286" spans="1:16" x14ac:dyDescent="0.2">
      <c r="A1286" s="937" t="s">
        <v>2744</v>
      </c>
      <c r="B1286" s="912" t="s">
        <v>875</v>
      </c>
      <c r="C1286" s="912" t="s">
        <v>2973</v>
      </c>
      <c r="D1286" s="912" t="s">
        <v>1537</v>
      </c>
      <c r="E1286" s="942">
        <v>4000</v>
      </c>
      <c r="F1286" s="926" t="s">
        <v>3063</v>
      </c>
      <c r="G1286" s="926" t="s">
        <v>3064</v>
      </c>
      <c r="H1286" s="926" t="s">
        <v>1594</v>
      </c>
      <c r="I1286" s="912" t="s">
        <v>940</v>
      </c>
      <c r="J1286" s="912" t="s">
        <v>3095</v>
      </c>
      <c r="K1286" s="935"/>
      <c r="L1286" s="935"/>
      <c r="M1286" s="930"/>
      <c r="N1286" s="940" t="s">
        <v>3106</v>
      </c>
      <c r="O1286" s="940" t="s">
        <v>2976</v>
      </c>
      <c r="P1286" s="930">
        <v>25604.399999999998</v>
      </c>
    </row>
    <row r="1287" spans="1:16" x14ac:dyDescent="0.2">
      <c r="A1287" s="937" t="s">
        <v>2744</v>
      </c>
      <c r="B1287" s="912" t="s">
        <v>875</v>
      </c>
      <c r="C1287" s="912" t="s">
        <v>2973</v>
      </c>
      <c r="D1287" s="912" t="s">
        <v>1537</v>
      </c>
      <c r="E1287" s="942">
        <v>4000</v>
      </c>
      <c r="F1287" s="926" t="s">
        <v>3159</v>
      </c>
      <c r="G1287" s="926" t="s">
        <v>3160</v>
      </c>
      <c r="H1287" s="926" t="s">
        <v>1626</v>
      </c>
      <c r="I1287" s="912" t="s">
        <v>940</v>
      </c>
      <c r="J1287" s="912" t="s">
        <v>3095</v>
      </c>
      <c r="K1287" s="935"/>
      <c r="L1287" s="935"/>
      <c r="M1287" s="930"/>
      <c r="N1287" s="940" t="s">
        <v>3106</v>
      </c>
      <c r="O1287" s="940" t="s">
        <v>2976</v>
      </c>
      <c r="P1287" s="930">
        <v>25604.399999999998</v>
      </c>
    </row>
    <row r="1288" spans="1:16" x14ac:dyDescent="0.2">
      <c r="A1288" s="937" t="s">
        <v>2744</v>
      </c>
      <c r="B1288" s="912" t="s">
        <v>875</v>
      </c>
      <c r="C1288" s="912" t="s">
        <v>2973</v>
      </c>
      <c r="D1288" s="912" t="s">
        <v>1537</v>
      </c>
      <c r="E1288" s="942">
        <v>4000</v>
      </c>
      <c r="F1288" s="926" t="s">
        <v>3161</v>
      </c>
      <c r="G1288" s="926" t="s">
        <v>3162</v>
      </c>
      <c r="H1288" s="926" t="s">
        <v>1594</v>
      </c>
      <c r="I1288" s="912" t="s">
        <v>940</v>
      </c>
      <c r="J1288" s="912" t="s">
        <v>3095</v>
      </c>
      <c r="K1288" s="935"/>
      <c r="L1288" s="935"/>
      <c r="M1288" s="930"/>
      <c r="N1288" s="940" t="s">
        <v>3106</v>
      </c>
      <c r="O1288" s="940" t="s">
        <v>2976</v>
      </c>
      <c r="P1288" s="930">
        <v>25604.399999999998</v>
      </c>
    </row>
    <row r="1289" spans="1:16" x14ac:dyDescent="0.2">
      <c r="A1289" s="937" t="s">
        <v>2744</v>
      </c>
      <c r="B1289" s="912" t="s">
        <v>875</v>
      </c>
      <c r="C1289" s="912" t="s">
        <v>2973</v>
      </c>
      <c r="D1289" s="912" t="s">
        <v>1537</v>
      </c>
      <c r="E1289" s="942">
        <v>4000</v>
      </c>
      <c r="F1289" s="926" t="s">
        <v>3087</v>
      </c>
      <c r="G1289" s="926" t="s">
        <v>3088</v>
      </c>
      <c r="H1289" s="926" t="s">
        <v>1594</v>
      </c>
      <c r="I1289" s="912" t="s">
        <v>940</v>
      </c>
      <c r="J1289" s="912" t="s">
        <v>3095</v>
      </c>
      <c r="K1289" s="935"/>
      <c r="L1289" s="935"/>
      <c r="M1289" s="930"/>
      <c r="N1289" s="940" t="s">
        <v>3106</v>
      </c>
      <c r="O1289" s="940" t="s">
        <v>2976</v>
      </c>
      <c r="P1289" s="930">
        <v>25604.399999999998</v>
      </c>
    </row>
    <row r="1290" spans="1:16" x14ac:dyDescent="0.2">
      <c r="A1290" s="937" t="s">
        <v>2744</v>
      </c>
      <c r="B1290" s="912" t="s">
        <v>875</v>
      </c>
      <c r="C1290" s="912" t="s">
        <v>2973</v>
      </c>
      <c r="D1290" s="912" t="s">
        <v>1537</v>
      </c>
      <c r="E1290" s="942">
        <v>4000</v>
      </c>
      <c r="F1290" s="926" t="s">
        <v>3089</v>
      </c>
      <c r="G1290" s="926" t="s">
        <v>3090</v>
      </c>
      <c r="H1290" s="926" t="s">
        <v>1594</v>
      </c>
      <c r="I1290" s="912" t="s">
        <v>940</v>
      </c>
      <c r="J1290" s="912" t="s">
        <v>3095</v>
      </c>
      <c r="K1290" s="935"/>
      <c r="L1290" s="935"/>
      <c r="M1290" s="930"/>
      <c r="N1290" s="940" t="s">
        <v>3106</v>
      </c>
      <c r="O1290" s="940" t="s">
        <v>2976</v>
      </c>
      <c r="P1290" s="930">
        <v>25604.399999999998</v>
      </c>
    </row>
    <row r="1291" spans="1:16" x14ac:dyDescent="0.2">
      <c r="A1291" s="937" t="s">
        <v>2744</v>
      </c>
      <c r="B1291" s="912" t="s">
        <v>875</v>
      </c>
      <c r="C1291" s="912" t="s">
        <v>2973</v>
      </c>
      <c r="D1291" s="912" t="s">
        <v>1537</v>
      </c>
      <c r="E1291" s="942">
        <v>4000</v>
      </c>
      <c r="F1291" s="926" t="s">
        <v>3091</v>
      </c>
      <c r="G1291" s="926" t="s">
        <v>3092</v>
      </c>
      <c r="H1291" s="926" t="s">
        <v>1594</v>
      </c>
      <c r="I1291" s="912" t="s">
        <v>940</v>
      </c>
      <c r="J1291" s="912" t="s">
        <v>3095</v>
      </c>
      <c r="K1291" s="935"/>
      <c r="L1291" s="935"/>
      <c r="M1291" s="930"/>
      <c r="N1291" s="940" t="s">
        <v>3106</v>
      </c>
      <c r="O1291" s="940" t="s">
        <v>2976</v>
      </c>
      <c r="P1291" s="930">
        <v>46902</v>
      </c>
    </row>
    <row r="1292" spans="1:16" x14ac:dyDescent="0.2">
      <c r="A1292" s="937" t="s">
        <v>2744</v>
      </c>
      <c r="B1292" s="912" t="s">
        <v>875</v>
      </c>
      <c r="C1292" s="912" t="s">
        <v>2973</v>
      </c>
      <c r="D1292" s="912" t="s">
        <v>1537</v>
      </c>
      <c r="E1292" s="942">
        <v>8000</v>
      </c>
      <c r="F1292" s="926" t="s">
        <v>3065</v>
      </c>
      <c r="G1292" s="926" t="s">
        <v>3066</v>
      </c>
      <c r="H1292" s="926" t="s">
        <v>1175</v>
      </c>
      <c r="I1292" s="912" t="s">
        <v>940</v>
      </c>
      <c r="J1292" s="912" t="s">
        <v>3095</v>
      </c>
      <c r="K1292" s="935"/>
      <c r="L1292" s="935"/>
      <c r="M1292" s="930"/>
      <c r="N1292" s="940" t="s">
        <v>3106</v>
      </c>
      <c r="O1292" s="940" t="s">
        <v>2976</v>
      </c>
      <c r="P1292" s="930">
        <v>46902</v>
      </c>
    </row>
    <row r="1293" spans="1:16" x14ac:dyDescent="0.2">
      <c r="A1293" s="937" t="s">
        <v>2744</v>
      </c>
      <c r="B1293" s="912" t="s">
        <v>875</v>
      </c>
      <c r="C1293" s="912" t="s">
        <v>2973</v>
      </c>
      <c r="D1293" s="912" t="s">
        <v>1537</v>
      </c>
      <c r="E1293" s="942">
        <v>8000</v>
      </c>
      <c r="F1293" s="926" t="s">
        <v>3067</v>
      </c>
      <c r="G1293" s="926" t="s">
        <v>3068</v>
      </c>
      <c r="H1293" s="926" t="s">
        <v>1175</v>
      </c>
      <c r="I1293" s="912" t="s">
        <v>940</v>
      </c>
      <c r="J1293" s="912" t="s">
        <v>3095</v>
      </c>
      <c r="K1293" s="935"/>
      <c r="L1293" s="935"/>
      <c r="M1293" s="930"/>
      <c r="N1293" s="940" t="s">
        <v>3106</v>
      </c>
      <c r="O1293" s="940" t="s">
        <v>2976</v>
      </c>
      <c r="P1293" s="930">
        <v>46902</v>
      </c>
    </row>
    <row r="1294" spans="1:16" x14ac:dyDescent="0.2">
      <c r="A1294" s="937" t="s">
        <v>2744</v>
      </c>
      <c r="B1294" s="912" t="s">
        <v>875</v>
      </c>
      <c r="C1294" s="912" t="s">
        <v>2973</v>
      </c>
      <c r="D1294" s="912" t="s">
        <v>1537</v>
      </c>
      <c r="E1294" s="942">
        <v>8000</v>
      </c>
      <c r="F1294" s="926" t="s">
        <v>3163</v>
      </c>
      <c r="G1294" s="926" t="s">
        <v>3164</v>
      </c>
      <c r="H1294" s="926" t="s">
        <v>1175</v>
      </c>
      <c r="I1294" s="912" t="s">
        <v>940</v>
      </c>
      <c r="J1294" s="912" t="s">
        <v>3095</v>
      </c>
      <c r="K1294" s="935"/>
      <c r="L1294" s="935"/>
      <c r="M1294" s="930"/>
      <c r="N1294" s="940" t="s">
        <v>3106</v>
      </c>
      <c r="O1294" s="940" t="s">
        <v>2976</v>
      </c>
      <c r="P1294" s="930">
        <v>46902</v>
      </c>
    </row>
    <row r="1295" spans="1:16" x14ac:dyDescent="0.2">
      <c r="A1295" s="937" t="s">
        <v>2744</v>
      </c>
      <c r="B1295" s="912" t="s">
        <v>875</v>
      </c>
      <c r="C1295" s="912" t="s">
        <v>2973</v>
      </c>
      <c r="D1295" s="912" t="s">
        <v>1537</v>
      </c>
      <c r="E1295" s="942">
        <v>8000</v>
      </c>
      <c r="F1295" s="926" t="s">
        <v>3069</v>
      </c>
      <c r="G1295" s="926" t="s">
        <v>3070</v>
      </c>
      <c r="H1295" s="926" t="s">
        <v>1175</v>
      </c>
      <c r="I1295" s="912" t="s">
        <v>940</v>
      </c>
      <c r="J1295" s="912" t="s">
        <v>3095</v>
      </c>
      <c r="K1295" s="935"/>
      <c r="L1295" s="935"/>
      <c r="M1295" s="930"/>
      <c r="N1295" s="940" t="s">
        <v>3106</v>
      </c>
      <c r="O1295" s="940" t="s">
        <v>2976</v>
      </c>
      <c r="P1295" s="930">
        <v>46902</v>
      </c>
    </row>
    <row r="1296" spans="1:16" x14ac:dyDescent="0.2">
      <c r="A1296" s="937" t="s">
        <v>2744</v>
      </c>
      <c r="B1296" s="912" t="s">
        <v>875</v>
      </c>
      <c r="C1296" s="912" t="s">
        <v>2973</v>
      </c>
      <c r="D1296" s="912" t="s">
        <v>1537</v>
      </c>
      <c r="E1296" s="942">
        <v>8000</v>
      </c>
      <c r="F1296" s="926" t="s">
        <v>3165</v>
      </c>
      <c r="G1296" s="926" t="s">
        <v>3166</v>
      </c>
      <c r="H1296" s="926" t="s">
        <v>1175</v>
      </c>
      <c r="I1296" s="912" t="s">
        <v>940</v>
      </c>
      <c r="J1296" s="912" t="s">
        <v>3095</v>
      </c>
      <c r="K1296" s="935"/>
      <c r="L1296" s="935"/>
      <c r="M1296" s="930"/>
      <c r="N1296" s="940" t="s">
        <v>3106</v>
      </c>
      <c r="O1296" s="940" t="s">
        <v>2976</v>
      </c>
      <c r="P1296" s="930">
        <v>46902</v>
      </c>
    </row>
    <row r="1297" spans="1:16" x14ac:dyDescent="0.2">
      <c r="A1297" s="937" t="s">
        <v>2744</v>
      </c>
      <c r="B1297" s="912" t="s">
        <v>875</v>
      </c>
      <c r="C1297" s="912" t="s">
        <v>2973</v>
      </c>
      <c r="D1297" s="912" t="s">
        <v>1537</v>
      </c>
      <c r="E1297" s="942">
        <v>8000</v>
      </c>
      <c r="F1297" s="926" t="s">
        <v>3167</v>
      </c>
      <c r="G1297" s="926" t="s">
        <v>3168</v>
      </c>
      <c r="H1297" s="926" t="s">
        <v>1175</v>
      </c>
      <c r="I1297" s="912" t="s">
        <v>940</v>
      </c>
      <c r="J1297" s="912" t="s">
        <v>3095</v>
      </c>
      <c r="K1297" s="935"/>
      <c r="L1297" s="935"/>
      <c r="M1297" s="930"/>
      <c r="N1297" s="940" t="s">
        <v>3106</v>
      </c>
      <c r="O1297" s="940" t="s">
        <v>2976</v>
      </c>
      <c r="P1297" s="930">
        <v>46902</v>
      </c>
    </row>
    <row r="1298" spans="1:16" x14ac:dyDescent="0.2">
      <c r="A1298" s="937" t="s">
        <v>2744</v>
      </c>
      <c r="B1298" s="912" t="s">
        <v>875</v>
      </c>
      <c r="C1298" s="912" t="s">
        <v>2973</v>
      </c>
      <c r="D1298" s="912" t="s">
        <v>1537</v>
      </c>
      <c r="E1298" s="942">
        <v>8000</v>
      </c>
      <c r="F1298" s="926" t="s">
        <v>3169</v>
      </c>
      <c r="G1298" s="926" t="s">
        <v>3170</v>
      </c>
      <c r="H1298" s="926" t="s">
        <v>1175</v>
      </c>
      <c r="I1298" s="912" t="s">
        <v>940</v>
      </c>
      <c r="J1298" s="912" t="s">
        <v>3095</v>
      </c>
      <c r="K1298" s="935"/>
      <c r="L1298" s="935"/>
      <c r="M1298" s="930"/>
      <c r="N1298" s="940" t="s">
        <v>3106</v>
      </c>
      <c r="O1298" s="940" t="s">
        <v>2976</v>
      </c>
      <c r="P1298" s="930">
        <v>46902</v>
      </c>
    </row>
    <row r="1299" spans="1:16" x14ac:dyDescent="0.2">
      <c r="A1299" s="937" t="s">
        <v>2744</v>
      </c>
      <c r="B1299" s="912" t="s">
        <v>875</v>
      </c>
      <c r="C1299" s="912" t="s">
        <v>2973</v>
      </c>
      <c r="D1299" s="912" t="s">
        <v>1537</v>
      </c>
      <c r="E1299" s="942">
        <v>8000</v>
      </c>
      <c r="F1299" s="926" t="s">
        <v>3073</v>
      </c>
      <c r="G1299" s="926" t="s">
        <v>3074</v>
      </c>
      <c r="H1299" s="926" t="s">
        <v>1175</v>
      </c>
      <c r="I1299" s="912" t="s">
        <v>940</v>
      </c>
      <c r="J1299" s="912" t="s">
        <v>3095</v>
      </c>
      <c r="K1299" s="935"/>
      <c r="L1299" s="935"/>
      <c r="M1299" s="930"/>
      <c r="N1299" s="940" t="s">
        <v>3106</v>
      </c>
      <c r="O1299" s="940" t="s">
        <v>2976</v>
      </c>
      <c r="P1299" s="930">
        <v>46902</v>
      </c>
    </row>
    <row r="1300" spans="1:16" x14ac:dyDescent="0.2">
      <c r="A1300" s="937" t="s">
        <v>2744</v>
      </c>
      <c r="B1300" s="912" t="s">
        <v>875</v>
      </c>
      <c r="C1300" s="912" t="s">
        <v>2973</v>
      </c>
      <c r="D1300" s="912" t="s">
        <v>1537</v>
      </c>
      <c r="E1300" s="942">
        <v>8000</v>
      </c>
      <c r="F1300" s="926" t="s">
        <v>3075</v>
      </c>
      <c r="G1300" s="926" t="s">
        <v>3076</v>
      </c>
      <c r="H1300" s="926" t="s">
        <v>1175</v>
      </c>
      <c r="I1300" s="912" t="s">
        <v>940</v>
      </c>
      <c r="J1300" s="912" t="s">
        <v>3095</v>
      </c>
      <c r="K1300" s="935"/>
      <c r="L1300" s="935"/>
      <c r="M1300" s="930"/>
      <c r="N1300" s="940" t="s">
        <v>3106</v>
      </c>
      <c r="O1300" s="940" t="s">
        <v>2976</v>
      </c>
      <c r="P1300" s="930">
        <v>46902</v>
      </c>
    </row>
    <row r="1301" spans="1:16" x14ac:dyDescent="0.2">
      <c r="A1301" s="937" t="s">
        <v>2744</v>
      </c>
      <c r="B1301" s="912" t="s">
        <v>875</v>
      </c>
      <c r="C1301" s="912" t="s">
        <v>2973</v>
      </c>
      <c r="D1301" s="912" t="s">
        <v>1537</v>
      </c>
      <c r="E1301" s="942">
        <v>8000</v>
      </c>
      <c r="F1301" s="926" t="s">
        <v>3171</v>
      </c>
      <c r="G1301" s="926" t="s">
        <v>3172</v>
      </c>
      <c r="H1301" s="926" t="s">
        <v>1175</v>
      </c>
      <c r="I1301" s="912" t="s">
        <v>940</v>
      </c>
      <c r="J1301" s="912" t="s">
        <v>3095</v>
      </c>
      <c r="K1301" s="935"/>
      <c r="L1301" s="935"/>
      <c r="M1301" s="930"/>
      <c r="N1301" s="940" t="s">
        <v>3106</v>
      </c>
      <c r="O1301" s="940" t="s">
        <v>2976</v>
      </c>
      <c r="P1301" s="930">
        <v>46902</v>
      </c>
    </row>
    <row r="1302" spans="1:16" x14ac:dyDescent="0.2">
      <c r="A1302" s="937" t="s">
        <v>2744</v>
      </c>
      <c r="B1302" s="912" t="s">
        <v>875</v>
      </c>
      <c r="C1302" s="912" t="s">
        <v>2973</v>
      </c>
      <c r="D1302" s="912" t="s">
        <v>1537</v>
      </c>
      <c r="E1302" s="942">
        <v>8000</v>
      </c>
      <c r="F1302" s="926" t="s">
        <v>3173</v>
      </c>
      <c r="G1302" s="926" t="s">
        <v>3174</v>
      </c>
      <c r="H1302" s="926" t="s">
        <v>1175</v>
      </c>
      <c r="I1302" s="912" t="s">
        <v>940</v>
      </c>
      <c r="J1302" s="912" t="s">
        <v>3095</v>
      </c>
      <c r="K1302" s="935"/>
      <c r="L1302" s="935"/>
      <c r="M1302" s="930"/>
      <c r="N1302" s="940" t="s">
        <v>3106</v>
      </c>
      <c r="O1302" s="940" t="s">
        <v>2976</v>
      </c>
      <c r="P1302" s="930">
        <v>46902</v>
      </c>
    </row>
    <row r="1303" spans="1:16" x14ac:dyDescent="0.2">
      <c r="A1303" s="937" t="s">
        <v>2744</v>
      </c>
      <c r="B1303" s="912" t="s">
        <v>875</v>
      </c>
      <c r="C1303" s="912" t="s">
        <v>2973</v>
      </c>
      <c r="D1303" s="912" t="s">
        <v>1537</v>
      </c>
      <c r="E1303" s="942">
        <v>8000</v>
      </c>
      <c r="F1303" s="926" t="s">
        <v>3175</v>
      </c>
      <c r="G1303" s="926" t="s">
        <v>3176</v>
      </c>
      <c r="H1303" s="926" t="s">
        <v>1175</v>
      </c>
      <c r="I1303" s="912" t="s">
        <v>940</v>
      </c>
      <c r="J1303" s="912" t="s">
        <v>3095</v>
      </c>
      <c r="K1303" s="935"/>
      <c r="L1303" s="935"/>
      <c r="M1303" s="930"/>
      <c r="N1303" s="940" t="s">
        <v>3106</v>
      </c>
      <c r="O1303" s="940" t="s">
        <v>2976</v>
      </c>
      <c r="P1303" s="930">
        <v>46902</v>
      </c>
    </row>
    <row r="1304" spans="1:16" x14ac:dyDescent="0.2">
      <c r="A1304" s="937" t="s">
        <v>2744</v>
      </c>
      <c r="B1304" s="912" t="s">
        <v>875</v>
      </c>
      <c r="C1304" s="912" t="s">
        <v>2973</v>
      </c>
      <c r="D1304" s="912" t="s">
        <v>1537</v>
      </c>
      <c r="E1304" s="942">
        <v>8000</v>
      </c>
      <c r="F1304" s="926" t="s">
        <v>3093</v>
      </c>
      <c r="G1304" s="926" t="s">
        <v>3094</v>
      </c>
      <c r="H1304" s="926" t="s">
        <v>1175</v>
      </c>
      <c r="I1304" s="912" t="s">
        <v>940</v>
      </c>
      <c r="J1304" s="912" t="s">
        <v>3095</v>
      </c>
      <c r="K1304" s="935"/>
      <c r="L1304" s="935"/>
      <c r="M1304" s="930"/>
      <c r="N1304" s="940" t="s">
        <v>3106</v>
      </c>
      <c r="O1304" s="940" t="s">
        <v>2976</v>
      </c>
      <c r="P1304" s="930">
        <v>46902</v>
      </c>
    </row>
    <row r="1305" spans="1:16" x14ac:dyDescent="0.2">
      <c r="A1305" s="937" t="s">
        <v>2744</v>
      </c>
      <c r="B1305" s="912" t="s">
        <v>875</v>
      </c>
      <c r="C1305" s="912" t="s">
        <v>2973</v>
      </c>
      <c r="D1305" s="912" t="s">
        <v>1537</v>
      </c>
      <c r="E1305" s="942">
        <v>8000</v>
      </c>
      <c r="F1305" s="926" t="s">
        <v>3177</v>
      </c>
      <c r="G1305" s="926" t="s">
        <v>3178</v>
      </c>
      <c r="H1305" s="926" t="s">
        <v>1175</v>
      </c>
      <c r="I1305" s="912" t="s">
        <v>940</v>
      </c>
      <c r="J1305" s="912" t="s">
        <v>3095</v>
      </c>
      <c r="K1305" s="935"/>
      <c r="L1305" s="935"/>
      <c r="M1305" s="930"/>
      <c r="N1305" s="940" t="s">
        <v>3106</v>
      </c>
      <c r="O1305" s="940" t="s">
        <v>2976</v>
      </c>
      <c r="P1305" s="930">
        <v>14022.54</v>
      </c>
    </row>
    <row r="1306" spans="1:16" x14ac:dyDescent="0.2">
      <c r="A1306" s="937" t="s">
        <v>2744</v>
      </c>
      <c r="B1306" s="912" t="s">
        <v>875</v>
      </c>
      <c r="C1306" s="912" t="s">
        <v>2973</v>
      </c>
      <c r="D1306" s="912" t="s">
        <v>1537</v>
      </c>
      <c r="E1306" s="942">
        <v>2120</v>
      </c>
      <c r="F1306" s="926" t="s">
        <v>3179</v>
      </c>
      <c r="G1306" s="926" t="s">
        <v>3180</v>
      </c>
      <c r="H1306" s="926" t="s">
        <v>1784</v>
      </c>
      <c r="I1306" s="912" t="s">
        <v>1020</v>
      </c>
      <c r="J1306" s="912" t="s">
        <v>1020</v>
      </c>
      <c r="K1306" s="935"/>
      <c r="L1306" s="935"/>
      <c r="M1306" s="930"/>
      <c r="N1306" s="940" t="s">
        <v>3106</v>
      </c>
      <c r="O1306" s="940" t="s">
        <v>2976</v>
      </c>
      <c r="P1306" s="930">
        <v>19530.000000000004</v>
      </c>
    </row>
    <row r="1307" spans="1:16" x14ac:dyDescent="0.2">
      <c r="A1307" s="937" t="s">
        <v>2744</v>
      </c>
      <c r="B1307" s="912" t="s">
        <v>875</v>
      </c>
      <c r="C1307" s="912" t="s">
        <v>2973</v>
      </c>
      <c r="D1307" s="912" t="s">
        <v>1537</v>
      </c>
      <c r="E1307" s="942">
        <v>3000</v>
      </c>
      <c r="F1307" s="926" t="s">
        <v>3033</v>
      </c>
      <c r="G1307" s="926" t="s">
        <v>3034</v>
      </c>
      <c r="H1307" s="926" t="s">
        <v>1028</v>
      </c>
      <c r="I1307" s="912" t="s">
        <v>1412</v>
      </c>
      <c r="J1307" s="912" t="s">
        <v>2752</v>
      </c>
      <c r="K1307" s="935"/>
      <c r="L1307" s="935"/>
      <c r="M1307" s="930"/>
      <c r="N1307" s="940" t="s">
        <v>3106</v>
      </c>
      <c r="O1307" s="940" t="s">
        <v>2976</v>
      </c>
      <c r="P1307" s="930">
        <v>22352.32</v>
      </c>
    </row>
    <row r="1308" spans="1:16" x14ac:dyDescent="0.2">
      <c r="A1308" s="937" t="s">
        <v>2744</v>
      </c>
      <c r="B1308" s="912" t="s">
        <v>875</v>
      </c>
      <c r="C1308" s="912" t="s">
        <v>2973</v>
      </c>
      <c r="D1308" s="912" t="s">
        <v>1537</v>
      </c>
      <c r="E1308" s="942">
        <v>3300</v>
      </c>
      <c r="F1308" s="926" t="s">
        <v>3181</v>
      </c>
      <c r="G1308" s="926" t="s">
        <v>3182</v>
      </c>
      <c r="H1308" s="926" t="s">
        <v>1246</v>
      </c>
      <c r="I1308" s="912" t="s">
        <v>1412</v>
      </c>
      <c r="J1308" s="912" t="s">
        <v>2752</v>
      </c>
      <c r="K1308" s="935"/>
      <c r="L1308" s="935"/>
      <c r="M1308" s="930"/>
      <c r="N1308" s="940" t="s">
        <v>3106</v>
      </c>
      <c r="O1308" s="940" t="s">
        <v>2976</v>
      </c>
      <c r="P1308" s="930">
        <v>22352.32</v>
      </c>
    </row>
    <row r="1309" spans="1:16" x14ac:dyDescent="0.2">
      <c r="A1309" s="937" t="s">
        <v>2744</v>
      </c>
      <c r="B1309" s="912" t="s">
        <v>875</v>
      </c>
      <c r="C1309" s="912" t="s">
        <v>2973</v>
      </c>
      <c r="D1309" s="912" t="s">
        <v>1537</v>
      </c>
      <c r="E1309" s="942">
        <v>3300</v>
      </c>
      <c r="F1309" s="926" t="s">
        <v>3035</v>
      </c>
      <c r="G1309" s="926" t="s">
        <v>3036</v>
      </c>
      <c r="H1309" s="926" t="s">
        <v>1246</v>
      </c>
      <c r="I1309" s="912" t="s">
        <v>1412</v>
      </c>
      <c r="J1309" s="912" t="s">
        <v>2752</v>
      </c>
      <c r="K1309" s="935"/>
      <c r="L1309" s="935"/>
      <c r="M1309" s="930"/>
      <c r="N1309" s="940" t="s">
        <v>3106</v>
      </c>
      <c r="O1309" s="940" t="s">
        <v>2976</v>
      </c>
      <c r="P1309" s="930">
        <v>22352.32</v>
      </c>
    </row>
    <row r="1310" spans="1:16" x14ac:dyDescent="0.2">
      <c r="A1310" s="937" t="s">
        <v>2744</v>
      </c>
      <c r="B1310" s="912" t="s">
        <v>875</v>
      </c>
      <c r="C1310" s="912" t="s">
        <v>2973</v>
      </c>
      <c r="D1310" s="912" t="s">
        <v>1537</v>
      </c>
      <c r="E1310" s="942">
        <v>3300</v>
      </c>
      <c r="F1310" s="926" t="s">
        <v>3037</v>
      </c>
      <c r="G1310" s="926" t="s">
        <v>3038</v>
      </c>
      <c r="H1310" s="926" t="s">
        <v>1246</v>
      </c>
      <c r="I1310" s="912" t="s">
        <v>1412</v>
      </c>
      <c r="J1310" s="912" t="s">
        <v>2752</v>
      </c>
      <c r="K1310" s="935"/>
      <c r="L1310" s="935"/>
      <c r="M1310" s="930"/>
      <c r="N1310" s="940" t="s">
        <v>3106</v>
      </c>
      <c r="O1310" s="940" t="s">
        <v>2976</v>
      </c>
      <c r="P1310" s="930">
        <v>21852.32</v>
      </c>
    </row>
    <row r="1311" spans="1:16" x14ac:dyDescent="0.2">
      <c r="A1311" s="937" t="s">
        <v>2744</v>
      </c>
      <c r="B1311" s="912" t="s">
        <v>875</v>
      </c>
      <c r="C1311" s="912" t="s">
        <v>2973</v>
      </c>
      <c r="D1311" s="912" t="s">
        <v>1537</v>
      </c>
      <c r="E1311" s="942">
        <v>3300</v>
      </c>
      <c r="F1311" s="926" t="s">
        <v>3039</v>
      </c>
      <c r="G1311" s="926" t="s">
        <v>3040</v>
      </c>
      <c r="H1311" s="926" t="s">
        <v>1246</v>
      </c>
      <c r="I1311" s="912" t="s">
        <v>1412</v>
      </c>
      <c r="J1311" s="912" t="s">
        <v>2752</v>
      </c>
      <c r="K1311" s="935"/>
      <c r="L1311" s="935"/>
      <c r="M1311" s="930"/>
      <c r="N1311" s="940" t="s">
        <v>3106</v>
      </c>
      <c r="O1311" s="940" t="s">
        <v>2976</v>
      </c>
      <c r="P1311" s="930">
        <v>21355.32</v>
      </c>
    </row>
    <row r="1312" spans="1:16" x14ac:dyDescent="0.2">
      <c r="A1312" s="937" t="s">
        <v>2744</v>
      </c>
      <c r="B1312" s="912" t="s">
        <v>875</v>
      </c>
      <c r="C1312" s="912" t="s">
        <v>2973</v>
      </c>
      <c r="D1312" s="912" t="s">
        <v>1537</v>
      </c>
      <c r="E1312" s="942">
        <v>3300</v>
      </c>
      <c r="F1312" s="926" t="s">
        <v>3183</v>
      </c>
      <c r="G1312" s="926" t="s">
        <v>3184</v>
      </c>
      <c r="H1312" s="926" t="s">
        <v>1246</v>
      </c>
      <c r="I1312" s="912" t="s">
        <v>1412</v>
      </c>
      <c r="J1312" s="912" t="s">
        <v>2752</v>
      </c>
      <c r="K1312" s="935"/>
      <c r="L1312" s="935"/>
      <c r="M1312" s="930"/>
      <c r="N1312" s="940" t="s">
        <v>3106</v>
      </c>
      <c r="O1312" s="940" t="s">
        <v>2976</v>
      </c>
      <c r="P1312" s="930">
        <v>25604.59</v>
      </c>
    </row>
    <row r="1313" spans="1:16" x14ac:dyDescent="0.2">
      <c r="A1313" s="937" t="s">
        <v>2744</v>
      </c>
      <c r="B1313" s="912" t="s">
        <v>875</v>
      </c>
      <c r="C1313" s="912" t="s">
        <v>2973</v>
      </c>
      <c r="D1313" s="912" t="s">
        <v>1537</v>
      </c>
      <c r="E1313" s="942">
        <v>4000</v>
      </c>
      <c r="F1313" s="926" t="s">
        <v>3185</v>
      </c>
      <c r="G1313" s="926" t="s">
        <v>3186</v>
      </c>
      <c r="H1313" s="926" t="s">
        <v>1594</v>
      </c>
      <c r="I1313" s="912" t="s">
        <v>940</v>
      </c>
      <c r="J1313" s="912" t="s">
        <v>3095</v>
      </c>
      <c r="K1313" s="935"/>
      <c r="L1313" s="935"/>
      <c r="M1313" s="930"/>
      <c r="N1313" s="940" t="s">
        <v>3106</v>
      </c>
      <c r="O1313" s="940" t="s">
        <v>2976</v>
      </c>
      <c r="P1313" s="930">
        <v>25604.59</v>
      </c>
    </row>
    <row r="1314" spans="1:16" x14ac:dyDescent="0.2">
      <c r="A1314" s="937" t="s">
        <v>2744</v>
      </c>
      <c r="B1314" s="912" t="s">
        <v>875</v>
      </c>
      <c r="C1314" s="912" t="s">
        <v>2973</v>
      </c>
      <c r="D1314" s="912" t="s">
        <v>1537</v>
      </c>
      <c r="E1314" s="942">
        <v>4000</v>
      </c>
      <c r="F1314" s="926" t="s">
        <v>3187</v>
      </c>
      <c r="G1314" s="926" t="s">
        <v>3188</v>
      </c>
      <c r="H1314" s="926" t="s">
        <v>1594</v>
      </c>
      <c r="I1314" s="912" t="s">
        <v>940</v>
      </c>
      <c r="J1314" s="912" t="s">
        <v>3095</v>
      </c>
      <c r="K1314" s="935"/>
      <c r="L1314" s="935"/>
      <c r="M1314" s="930"/>
      <c r="N1314" s="940" t="s">
        <v>3106</v>
      </c>
      <c r="O1314" s="940" t="s">
        <v>2976</v>
      </c>
      <c r="P1314" s="930">
        <v>25604.59</v>
      </c>
    </row>
    <row r="1315" spans="1:16" x14ac:dyDescent="0.2">
      <c r="A1315" s="937" t="s">
        <v>2744</v>
      </c>
      <c r="B1315" s="912" t="s">
        <v>875</v>
      </c>
      <c r="C1315" s="912" t="s">
        <v>2973</v>
      </c>
      <c r="D1315" s="912" t="s">
        <v>1537</v>
      </c>
      <c r="E1315" s="942">
        <v>4000</v>
      </c>
      <c r="F1315" s="926" t="s">
        <v>3189</v>
      </c>
      <c r="G1315" s="926" t="s">
        <v>3190</v>
      </c>
      <c r="H1315" s="926" t="s">
        <v>1626</v>
      </c>
      <c r="I1315" s="912" t="s">
        <v>940</v>
      </c>
      <c r="J1315" s="912" t="s">
        <v>3095</v>
      </c>
      <c r="K1315" s="935"/>
      <c r="L1315" s="935"/>
      <c r="M1315" s="930"/>
      <c r="N1315" s="940" t="s">
        <v>3106</v>
      </c>
      <c r="O1315" s="940" t="s">
        <v>2976</v>
      </c>
      <c r="P1315" s="930">
        <v>25604.59</v>
      </c>
    </row>
    <row r="1316" spans="1:16" x14ac:dyDescent="0.2">
      <c r="A1316" s="937" t="s">
        <v>2744</v>
      </c>
      <c r="B1316" s="912" t="s">
        <v>875</v>
      </c>
      <c r="C1316" s="912" t="s">
        <v>2973</v>
      </c>
      <c r="D1316" s="912" t="s">
        <v>1537</v>
      </c>
      <c r="E1316" s="942">
        <v>4000</v>
      </c>
      <c r="F1316" s="926" t="s">
        <v>3079</v>
      </c>
      <c r="G1316" s="926" t="s">
        <v>3080</v>
      </c>
      <c r="H1316" s="926" t="s">
        <v>2259</v>
      </c>
      <c r="I1316" s="912" t="s">
        <v>940</v>
      </c>
      <c r="J1316" s="912" t="s">
        <v>3095</v>
      </c>
      <c r="K1316" s="935"/>
      <c r="L1316" s="935"/>
      <c r="M1316" s="930"/>
      <c r="N1316" s="940" t="s">
        <v>3106</v>
      </c>
      <c r="O1316" s="940" t="s">
        <v>2976</v>
      </c>
      <c r="P1316" s="930">
        <v>25604.42</v>
      </c>
    </row>
    <row r="1317" spans="1:16" x14ac:dyDescent="0.2">
      <c r="A1317" s="937" t="s">
        <v>2744</v>
      </c>
      <c r="B1317" s="912" t="s">
        <v>875</v>
      </c>
      <c r="C1317" s="912" t="s">
        <v>2973</v>
      </c>
      <c r="D1317" s="912" t="s">
        <v>1537</v>
      </c>
      <c r="E1317" s="942">
        <v>4000</v>
      </c>
      <c r="F1317" s="926" t="s">
        <v>3191</v>
      </c>
      <c r="G1317" s="926" t="s">
        <v>3192</v>
      </c>
      <c r="H1317" s="926" t="s">
        <v>1594</v>
      </c>
      <c r="I1317" s="912" t="s">
        <v>940</v>
      </c>
      <c r="J1317" s="912" t="s">
        <v>3095</v>
      </c>
      <c r="K1317" s="935"/>
      <c r="L1317" s="935"/>
      <c r="M1317" s="930"/>
      <c r="N1317" s="940" t="s">
        <v>3106</v>
      </c>
      <c r="O1317" s="940" t="s">
        <v>2976</v>
      </c>
      <c r="P1317" s="930">
        <v>25604.399999999998</v>
      </c>
    </row>
    <row r="1318" spans="1:16" x14ac:dyDescent="0.2">
      <c r="A1318" s="937" t="s">
        <v>2744</v>
      </c>
      <c r="B1318" s="912" t="s">
        <v>875</v>
      </c>
      <c r="C1318" s="912" t="s">
        <v>2973</v>
      </c>
      <c r="D1318" s="912" t="s">
        <v>1537</v>
      </c>
      <c r="E1318" s="942">
        <v>4000</v>
      </c>
      <c r="F1318" s="926" t="s">
        <v>3193</v>
      </c>
      <c r="G1318" s="926" t="s">
        <v>3194</v>
      </c>
      <c r="H1318" s="926" t="s">
        <v>1594</v>
      </c>
      <c r="I1318" s="912" t="s">
        <v>940</v>
      </c>
      <c r="J1318" s="912" t="s">
        <v>3095</v>
      </c>
      <c r="K1318" s="935"/>
      <c r="L1318" s="935"/>
      <c r="M1318" s="930"/>
      <c r="N1318" s="940" t="s">
        <v>3106</v>
      </c>
      <c r="O1318" s="940" t="s">
        <v>2976</v>
      </c>
      <c r="P1318" s="930">
        <v>25604.399999999998</v>
      </c>
    </row>
    <row r="1319" spans="1:16" x14ac:dyDescent="0.2">
      <c r="A1319" s="937" t="s">
        <v>2744</v>
      </c>
      <c r="B1319" s="912" t="s">
        <v>875</v>
      </c>
      <c r="C1319" s="912" t="s">
        <v>2973</v>
      </c>
      <c r="D1319" s="912" t="s">
        <v>1537</v>
      </c>
      <c r="E1319" s="942">
        <v>4000</v>
      </c>
      <c r="F1319" s="926" t="s">
        <v>3195</v>
      </c>
      <c r="G1319" s="926" t="s">
        <v>3196</v>
      </c>
      <c r="H1319" s="926" t="s">
        <v>2259</v>
      </c>
      <c r="I1319" s="912" t="s">
        <v>940</v>
      </c>
      <c r="J1319" s="912" t="s">
        <v>3095</v>
      </c>
      <c r="K1319" s="935"/>
      <c r="L1319" s="935"/>
      <c r="M1319" s="930"/>
      <c r="N1319" s="940" t="s">
        <v>3106</v>
      </c>
      <c r="O1319" s="940" t="s">
        <v>2976</v>
      </c>
      <c r="P1319" s="930">
        <v>25604.399999999998</v>
      </c>
    </row>
    <row r="1320" spans="1:16" x14ac:dyDescent="0.2">
      <c r="A1320" s="937" t="s">
        <v>2744</v>
      </c>
      <c r="B1320" s="912" t="s">
        <v>875</v>
      </c>
      <c r="C1320" s="912" t="s">
        <v>2973</v>
      </c>
      <c r="D1320" s="912" t="s">
        <v>1537</v>
      </c>
      <c r="E1320" s="942">
        <v>4000</v>
      </c>
      <c r="F1320" s="926" t="s">
        <v>3197</v>
      </c>
      <c r="G1320" s="926" t="s">
        <v>3198</v>
      </c>
      <c r="H1320" s="926" t="s">
        <v>1594</v>
      </c>
      <c r="I1320" s="912" t="s">
        <v>940</v>
      </c>
      <c r="J1320" s="912" t="s">
        <v>3095</v>
      </c>
      <c r="K1320" s="935"/>
      <c r="L1320" s="935"/>
      <c r="M1320" s="930"/>
      <c r="N1320" s="940" t="s">
        <v>3106</v>
      </c>
      <c r="O1320" s="940" t="s">
        <v>2976</v>
      </c>
      <c r="P1320" s="930">
        <v>25604.399999999998</v>
      </c>
    </row>
    <row r="1321" spans="1:16" x14ac:dyDescent="0.2">
      <c r="A1321" s="937" t="s">
        <v>2744</v>
      </c>
      <c r="B1321" s="912" t="s">
        <v>875</v>
      </c>
      <c r="C1321" s="912" t="s">
        <v>2973</v>
      </c>
      <c r="D1321" s="912" t="s">
        <v>1537</v>
      </c>
      <c r="E1321" s="942">
        <v>4000</v>
      </c>
      <c r="F1321" s="926" t="s">
        <v>3199</v>
      </c>
      <c r="G1321" s="926" t="s">
        <v>3200</v>
      </c>
      <c r="H1321" s="926" t="s">
        <v>2259</v>
      </c>
      <c r="I1321" s="912" t="s">
        <v>940</v>
      </c>
      <c r="J1321" s="912" t="s">
        <v>3095</v>
      </c>
      <c r="K1321" s="935"/>
      <c r="L1321" s="935"/>
      <c r="M1321" s="930"/>
      <c r="N1321" s="940" t="s">
        <v>3106</v>
      </c>
      <c r="O1321" s="940" t="s">
        <v>2976</v>
      </c>
      <c r="P1321" s="930">
        <v>46902</v>
      </c>
    </row>
    <row r="1322" spans="1:16" x14ac:dyDescent="0.2">
      <c r="A1322" s="937" t="s">
        <v>2744</v>
      </c>
      <c r="B1322" s="912" t="s">
        <v>875</v>
      </c>
      <c r="C1322" s="912" t="s">
        <v>2973</v>
      </c>
      <c r="D1322" s="912" t="s">
        <v>1537</v>
      </c>
      <c r="E1322" s="942">
        <v>8000</v>
      </c>
      <c r="F1322" s="926" t="s">
        <v>3201</v>
      </c>
      <c r="G1322" s="926" t="s">
        <v>3202</v>
      </c>
      <c r="H1322" s="926" t="s">
        <v>1175</v>
      </c>
      <c r="I1322" s="912" t="s">
        <v>940</v>
      </c>
      <c r="J1322" s="912" t="s">
        <v>3095</v>
      </c>
      <c r="K1322" s="935"/>
      <c r="L1322" s="935"/>
      <c r="M1322" s="930"/>
      <c r="N1322" s="940" t="s">
        <v>3106</v>
      </c>
      <c r="O1322" s="940" t="s">
        <v>2976</v>
      </c>
      <c r="P1322" s="930">
        <v>46902</v>
      </c>
    </row>
    <row r="1323" spans="1:16" x14ac:dyDescent="0.2">
      <c r="A1323" s="937" t="s">
        <v>2744</v>
      </c>
      <c r="B1323" s="912" t="s">
        <v>875</v>
      </c>
      <c r="C1323" s="912" t="s">
        <v>2973</v>
      </c>
      <c r="D1323" s="912" t="s">
        <v>1537</v>
      </c>
      <c r="E1323" s="942">
        <v>8000</v>
      </c>
      <c r="F1323" s="926" t="s">
        <v>3203</v>
      </c>
      <c r="G1323" s="926" t="s">
        <v>3204</v>
      </c>
      <c r="H1323" s="926" t="s">
        <v>1175</v>
      </c>
      <c r="I1323" s="912" t="s">
        <v>940</v>
      </c>
      <c r="J1323" s="912" t="s">
        <v>3095</v>
      </c>
      <c r="K1323" s="935"/>
      <c r="L1323" s="935"/>
      <c r="M1323" s="930"/>
      <c r="N1323" s="940" t="s">
        <v>3106</v>
      </c>
      <c r="O1323" s="940" t="s">
        <v>2976</v>
      </c>
      <c r="P1323" s="930">
        <v>46902</v>
      </c>
    </row>
    <row r="1324" spans="1:16" x14ac:dyDescent="0.2">
      <c r="A1324" s="937" t="s">
        <v>2744</v>
      </c>
      <c r="B1324" s="912" t="s">
        <v>875</v>
      </c>
      <c r="C1324" s="912" t="s">
        <v>2973</v>
      </c>
      <c r="D1324" s="912" t="s">
        <v>1537</v>
      </c>
      <c r="E1324" s="942">
        <v>8000</v>
      </c>
      <c r="F1324" s="926" t="s">
        <v>3205</v>
      </c>
      <c r="G1324" s="926" t="s">
        <v>3206</v>
      </c>
      <c r="H1324" s="926" t="s">
        <v>1175</v>
      </c>
      <c r="I1324" s="912" t="s">
        <v>940</v>
      </c>
      <c r="J1324" s="912" t="s">
        <v>3095</v>
      </c>
      <c r="K1324" s="935"/>
      <c r="L1324" s="935"/>
      <c r="M1324" s="930"/>
      <c r="N1324" s="940" t="s">
        <v>3106</v>
      </c>
      <c r="O1324" s="940" t="s">
        <v>2976</v>
      </c>
      <c r="P1324" s="930">
        <v>46902</v>
      </c>
    </row>
    <row r="1325" spans="1:16" x14ac:dyDescent="0.2">
      <c r="A1325" s="937" t="s">
        <v>2744</v>
      </c>
      <c r="B1325" s="912" t="s">
        <v>875</v>
      </c>
      <c r="C1325" s="912" t="s">
        <v>2973</v>
      </c>
      <c r="D1325" s="912" t="s">
        <v>1537</v>
      </c>
      <c r="E1325" s="942">
        <v>8000</v>
      </c>
      <c r="F1325" s="926" t="s">
        <v>3207</v>
      </c>
      <c r="G1325" s="926" t="s">
        <v>3208</v>
      </c>
      <c r="H1325" s="926" t="s">
        <v>1175</v>
      </c>
      <c r="I1325" s="912" t="s">
        <v>940</v>
      </c>
      <c r="J1325" s="912" t="s">
        <v>3095</v>
      </c>
      <c r="K1325" s="935"/>
      <c r="L1325" s="935"/>
      <c r="M1325" s="930"/>
      <c r="N1325" s="940" t="s">
        <v>3106</v>
      </c>
      <c r="O1325" s="940" t="s">
        <v>2976</v>
      </c>
      <c r="P1325" s="930">
        <v>46902</v>
      </c>
    </row>
    <row r="1326" spans="1:16" x14ac:dyDescent="0.2">
      <c r="A1326" s="937" t="s">
        <v>2744</v>
      </c>
      <c r="B1326" s="912" t="s">
        <v>875</v>
      </c>
      <c r="C1326" s="912" t="s">
        <v>2973</v>
      </c>
      <c r="D1326" s="912" t="s">
        <v>1537</v>
      </c>
      <c r="E1326" s="942">
        <v>8000</v>
      </c>
      <c r="F1326" s="926" t="s">
        <v>3209</v>
      </c>
      <c r="G1326" s="926" t="s">
        <v>3210</v>
      </c>
      <c r="H1326" s="926" t="s">
        <v>1175</v>
      </c>
      <c r="I1326" s="912" t="s">
        <v>940</v>
      </c>
      <c r="J1326" s="912" t="s">
        <v>3095</v>
      </c>
      <c r="K1326" s="935"/>
      <c r="L1326" s="935"/>
      <c r="M1326" s="930"/>
      <c r="N1326" s="940" t="s">
        <v>3106</v>
      </c>
      <c r="O1326" s="940" t="s">
        <v>2976</v>
      </c>
      <c r="P1326" s="930">
        <v>46902</v>
      </c>
    </row>
    <row r="1327" spans="1:16" x14ac:dyDescent="0.2">
      <c r="A1327" s="912"/>
      <c r="B1327" s="912"/>
      <c r="C1327" s="912"/>
      <c r="D1327" s="912"/>
      <c r="E1327" s="942"/>
      <c r="F1327" s="926"/>
      <c r="G1327" s="926"/>
      <c r="H1327" s="926"/>
      <c r="I1327" s="912"/>
      <c r="J1327" s="912"/>
      <c r="K1327" s="935"/>
      <c r="L1327" s="935"/>
      <c r="M1327" s="943"/>
      <c r="N1327" s="935"/>
      <c r="O1327" s="935"/>
      <c r="P1327" s="943">
        <f>SUM(P1122:P1326)</f>
        <v>4348366.2199999969</v>
      </c>
    </row>
    <row r="1328" spans="1:16" x14ac:dyDescent="0.2">
      <c r="A1328" s="922"/>
      <c r="B1328" s="922" t="s">
        <v>2972</v>
      </c>
      <c r="C1328" s="922" t="s">
        <v>3211</v>
      </c>
      <c r="D1328" s="922"/>
      <c r="E1328" s="944"/>
      <c r="F1328" s="919"/>
      <c r="G1328" s="919"/>
      <c r="H1328" s="919"/>
      <c r="I1328" s="922"/>
      <c r="J1328" s="922"/>
      <c r="K1328" s="945"/>
      <c r="L1328" s="945"/>
      <c r="M1328" s="943"/>
      <c r="N1328" s="945"/>
      <c r="O1328" s="945"/>
      <c r="P1328" s="943">
        <v>318240</v>
      </c>
    </row>
    <row r="1329" spans="1:16" x14ac:dyDescent="0.2">
      <c r="A1329" s="912"/>
      <c r="B1329" s="912"/>
      <c r="C1329" s="912"/>
      <c r="D1329" s="912"/>
      <c r="E1329" s="942"/>
      <c r="F1329" s="926"/>
      <c r="G1329" s="926"/>
      <c r="H1329" s="926"/>
      <c r="I1329" s="912"/>
      <c r="J1329" s="912"/>
      <c r="K1329" s="935"/>
      <c r="L1329" s="935"/>
      <c r="M1329" s="943"/>
      <c r="N1329" s="935"/>
      <c r="O1329" s="935"/>
      <c r="P1329" s="943"/>
    </row>
    <row r="1330" spans="1:16" x14ac:dyDescent="0.2">
      <c r="A1330" s="912"/>
      <c r="B1330" s="912"/>
      <c r="C1330" s="912"/>
      <c r="D1330" s="912"/>
      <c r="E1330" s="942"/>
      <c r="F1330" s="926"/>
      <c r="G1330" s="926"/>
      <c r="H1330" s="926"/>
      <c r="I1330" s="912"/>
      <c r="J1330" s="912"/>
      <c r="K1330" s="935"/>
      <c r="L1330" s="935"/>
      <c r="M1330" s="930"/>
      <c r="N1330" s="940" t="s">
        <v>2748</v>
      </c>
      <c r="O1330" s="940" t="s">
        <v>2976</v>
      </c>
      <c r="P1330" s="930">
        <v>9217.82</v>
      </c>
    </row>
    <row r="1331" spans="1:16" x14ac:dyDescent="0.2">
      <c r="A1331" s="937" t="s">
        <v>2744</v>
      </c>
      <c r="B1331" s="912" t="s">
        <v>2950</v>
      </c>
      <c r="C1331" s="912" t="s">
        <v>2745</v>
      </c>
      <c r="D1331" s="912" t="s">
        <v>1537</v>
      </c>
      <c r="E1331" s="942">
        <v>1699</v>
      </c>
      <c r="F1331" s="926" t="s">
        <v>2953</v>
      </c>
      <c r="G1331" s="926" t="s">
        <v>2954</v>
      </c>
      <c r="H1331" s="926" t="s">
        <v>1784</v>
      </c>
      <c r="I1331" s="912" t="s">
        <v>1020</v>
      </c>
      <c r="J1331" s="912" t="s">
        <v>1020</v>
      </c>
      <c r="K1331" s="935"/>
      <c r="L1331" s="935"/>
      <c r="M1331" s="930"/>
      <c r="N1331" s="940" t="s">
        <v>2748</v>
      </c>
      <c r="O1331" s="940" t="s">
        <v>2976</v>
      </c>
      <c r="P1331" s="930">
        <v>9217.82</v>
      </c>
    </row>
    <row r="1332" spans="1:16" x14ac:dyDescent="0.2">
      <c r="A1332" s="937" t="s">
        <v>2744</v>
      </c>
      <c r="B1332" s="912" t="s">
        <v>2950</v>
      </c>
      <c r="C1332" s="912" t="s">
        <v>2745</v>
      </c>
      <c r="D1332" s="912" t="s">
        <v>1537</v>
      </c>
      <c r="E1332" s="942">
        <v>1699</v>
      </c>
      <c r="F1332" s="926" t="s">
        <v>2955</v>
      </c>
      <c r="G1332" s="926" t="s">
        <v>2956</v>
      </c>
      <c r="H1332" s="926" t="s">
        <v>1784</v>
      </c>
      <c r="I1332" s="912" t="s">
        <v>1020</v>
      </c>
      <c r="J1332" s="912" t="s">
        <v>1020</v>
      </c>
      <c r="K1332" s="935"/>
      <c r="L1332" s="935"/>
      <c r="M1332" s="930"/>
      <c r="N1332" s="940" t="s">
        <v>2748</v>
      </c>
      <c r="O1332" s="940" t="s">
        <v>2976</v>
      </c>
      <c r="P1332" s="930">
        <v>9217.82</v>
      </c>
    </row>
    <row r="1333" spans="1:16" x14ac:dyDescent="0.2">
      <c r="A1333" s="937" t="s">
        <v>2744</v>
      </c>
      <c r="B1333" s="912" t="s">
        <v>2950</v>
      </c>
      <c r="C1333" s="912" t="s">
        <v>2745</v>
      </c>
      <c r="D1333" s="912" t="s">
        <v>1537</v>
      </c>
      <c r="E1333" s="942">
        <v>1699</v>
      </c>
      <c r="F1333" s="926" t="s">
        <v>2957</v>
      </c>
      <c r="G1333" s="926" t="s">
        <v>2958</v>
      </c>
      <c r="H1333" s="926" t="s">
        <v>1784</v>
      </c>
      <c r="I1333" s="912" t="s">
        <v>1020</v>
      </c>
      <c r="J1333" s="912" t="s">
        <v>1020</v>
      </c>
      <c r="K1333" s="935"/>
      <c r="L1333" s="935"/>
      <c r="M1333" s="930"/>
      <c r="N1333" s="940" t="s">
        <v>2748</v>
      </c>
      <c r="O1333" s="940" t="s">
        <v>2976</v>
      </c>
      <c r="P1333" s="930">
        <v>9217.82</v>
      </c>
    </row>
    <row r="1334" spans="1:16" x14ac:dyDescent="0.2">
      <c r="A1334" s="937" t="s">
        <v>2744</v>
      </c>
      <c r="B1334" s="912" t="s">
        <v>2950</v>
      </c>
      <c r="C1334" s="912" t="s">
        <v>2745</v>
      </c>
      <c r="D1334" s="912" t="s">
        <v>1537</v>
      </c>
      <c r="E1334" s="942">
        <v>1699</v>
      </c>
      <c r="F1334" s="926" t="s">
        <v>2959</v>
      </c>
      <c r="G1334" s="926" t="s">
        <v>2960</v>
      </c>
      <c r="H1334" s="926" t="s">
        <v>1784</v>
      </c>
      <c r="I1334" s="912" t="s">
        <v>1020</v>
      </c>
      <c r="J1334" s="912" t="s">
        <v>1020</v>
      </c>
      <c r="K1334" s="935"/>
      <c r="L1334" s="935"/>
      <c r="M1334" s="930"/>
      <c r="N1334" s="940" t="s">
        <v>2748</v>
      </c>
      <c r="O1334" s="940" t="s">
        <v>2976</v>
      </c>
      <c r="P1334" s="930">
        <v>9298</v>
      </c>
    </row>
    <row r="1335" spans="1:16" x14ac:dyDescent="0.2">
      <c r="A1335" s="937" t="s">
        <v>2744</v>
      </c>
      <c r="B1335" s="912" t="s">
        <v>2950</v>
      </c>
      <c r="C1335" s="912" t="s">
        <v>2745</v>
      </c>
      <c r="D1335" s="912" t="s">
        <v>1537</v>
      </c>
      <c r="E1335" s="942">
        <v>1724</v>
      </c>
      <c r="F1335" s="926" t="s">
        <v>2965</v>
      </c>
      <c r="G1335" s="926" t="s">
        <v>2966</v>
      </c>
      <c r="H1335" s="926" t="s">
        <v>1028</v>
      </c>
      <c r="I1335" s="912" t="s">
        <v>1412</v>
      </c>
      <c r="J1335" s="912" t="s">
        <v>2752</v>
      </c>
      <c r="K1335" s="935"/>
      <c r="L1335" s="935"/>
      <c r="M1335" s="930"/>
      <c r="N1335" s="940" t="s">
        <v>2748</v>
      </c>
      <c r="O1335" s="940" t="s">
        <v>2976</v>
      </c>
      <c r="P1335" s="930">
        <v>9298</v>
      </c>
    </row>
    <row r="1336" spans="1:16" x14ac:dyDescent="0.2">
      <c r="A1336" s="937" t="s">
        <v>2744</v>
      </c>
      <c r="B1336" s="912" t="s">
        <v>2950</v>
      </c>
      <c r="C1336" s="912" t="s">
        <v>2745</v>
      </c>
      <c r="D1336" s="912" t="s">
        <v>1537</v>
      </c>
      <c r="E1336" s="942">
        <v>1724</v>
      </c>
      <c r="F1336" s="926" t="s">
        <v>3212</v>
      </c>
      <c r="G1336" s="926" t="s">
        <v>3213</v>
      </c>
      <c r="H1336" s="926" t="s">
        <v>1663</v>
      </c>
      <c r="I1336" s="912" t="s">
        <v>1412</v>
      </c>
      <c r="J1336" s="912" t="s">
        <v>2752</v>
      </c>
      <c r="K1336" s="935"/>
      <c r="L1336" s="935"/>
      <c r="M1336" s="930"/>
      <c r="N1336" s="940" t="s">
        <v>2748</v>
      </c>
      <c r="O1336" s="940" t="s">
        <v>2976</v>
      </c>
      <c r="P1336" s="930">
        <v>10175.26</v>
      </c>
    </row>
    <row r="1337" spans="1:16" x14ac:dyDescent="0.2">
      <c r="A1337" s="937" t="s">
        <v>2744</v>
      </c>
      <c r="B1337" s="912" t="s">
        <v>2950</v>
      </c>
      <c r="C1337" s="912" t="s">
        <v>2745</v>
      </c>
      <c r="D1337" s="912" t="s">
        <v>1679</v>
      </c>
      <c r="E1337" s="942">
        <v>1750</v>
      </c>
      <c r="F1337" s="926" t="s">
        <v>2951</v>
      </c>
      <c r="G1337" s="926" t="s">
        <v>2952</v>
      </c>
      <c r="H1337" s="926" t="s">
        <v>982</v>
      </c>
      <c r="I1337" s="912" t="s">
        <v>1412</v>
      </c>
      <c r="J1337" s="912" t="s">
        <v>2752</v>
      </c>
      <c r="K1337" s="935"/>
      <c r="L1337" s="935"/>
      <c r="M1337" s="930"/>
      <c r="N1337" s="940" t="s">
        <v>2748</v>
      </c>
      <c r="O1337" s="940" t="s">
        <v>2976</v>
      </c>
      <c r="P1337" s="930">
        <v>10175.26</v>
      </c>
    </row>
    <row r="1338" spans="1:16" x14ac:dyDescent="0.2">
      <c r="A1338" s="937" t="s">
        <v>2744</v>
      </c>
      <c r="B1338" s="912" t="s">
        <v>2950</v>
      </c>
      <c r="C1338" s="912" t="s">
        <v>2745</v>
      </c>
      <c r="D1338" s="912" t="s">
        <v>1679</v>
      </c>
      <c r="E1338" s="942">
        <v>1750</v>
      </c>
      <c r="F1338" s="926" t="s">
        <v>2961</v>
      </c>
      <c r="G1338" s="926" t="s">
        <v>2962</v>
      </c>
      <c r="H1338" s="926" t="s">
        <v>982</v>
      </c>
      <c r="I1338" s="912" t="s">
        <v>1412</v>
      </c>
      <c r="J1338" s="912" t="s">
        <v>2752</v>
      </c>
      <c r="K1338" s="935"/>
      <c r="L1338" s="935"/>
      <c r="M1338" s="930"/>
      <c r="N1338" s="940" t="s">
        <v>2748</v>
      </c>
      <c r="O1338" s="940" t="s">
        <v>2976</v>
      </c>
      <c r="P1338" s="930">
        <v>10175.26</v>
      </c>
    </row>
    <row r="1339" spans="1:16" x14ac:dyDescent="0.2">
      <c r="A1339" s="937" t="s">
        <v>2744</v>
      </c>
      <c r="B1339" s="912" t="s">
        <v>2950</v>
      </c>
      <c r="C1339" s="912" t="s">
        <v>2745</v>
      </c>
      <c r="D1339" s="912" t="s">
        <v>1679</v>
      </c>
      <c r="E1339" s="942">
        <v>1750</v>
      </c>
      <c r="F1339" s="926" t="s">
        <v>2963</v>
      </c>
      <c r="G1339" s="926" t="s">
        <v>2964</v>
      </c>
      <c r="H1339" s="926" t="s">
        <v>982</v>
      </c>
      <c r="I1339" s="912" t="s">
        <v>1412</v>
      </c>
      <c r="J1339" s="912" t="s">
        <v>2752</v>
      </c>
      <c r="K1339" s="935"/>
      <c r="L1339" s="935"/>
      <c r="M1339" s="930"/>
      <c r="N1339" s="940" t="s">
        <v>2748</v>
      </c>
      <c r="O1339" s="940" t="s">
        <v>2976</v>
      </c>
      <c r="P1339" s="930">
        <v>10175.26</v>
      </c>
    </row>
    <row r="1340" spans="1:16" x14ac:dyDescent="0.2">
      <c r="A1340" s="937" t="s">
        <v>2744</v>
      </c>
      <c r="B1340" s="912" t="s">
        <v>2950</v>
      </c>
      <c r="C1340" s="912" t="s">
        <v>2745</v>
      </c>
      <c r="D1340" s="912" t="s">
        <v>1679</v>
      </c>
      <c r="E1340" s="942">
        <v>1750</v>
      </c>
      <c r="F1340" s="926" t="s">
        <v>2967</v>
      </c>
      <c r="G1340" s="926" t="s">
        <v>2968</v>
      </c>
      <c r="H1340" s="926" t="s">
        <v>958</v>
      </c>
      <c r="I1340" s="912" t="s">
        <v>1494</v>
      </c>
      <c r="J1340" s="912" t="s">
        <v>3214</v>
      </c>
      <c r="K1340" s="935"/>
      <c r="L1340" s="935"/>
      <c r="M1340" s="930"/>
      <c r="N1340" s="940" t="s">
        <v>2748</v>
      </c>
      <c r="O1340" s="940" t="s">
        <v>2976</v>
      </c>
      <c r="P1340" s="930">
        <v>10175.26</v>
      </c>
    </row>
    <row r="1341" spans="1:16" x14ac:dyDescent="0.2">
      <c r="A1341" s="937" t="s">
        <v>2744</v>
      </c>
      <c r="B1341" s="912" t="s">
        <v>2950</v>
      </c>
      <c r="C1341" s="912" t="s">
        <v>2745</v>
      </c>
      <c r="D1341" s="912" t="s">
        <v>1679</v>
      </c>
      <c r="E1341" s="942">
        <v>1750</v>
      </c>
      <c r="F1341" s="926" t="s">
        <v>2970</v>
      </c>
      <c r="G1341" s="926" t="s">
        <v>2971</v>
      </c>
      <c r="H1341" s="926" t="s">
        <v>982</v>
      </c>
      <c r="I1341" s="912" t="s">
        <v>1412</v>
      </c>
      <c r="J1341" s="912" t="s">
        <v>2752</v>
      </c>
      <c r="K1341" s="935"/>
      <c r="L1341" s="935"/>
      <c r="M1341" s="930"/>
      <c r="N1341" s="940" t="s">
        <v>2748</v>
      </c>
      <c r="O1341" s="940" t="s">
        <v>2976</v>
      </c>
      <c r="P1341" s="930">
        <v>10175.26</v>
      </c>
    </row>
    <row r="1342" spans="1:16" x14ac:dyDescent="0.2">
      <c r="A1342" s="912" t="s">
        <v>3215</v>
      </c>
      <c r="B1342" s="912" t="s">
        <v>3216</v>
      </c>
      <c r="C1342" s="912" t="s">
        <v>80</v>
      </c>
      <c r="D1342" s="912"/>
      <c r="E1342" s="914" t="s">
        <v>3217</v>
      </c>
      <c r="F1342" s="914">
        <v>43634643</v>
      </c>
      <c r="G1342" s="912" t="s">
        <v>3218</v>
      </c>
      <c r="H1342" s="912" t="s">
        <v>1594</v>
      </c>
      <c r="I1342" s="912"/>
      <c r="J1342" s="912" t="s">
        <v>940</v>
      </c>
      <c r="K1342" s="946"/>
      <c r="L1342" s="914">
        <v>12</v>
      </c>
      <c r="M1342" s="947" t="s">
        <v>3219</v>
      </c>
      <c r="N1342" s="914" t="s">
        <v>3220</v>
      </c>
      <c r="O1342" s="914">
        <v>6</v>
      </c>
      <c r="P1342" s="947" t="s">
        <v>3221</v>
      </c>
    </row>
    <row r="1343" spans="1:16" x14ac:dyDescent="0.2">
      <c r="A1343" s="912" t="s">
        <v>3215</v>
      </c>
      <c r="B1343" s="912" t="s">
        <v>3216</v>
      </c>
      <c r="C1343" s="912" t="s">
        <v>80</v>
      </c>
      <c r="D1343" s="912"/>
      <c r="E1343" s="914" t="s">
        <v>3217</v>
      </c>
      <c r="F1343" s="914">
        <v>29737307</v>
      </c>
      <c r="G1343" s="912" t="s">
        <v>3222</v>
      </c>
      <c r="H1343" s="912" t="s">
        <v>1626</v>
      </c>
      <c r="I1343" s="912"/>
      <c r="J1343" s="912" t="s">
        <v>940</v>
      </c>
      <c r="K1343" s="946"/>
      <c r="L1343" s="914">
        <v>12</v>
      </c>
      <c r="M1343" s="947" t="s">
        <v>3219</v>
      </c>
      <c r="N1343" s="914" t="s">
        <v>3223</v>
      </c>
      <c r="O1343" s="914">
        <v>6</v>
      </c>
      <c r="P1343" s="947" t="s">
        <v>3221</v>
      </c>
    </row>
    <row r="1344" spans="1:16" x14ac:dyDescent="0.2">
      <c r="A1344" s="912" t="s">
        <v>3215</v>
      </c>
      <c r="B1344" s="912" t="s">
        <v>3216</v>
      </c>
      <c r="C1344" s="912" t="s">
        <v>80</v>
      </c>
      <c r="D1344" s="912"/>
      <c r="E1344" s="914" t="s">
        <v>3224</v>
      </c>
      <c r="F1344" s="914">
        <v>72074642</v>
      </c>
      <c r="G1344" s="912" t="s">
        <v>3225</v>
      </c>
      <c r="H1344" s="912" t="s">
        <v>1641</v>
      </c>
      <c r="I1344" s="912"/>
      <c r="J1344" s="912" t="s">
        <v>940</v>
      </c>
      <c r="K1344" s="946"/>
      <c r="L1344" s="914">
        <v>12</v>
      </c>
      <c r="M1344" s="947" t="s">
        <v>3226</v>
      </c>
      <c r="N1344" s="914" t="s">
        <v>3227</v>
      </c>
      <c r="O1344" s="914">
        <v>6</v>
      </c>
      <c r="P1344" s="947" t="s">
        <v>3228</v>
      </c>
    </row>
    <row r="1345" spans="1:16" x14ac:dyDescent="0.2">
      <c r="A1345" s="912" t="s">
        <v>3215</v>
      </c>
      <c r="B1345" s="912" t="s">
        <v>3216</v>
      </c>
      <c r="C1345" s="912" t="s">
        <v>80</v>
      </c>
      <c r="D1345" s="912"/>
      <c r="E1345" s="914" t="s">
        <v>3224</v>
      </c>
      <c r="F1345" s="914">
        <v>42041175</v>
      </c>
      <c r="G1345" s="912" t="s">
        <v>3229</v>
      </c>
      <c r="H1345" s="912" t="s">
        <v>1594</v>
      </c>
      <c r="I1345" s="912"/>
      <c r="J1345" s="912" t="s">
        <v>940</v>
      </c>
      <c r="K1345" s="946"/>
      <c r="L1345" s="914">
        <v>12</v>
      </c>
      <c r="M1345" s="947" t="s">
        <v>3226</v>
      </c>
      <c r="N1345" s="914" t="s">
        <v>3230</v>
      </c>
      <c r="O1345" s="914">
        <v>6</v>
      </c>
      <c r="P1345" s="947" t="s">
        <v>3228</v>
      </c>
    </row>
    <row r="1346" spans="1:16" x14ac:dyDescent="0.2">
      <c r="A1346" s="912" t="s">
        <v>3215</v>
      </c>
      <c r="B1346" s="912" t="s">
        <v>3216</v>
      </c>
      <c r="C1346" s="912" t="s">
        <v>80</v>
      </c>
      <c r="D1346" s="912"/>
      <c r="E1346" s="914" t="s">
        <v>3217</v>
      </c>
      <c r="F1346" s="914">
        <v>45876623</v>
      </c>
      <c r="G1346" s="912" t="s">
        <v>3231</v>
      </c>
      <c r="H1346" s="912" t="s">
        <v>1594</v>
      </c>
      <c r="I1346" s="912"/>
      <c r="J1346" s="912" t="s">
        <v>940</v>
      </c>
      <c r="K1346" s="946"/>
      <c r="L1346" s="914">
        <v>12</v>
      </c>
      <c r="M1346" s="947" t="s">
        <v>3219</v>
      </c>
      <c r="N1346" s="946"/>
      <c r="O1346" s="914">
        <v>6</v>
      </c>
      <c r="P1346" s="947" t="s">
        <v>3221</v>
      </c>
    </row>
    <row r="1347" spans="1:16" x14ac:dyDescent="0.2">
      <c r="A1347" s="912" t="s">
        <v>3215</v>
      </c>
      <c r="B1347" s="912" t="s">
        <v>3216</v>
      </c>
      <c r="C1347" s="912" t="s">
        <v>80</v>
      </c>
      <c r="D1347" s="912"/>
      <c r="E1347" s="914" t="s">
        <v>3217</v>
      </c>
      <c r="F1347" s="914">
        <v>40009470</v>
      </c>
      <c r="G1347" s="912" t="s">
        <v>3232</v>
      </c>
      <c r="H1347" s="912" t="s">
        <v>1634</v>
      </c>
      <c r="I1347" s="912"/>
      <c r="J1347" s="912" t="s">
        <v>940</v>
      </c>
      <c r="K1347" s="946"/>
      <c r="L1347" s="914">
        <v>12</v>
      </c>
      <c r="M1347" s="947" t="s">
        <v>3219</v>
      </c>
      <c r="N1347" s="914" t="s">
        <v>3233</v>
      </c>
      <c r="O1347" s="914">
        <v>6</v>
      </c>
      <c r="P1347" s="947" t="s">
        <v>3221</v>
      </c>
    </row>
    <row r="1348" spans="1:16" x14ac:dyDescent="0.2">
      <c r="A1348" s="912" t="s">
        <v>3215</v>
      </c>
      <c r="B1348" s="912" t="s">
        <v>3216</v>
      </c>
      <c r="C1348" s="912" t="s">
        <v>80</v>
      </c>
      <c r="D1348" s="912"/>
      <c r="E1348" s="914" t="s">
        <v>3217</v>
      </c>
      <c r="F1348" s="914">
        <v>46830588</v>
      </c>
      <c r="G1348" s="912" t="s">
        <v>3234</v>
      </c>
      <c r="H1348" s="912" t="s">
        <v>1594</v>
      </c>
      <c r="I1348" s="912"/>
      <c r="J1348" s="912" t="s">
        <v>940</v>
      </c>
      <c r="K1348" s="946"/>
      <c r="L1348" s="914">
        <v>12</v>
      </c>
      <c r="M1348" s="947" t="s">
        <v>3219</v>
      </c>
      <c r="N1348" s="914" t="s">
        <v>3235</v>
      </c>
      <c r="O1348" s="914">
        <v>6</v>
      </c>
      <c r="P1348" s="947" t="s">
        <v>3221</v>
      </c>
    </row>
    <row r="1349" spans="1:16" x14ac:dyDescent="0.2">
      <c r="A1349" s="912" t="s">
        <v>3215</v>
      </c>
      <c r="B1349" s="912" t="s">
        <v>3216</v>
      </c>
      <c r="C1349" s="912" t="s">
        <v>80</v>
      </c>
      <c r="D1349" s="912"/>
      <c r="E1349" s="914" t="s">
        <v>3224</v>
      </c>
      <c r="F1349" s="914">
        <v>44655284</v>
      </c>
      <c r="G1349" s="912" t="s">
        <v>3236</v>
      </c>
      <c r="H1349" s="912" t="s">
        <v>1594</v>
      </c>
      <c r="I1349" s="912"/>
      <c r="J1349" s="912" t="s">
        <v>940</v>
      </c>
      <c r="K1349" s="946"/>
      <c r="L1349" s="914">
        <v>12</v>
      </c>
      <c r="M1349" s="947" t="s">
        <v>3226</v>
      </c>
      <c r="N1349" s="946"/>
      <c r="O1349" s="914">
        <v>6</v>
      </c>
      <c r="P1349" s="947" t="s">
        <v>3228</v>
      </c>
    </row>
    <row r="1350" spans="1:16" x14ac:dyDescent="0.2">
      <c r="A1350" s="912" t="s">
        <v>3215</v>
      </c>
      <c r="B1350" s="912" t="s">
        <v>3216</v>
      </c>
      <c r="C1350" s="912" t="s">
        <v>80</v>
      </c>
      <c r="D1350" s="912"/>
      <c r="E1350" s="914" t="s">
        <v>3217</v>
      </c>
      <c r="F1350" s="914">
        <v>40641921</v>
      </c>
      <c r="G1350" s="912" t="s">
        <v>3237</v>
      </c>
      <c r="H1350" s="912" t="s">
        <v>3238</v>
      </c>
      <c r="I1350" s="912"/>
      <c r="J1350" s="912" t="s">
        <v>940</v>
      </c>
      <c r="K1350" s="946"/>
      <c r="L1350" s="914">
        <v>12</v>
      </c>
      <c r="M1350" s="947" t="s">
        <v>3219</v>
      </c>
      <c r="N1350" s="914" t="s">
        <v>3239</v>
      </c>
      <c r="O1350" s="914">
        <v>6</v>
      </c>
      <c r="P1350" s="947" t="s">
        <v>3221</v>
      </c>
    </row>
    <row r="1351" spans="1:16" x14ac:dyDescent="0.2">
      <c r="A1351" s="912" t="s">
        <v>3215</v>
      </c>
      <c r="B1351" s="912" t="s">
        <v>3216</v>
      </c>
      <c r="C1351" s="912" t="s">
        <v>80</v>
      </c>
      <c r="D1351" s="912"/>
      <c r="E1351" s="914" t="s">
        <v>3240</v>
      </c>
      <c r="F1351" s="914">
        <v>29728179</v>
      </c>
      <c r="G1351" s="912" t="s">
        <v>3241</v>
      </c>
      <c r="H1351" s="912" t="s">
        <v>1594</v>
      </c>
      <c r="I1351" s="912"/>
      <c r="J1351" s="912" t="s">
        <v>940</v>
      </c>
      <c r="K1351" s="946"/>
      <c r="L1351" s="914">
        <v>12</v>
      </c>
      <c r="M1351" s="947" t="s">
        <v>3242</v>
      </c>
      <c r="N1351" s="914" t="s">
        <v>3243</v>
      </c>
      <c r="O1351" s="914">
        <v>6</v>
      </c>
      <c r="P1351" s="947" t="s">
        <v>3244</v>
      </c>
    </row>
    <row r="1352" spans="1:16" x14ac:dyDescent="0.2">
      <c r="A1352" s="912" t="s">
        <v>3215</v>
      </c>
      <c r="B1352" s="912" t="s">
        <v>3216</v>
      </c>
      <c r="C1352" s="912" t="s">
        <v>80</v>
      </c>
      <c r="D1352" s="912"/>
      <c r="E1352" s="914" t="s">
        <v>3245</v>
      </c>
      <c r="F1352" s="914">
        <v>47023823</v>
      </c>
      <c r="G1352" s="912" t="s">
        <v>3246</v>
      </c>
      <c r="H1352" s="912" t="s">
        <v>1594</v>
      </c>
      <c r="I1352" s="912"/>
      <c r="J1352" s="912" t="s">
        <v>940</v>
      </c>
      <c r="K1352" s="946"/>
      <c r="L1352" s="914">
        <v>12</v>
      </c>
      <c r="M1352" s="947" t="s">
        <v>3247</v>
      </c>
      <c r="N1352" s="946"/>
      <c r="O1352" s="914">
        <v>6</v>
      </c>
      <c r="P1352" s="947" t="s">
        <v>3248</v>
      </c>
    </row>
    <row r="1353" spans="1:16" x14ac:dyDescent="0.2">
      <c r="A1353" s="912" t="s">
        <v>3215</v>
      </c>
      <c r="B1353" s="912" t="s">
        <v>3216</v>
      </c>
      <c r="C1353" s="912" t="s">
        <v>80</v>
      </c>
      <c r="D1353" s="912"/>
      <c r="E1353" s="914" t="s">
        <v>3249</v>
      </c>
      <c r="F1353" s="914">
        <v>42432663</v>
      </c>
      <c r="G1353" s="912" t="s">
        <v>3250</v>
      </c>
      <c r="H1353" s="912" t="s">
        <v>1404</v>
      </c>
      <c r="I1353" s="912"/>
      <c r="J1353" s="912" t="s">
        <v>940</v>
      </c>
      <c r="K1353" s="946"/>
      <c r="L1353" s="914">
        <v>12</v>
      </c>
      <c r="M1353" s="947" t="s">
        <v>3251</v>
      </c>
      <c r="N1353" s="946"/>
      <c r="O1353" s="914">
        <v>6</v>
      </c>
      <c r="P1353" s="947" t="s">
        <v>3252</v>
      </c>
    </row>
    <row r="1354" spans="1:16" x14ac:dyDescent="0.2">
      <c r="A1354" s="912" t="s">
        <v>3215</v>
      </c>
      <c r="B1354" s="912" t="s">
        <v>3216</v>
      </c>
      <c r="C1354" s="912" t="s">
        <v>80</v>
      </c>
      <c r="D1354" s="912"/>
      <c r="E1354" s="914" t="s">
        <v>3217</v>
      </c>
      <c r="F1354" s="914">
        <v>42219319</v>
      </c>
      <c r="G1354" s="912" t="s">
        <v>3253</v>
      </c>
      <c r="H1354" s="912" t="s">
        <v>1626</v>
      </c>
      <c r="I1354" s="912"/>
      <c r="J1354" s="912" t="s">
        <v>940</v>
      </c>
      <c r="K1354" s="946"/>
      <c r="L1354" s="914">
        <v>12</v>
      </c>
      <c r="M1354" s="947" t="s">
        <v>3219</v>
      </c>
      <c r="N1354" s="914" t="s">
        <v>3254</v>
      </c>
      <c r="O1354" s="914">
        <v>6</v>
      </c>
      <c r="P1354" s="947" t="s">
        <v>3221</v>
      </c>
    </row>
    <row r="1355" spans="1:16" x14ac:dyDescent="0.2">
      <c r="A1355" s="912" t="s">
        <v>3215</v>
      </c>
      <c r="B1355" s="912" t="s">
        <v>3216</v>
      </c>
      <c r="C1355" s="912" t="s">
        <v>80</v>
      </c>
      <c r="D1355" s="912"/>
      <c r="E1355" s="914" t="s">
        <v>3255</v>
      </c>
      <c r="F1355" s="914">
        <v>45145159</v>
      </c>
      <c r="G1355" s="912" t="s">
        <v>3256</v>
      </c>
      <c r="H1355" s="912" t="s">
        <v>1573</v>
      </c>
      <c r="I1355" s="912"/>
      <c r="J1355" s="912" t="s">
        <v>940</v>
      </c>
      <c r="K1355" s="946"/>
      <c r="L1355" s="914">
        <v>12</v>
      </c>
      <c r="M1355" s="947" t="s">
        <v>3257</v>
      </c>
      <c r="N1355" s="946"/>
      <c r="O1355" s="914">
        <v>6</v>
      </c>
      <c r="P1355" s="947" t="s">
        <v>3258</v>
      </c>
    </row>
    <row r="1356" spans="1:16" x14ac:dyDescent="0.2">
      <c r="A1356" s="912" t="s">
        <v>3215</v>
      </c>
      <c r="B1356" s="912" t="s">
        <v>3216</v>
      </c>
      <c r="C1356" s="912" t="s">
        <v>80</v>
      </c>
      <c r="D1356" s="912"/>
      <c r="E1356" s="914" t="s">
        <v>3259</v>
      </c>
      <c r="F1356" s="914">
        <v>40808538</v>
      </c>
      <c r="G1356" s="912" t="s">
        <v>3260</v>
      </c>
      <c r="H1356" s="912" t="s">
        <v>1594</v>
      </c>
      <c r="I1356" s="912"/>
      <c r="J1356" s="912" t="s">
        <v>940</v>
      </c>
      <c r="K1356" s="946"/>
      <c r="L1356" s="914">
        <v>12</v>
      </c>
      <c r="M1356" s="947" t="s">
        <v>3261</v>
      </c>
      <c r="N1356" s="914" t="s">
        <v>3262</v>
      </c>
      <c r="O1356" s="914">
        <v>6</v>
      </c>
      <c r="P1356" s="947" t="s">
        <v>3263</v>
      </c>
    </row>
    <row r="1357" spans="1:16" x14ac:dyDescent="0.2">
      <c r="A1357" s="912" t="s">
        <v>3215</v>
      </c>
      <c r="B1357" s="912" t="s">
        <v>3216</v>
      </c>
      <c r="C1357" s="912" t="s">
        <v>80</v>
      </c>
      <c r="D1357" s="912"/>
      <c r="E1357" s="914" t="s">
        <v>3217</v>
      </c>
      <c r="F1357" s="914">
        <v>70656311</v>
      </c>
      <c r="G1357" s="912" t="s">
        <v>3264</v>
      </c>
      <c r="H1357" s="912" t="s">
        <v>1634</v>
      </c>
      <c r="I1357" s="912"/>
      <c r="J1357" s="912" t="s">
        <v>940</v>
      </c>
      <c r="K1357" s="946"/>
      <c r="L1357" s="914">
        <v>7</v>
      </c>
      <c r="M1357" s="947" t="s">
        <v>3265</v>
      </c>
      <c r="N1357" s="914" t="s">
        <v>3266</v>
      </c>
      <c r="O1357" s="914">
        <v>6</v>
      </c>
      <c r="P1357" s="947" t="s">
        <v>3221</v>
      </c>
    </row>
    <row r="1358" spans="1:16" x14ac:dyDescent="0.2">
      <c r="A1358" s="912" t="s">
        <v>3215</v>
      </c>
      <c r="B1358" s="912" t="s">
        <v>3216</v>
      </c>
      <c r="C1358" s="912" t="s">
        <v>80</v>
      </c>
      <c r="D1358" s="912"/>
      <c r="E1358" s="914" t="s">
        <v>3217</v>
      </c>
      <c r="F1358" s="914">
        <v>46241751</v>
      </c>
      <c r="G1358" s="912" t="s">
        <v>3267</v>
      </c>
      <c r="H1358" s="912" t="s">
        <v>1634</v>
      </c>
      <c r="I1358" s="912"/>
      <c r="J1358" s="912" t="s">
        <v>940</v>
      </c>
      <c r="K1358" s="946"/>
      <c r="L1358" s="914">
        <v>12</v>
      </c>
      <c r="M1358" s="947" t="s">
        <v>3219</v>
      </c>
      <c r="N1358" s="914" t="s">
        <v>3268</v>
      </c>
      <c r="O1358" s="914">
        <v>6</v>
      </c>
      <c r="P1358" s="947" t="s">
        <v>3221</v>
      </c>
    </row>
    <row r="1359" spans="1:16" x14ac:dyDescent="0.2">
      <c r="A1359" s="912" t="s">
        <v>3215</v>
      </c>
      <c r="B1359" s="912" t="s">
        <v>3216</v>
      </c>
      <c r="C1359" s="912" t="s">
        <v>80</v>
      </c>
      <c r="D1359" s="912"/>
      <c r="E1359" s="914" t="s">
        <v>3217</v>
      </c>
      <c r="F1359" s="914">
        <v>40808521</v>
      </c>
      <c r="G1359" s="912" t="s">
        <v>3269</v>
      </c>
      <c r="H1359" s="912" t="s">
        <v>1404</v>
      </c>
      <c r="I1359" s="912"/>
      <c r="J1359" s="912" t="s">
        <v>940</v>
      </c>
      <c r="K1359" s="946"/>
      <c r="L1359" s="914">
        <v>12</v>
      </c>
      <c r="M1359" s="947" t="s">
        <v>3219</v>
      </c>
      <c r="N1359" s="914" t="s">
        <v>3270</v>
      </c>
      <c r="O1359" s="914">
        <v>6</v>
      </c>
      <c r="P1359" s="947" t="s">
        <v>3221</v>
      </c>
    </row>
    <row r="1360" spans="1:16" x14ac:dyDescent="0.2">
      <c r="A1360" s="912" t="s">
        <v>3215</v>
      </c>
      <c r="B1360" s="912" t="s">
        <v>3216</v>
      </c>
      <c r="C1360" s="912" t="s">
        <v>80</v>
      </c>
      <c r="D1360" s="912"/>
      <c r="E1360" s="914" t="s">
        <v>3217</v>
      </c>
      <c r="F1360" s="914">
        <v>46568381</v>
      </c>
      <c r="G1360" s="912" t="s">
        <v>3271</v>
      </c>
      <c r="H1360" s="912" t="s">
        <v>2259</v>
      </c>
      <c r="I1360" s="912"/>
      <c r="J1360" s="912" t="s">
        <v>940</v>
      </c>
      <c r="K1360" s="946"/>
      <c r="L1360" s="914">
        <v>12</v>
      </c>
      <c r="M1360" s="947" t="s">
        <v>3219</v>
      </c>
      <c r="N1360" s="914" t="s">
        <v>3272</v>
      </c>
      <c r="O1360" s="914">
        <v>6</v>
      </c>
      <c r="P1360" s="947" t="s">
        <v>3221</v>
      </c>
    </row>
    <row r="1361" spans="1:16" x14ac:dyDescent="0.2">
      <c r="A1361" s="912" t="s">
        <v>3215</v>
      </c>
      <c r="B1361" s="912" t="s">
        <v>3216</v>
      </c>
      <c r="C1361" s="912" t="s">
        <v>80</v>
      </c>
      <c r="D1361" s="912"/>
      <c r="E1361" s="914" t="s">
        <v>3224</v>
      </c>
      <c r="F1361" s="914">
        <v>30563213</v>
      </c>
      <c r="G1361" s="912" t="s">
        <v>3273</v>
      </c>
      <c r="H1361" s="912" t="s">
        <v>1594</v>
      </c>
      <c r="I1361" s="912"/>
      <c r="J1361" s="912" t="s">
        <v>940</v>
      </c>
      <c r="K1361" s="946"/>
      <c r="L1361" s="914">
        <v>12</v>
      </c>
      <c r="M1361" s="947" t="s">
        <v>3226</v>
      </c>
      <c r="N1361" s="914" t="s">
        <v>3274</v>
      </c>
      <c r="O1361" s="914">
        <v>6</v>
      </c>
      <c r="P1361" s="947" t="s">
        <v>3228</v>
      </c>
    </row>
    <row r="1362" spans="1:16" x14ac:dyDescent="0.2">
      <c r="A1362" s="912" t="s">
        <v>3215</v>
      </c>
      <c r="B1362" s="912" t="s">
        <v>3216</v>
      </c>
      <c r="C1362" s="912" t="s">
        <v>80</v>
      </c>
      <c r="D1362" s="912"/>
      <c r="E1362" s="914" t="s">
        <v>3224</v>
      </c>
      <c r="F1362" s="914">
        <v>47065667</v>
      </c>
      <c r="G1362" s="912" t="s">
        <v>3275</v>
      </c>
      <c r="H1362" s="912" t="s">
        <v>1594</v>
      </c>
      <c r="I1362" s="912"/>
      <c r="J1362" s="912" t="s">
        <v>940</v>
      </c>
      <c r="K1362" s="946"/>
      <c r="L1362" s="914">
        <v>12</v>
      </c>
      <c r="M1362" s="947" t="s">
        <v>3226</v>
      </c>
      <c r="N1362" s="914" t="s">
        <v>3276</v>
      </c>
      <c r="O1362" s="914">
        <v>6</v>
      </c>
      <c r="P1362" s="947" t="s">
        <v>3228</v>
      </c>
    </row>
    <row r="1363" spans="1:16" x14ac:dyDescent="0.2">
      <c r="A1363" s="912" t="s">
        <v>3215</v>
      </c>
      <c r="B1363" s="912" t="s">
        <v>3216</v>
      </c>
      <c r="C1363" s="912" t="s">
        <v>80</v>
      </c>
      <c r="D1363" s="912"/>
      <c r="E1363" s="914" t="s">
        <v>3217</v>
      </c>
      <c r="F1363" s="914">
        <v>29619512</v>
      </c>
      <c r="G1363" s="912" t="s">
        <v>3277</v>
      </c>
      <c r="H1363" s="912" t="s">
        <v>1594</v>
      </c>
      <c r="I1363" s="912"/>
      <c r="J1363" s="912" t="s">
        <v>940</v>
      </c>
      <c r="K1363" s="946"/>
      <c r="L1363" s="914">
        <v>12</v>
      </c>
      <c r="M1363" s="947" t="s">
        <v>3219</v>
      </c>
      <c r="N1363" s="914" t="s">
        <v>3278</v>
      </c>
      <c r="O1363" s="914">
        <v>6</v>
      </c>
      <c r="P1363" s="947" t="s">
        <v>3221</v>
      </c>
    </row>
    <row r="1364" spans="1:16" x14ac:dyDescent="0.2">
      <c r="A1364" s="912" t="s">
        <v>3215</v>
      </c>
      <c r="B1364" s="912" t="s">
        <v>3216</v>
      </c>
      <c r="C1364" s="912" t="s">
        <v>80</v>
      </c>
      <c r="D1364" s="912"/>
      <c r="E1364" s="914" t="s">
        <v>3217</v>
      </c>
      <c r="F1364" s="914">
        <v>45034940</v>
      </c>
      <c r="G1364" s="912" t="s">
        <v>3279</v>
      </c>
      <c r="H1364" s="912" t="s">
        <v>1594</v>
      </c>
      <c r="I1364" s="912"/>
      <c r="J1364" s="912" t="s">
        <v>940</v>
      </c>
      <c r="K1364" s="946"/>
      <c r="L1364" s="914">
        <v>12</v>
      </c>
      <c r="M1364" s="947" t="s">
        <v>3219</v>
      </c>
      <c r="N1364" s="914" t="s">
        <v>3280</v>
      </c>
      <c r="O1364" s="914">
        <v>6</v>
      </c>
      <c r="P1364" s="947" t="s">
        <v>3221</v>
      </c>
    </row>
    <row r="1365" spans="1:16" x14ac:dyDescent="0.2">
      <c r="A1365" s="912" t="s">
        <v>3215</v>
      </c>
      <c r="B1365" s="912" t="s">
        <v>3216</v>
      </c>
      <c r="C1365" s="912" t="s">
        <v>80</v>
      </c>
      <c r="D1365" s="912"/>
      <c r="E1365" s="914" t="s">
        <v>3217</v>
      </c>
      <c r="F1365" s="914">
        <v>46780376</v>
      </c>
      <c r="G1365" s="912" t="s">
        <v>3281</v>
      </c>
      <c r="H1365" s="912" t="s">
        <v>2259</v>
      </c>
      <c r="I1365" s="912"/>
      <c r="J1365" s="912" t="s">
        <v>940</v>
      </c>
      <c r="K1365" s="946"/>
      <c r="L1365" s="914">
        <v>12</v>
      </c>
      <c r="M1365" s="947" t="s">
        <v>3219</v>
      </c>
      <c r="N1365" s="914" t="s">
        <v>3282</v>
      </c>
      <c r="O1365" s="914">
        <v>6</v>
      </c>
      <c r="P1365" s="947" t="s">
        <v>3221</v>
      </c>
    </row>
    <row r="1366" spans="1:16" x14ac:dyDescent="0.2">
      <c r="A1366" s="912" t="s">
        <v>3215</v>
      </c>
      <c r="B1366" s="912" t="s">
        <v>3216</v>
      </c>
      <c r="C1366" s="912" t="s">
        <v>80</v>
      </c>
      <c r="D1366" s="912"/>
      <c r="E1366" s="914" t="s">
        <v>3255</v>
      </c>
      <c r="F1366" s="914">
        <v>29257350</v>
      </c>
      <c r="G1366" s="912" t="s">
        <v>3283</v>
      </c>
      <c r="H1366" s="912" t="s">
        <v>1175</v>
      </c>
      <c r="I1366" s="912"/>
      <c r="J1366" s="912" t="s">
        <v>940</v>
      </c>
      <c r="K1366" s="946"/>
      <c r="L1366" s="914">
        <v>12</v>
      </c>
      <c r="M1366" s="947" t="s">
        <v>3257</v>
      </c>
      <c r="N1366" s="914" t="s">
        <v>3284</v>
      </c>
      <c r="O1366" s="914">
        <v>6</v>
      </c>
      <c r="P1366" s="947" t="s">
        <v>3258</v>
      </c>
    </row>
    <row r="1367" spans="1:16" x14ac:dyDescent="0.2">
      <c r="A1367" s="912" t="s">
        <v>3215</v>
      </c>
      <c r="B1367" s="912" t="s">
        <v>3216</v>
      </c>
      <c r="C1367" s="912" t="s">
        <v>80</v>
      </c>
      <c r="D1367" s="912"/>
      <c r="E1367" s="914" t="s">
        <v>3224</v>
      </c>
      <c r="F1367" s="914">
        <v>45033938</v>
      </c>
      <c r="G1367" s="912" t="s">
        <v>3285</v>
      </c>
      <c r="H1367" s="912" t="s">
        <v>1404</v>
      </c>
      <c r="I1367" s="912"/>
      <c r="J1367" s="912" t="s">
        <v>940</v>
      </c>
      <c r="K1367" s="946"/>
      <c r="L1367" s="914">
        <v>12</v>
      </c>
      <c r="M1367" s="947" t="s">
        <v>3226</v>
      </c>
      <c r="N1367" s="914" t="s">
        <v>3286</v>
      </c>
      <c r="O1367" s="914">
        <v>6</v>
      </c>
      <c r="P1367" s="947" t="s">
        <v>3228</v>
      </c>
    </row>
    <row r="1368" spans="1:16" x14ac:dyDescent="0.2">
      <c r="A1368" s="912" t="s">
        <v>3215</v>
      </c>
      <c r="B1368" s="912" t="s">
        <v>3216</v>
      </c>
      <c r="C1368" s="912" t="s">
        <v>80</v>
      </c>
      <c r="D1368" s="912"/>
      <c r="E1368" s="914" t="s">
        <v>3217</v>
      </c>
      <c r="F1368" s="914">
        <v>43531461</v>
      </c>
      <c r="G1368" s="912" t="s">
        <v>3287</v>
      </c>
      <c r="H1368" s="912" t="s">
        <v>2259</v>
      </c>
      <c r="I1368" s="912"/>
      <c r="J1368" s="912" t="s">
        <v>940</v>
      </c>
      <c r="K1368" s="946"/>
      <c r="L1368" s="914">
        <v>12</v>
      </c>
      <c r="M1368" s="947" t="s">
        <v>3219</v>
      </c>
      <c r="N1368" s="914" t="s">
        <v>3288</v>
      </c>
      <c r="O1368" s="914">
        <v>6</v>
      </c>
      <c r="P1368" s="947" t="s">
        <v>3221</v>
      </c>
    </row>
    <row r="1369" spans="1:16" x14ac:dyDescent="0.2">
      <c r="A1369" s="912" t="s">
        <v>3215</v>
      </c>
      <c r="B1369" s="912" t="s">
        <v>3216</v>
      </c>
      <c r="C1369" s="912" t="s">
        <v>80</v>
      </c>
      <c r="D1369" s="912"/>
      <c r="E1369" s="914" t="s">
        <v>3289</v>
      </c>
      <c r="F1369" s="914">
        <v>43778331</v>
      </c>
      <c r="G1369" s="912" t="s">
        <v>3290</v>
      </c>
      <c r="H1369" s="912" t="s">
        <v>1594</v>
      </c>
      <c r="I1369" s="912"/>
      <c r="J1369" s="912" t="s">
        <v>940</v>
      </c>
      <c r="K1369" s="946"/>
      <c r="L1369" s="914">
        <v>12</v>
      </c>
      <c r="M1369" s="947" t="s">
        <v>3291</v>
      </c>
      <c r="N1369" s="914" t="s">
        <v>3292</v>
      </c>
      <c r="O1369" s="914">
        <v>6</v>
      </c>
      <c r="P1369" s="947" t="s">
        <v>3293</v>
      </c>
    </row>
    <row r="1370" spans="1:16" x14ac:dyDescent="0.2">
      <c r="A1370" s="912" t="s">
        <v>3215</v>
      </c>
      <c r="B1370" s="912" t="s">
        <v>3216</v>
      </c>
      <c r="C1370" s="912" t="s">
        <v>80</v>
      </c>
      <c r="D1370" s="912"/>
      <c r="E1370" s="914" t="s">
        <v>3259</v>
      </c>
      <c r="F1370" s="914">
        <v>41640697</v>
      </c>
      <c r="G1370" s="912" t="s">
        <v>3294</v>
      </c>
      <c r="H1370" s="912" t="s">
        <v>1594</v>
      </c>
      <c r="I1370" s="912"/>
      <c r="J1370" s="912" t="s">
        <v>940</v>
      </c>
      <c r="K1370" s="946"/>
      <c r="L1370" s="914">
        <v>12</v>
      </c>
      <c r="M1370" s="947" t="s">
        <v>3261</v>
      </c>
      <c r="N1370" s="946"/>
      <c r="O1370" s="914">
        <v>6</v>
      </c>
      <c r="P1370" s="947" t="s">
        <v>3263</v>
      </c>
    </row>
    <row r="1371" spans="1:16" x14ac:dyDescent="0.2">
      <c r="A1371" s="912" t="s">
        <v>3215</v>
      </c>
      <c r="B1371" s="912" t="s">
        <v>3216</v>
      </c>
      <c r="C1371" s="912" t="s">
        <v>80</v>
      </c>
      <c r="D1371" s="912"/>
      <c r="E1371" s="914" t="s">
        <v>3224</v>
      </c>
      <c r="F1371" s="914">
        <v>43871560</v>
      </c>
      <c r="G1371" s="912" t="s">
        <v>3295</v>
      </c>
      <c r="H1371" s="912" t="s">
        <v>1594</v>
      </c>
      <c r="I1371" s="912"/>
      <c r="J1371" s="912" t="s">
        <v>940</v>
      </c>
      <c r="K1371" s="946"/>
      <c r="L1371" s="914">
        <v>12</v>
      </c>
      <c r="M1371" s="947" t="s">
        <v>3226</v>
      </c>
      <c r="N1371" s="946"/>
      <c r="O1371" s="914">
        <v>3</v>
      </c>
      <c r="P1371" s="947" t="s">
        <v>3296</v>
      </c>
    </row>
    <row r="1372" spans="1:16" x14ac:dyDescent="0.2">
      <c r="A1372" s="912" t="s">
        <v>3215</v>
      </c>
      <c r="B1372" s="912" t="s">
        <v>3216</v>
      </c>
      <c r="C1372" s="912" t="s">
        <v>80</v>
      </c>
      <c r="D1372" s="912"/>
      <c r="E1372" s="914" t="s">
        <v>3255</v>
      </c>
      <c r="F1372" s="914">
        <v>42734438</v>
      </c>
      <c r="G1372" s="912" t="s">
        <v>3297</v>
      </c>
      <c r="H1372" s="912" t="s">
        <v>1175</v>
      </c>
      <c r="I1372" s="912"/>
      <c r="J1372" s="912" t="s">
        <v>940</v>
      </c>
      <c r="K1372" s="946"/>
      <c r="L1372" s="914">
        <v>12</v>
      </c>
      <c r="M1372" s="947" t="s">
        <v>3257</v>
      </c>
      <c r="N1372" s="914" t="s">
        <v>3298</v>
      </c>
      <c r="O1372" s="914">
        <v>6</v>
      </c>
      <c r="P1372" s="947" t="s">
        <v>3258</v>
      </c>
    </row>
    <row r="1373" spans="1:16" x14ac:dyDescent="0.2">
      <c r="A1373" s="912" t="s">
        <v>3215</v>
      </c>
      <c r="B1373" s="912" t="s">
        <v>3216</v>
      </c>
      <c r="C1373" s="912" t="s">
        <v>80</v>
      </c>
      <c r="D1373" s="912"/>
      <c r="E1373" s="914" t="s">
        <v>3299</v>
      </c>
      <c r="F1373" s="914">
        <v>40889332</v>
      </c>
      <c r="G1373" s="912" t="s">
        <v>3300</v>
      </c>
      <c r="H1373" s="912" t="s">
        <v>740</v>
      </c>
      <c r="I1373" s="912"/>
      <c r="J1373" s="912" t="s">
        <v>940</v>
      </c>
      <c r="K1373" s="946"/>
      <c r="L1373" s="914">
        <v>12</v>
      </c>
      <c r="M1373" s="947" t="s">
        <v>3301</v>
      </c>
      <c r="N1373" s="914" t="s">
        <v>3302</v>
      </c>
      <c r="O1373" s="914">
        <v>6</v>
      </c>
      <c r="P1373" s="947" t="s">
        <v>3303</v>
      </c>
    </row>
    <row r="1374" spans="1:16" x14ac:dyDescent="0.2">
      <c r="A1374" s="912" t="s">
        <v>3215</v>
      </c>
      <c r="B1374" s="912" t="s">
        <v>3216</v>
      </c>
      <c r="C1374" s="912" t="s">
        <v>80</v>
      </c>
      <c r="D1374" s="912"/>
      <c r="E1374" s="914" t="s">
        <v>3217</v>
      </c>
      <c r="F1374" s="914">
        <v>44102482</v>
      </c>
      <c r="G1374" s="912" t="s">
        <v>3304</v>
      </c>
      <c r="H1374" s="912" t="s">
        <v>2163</v>
      </c>
      <c r="I1374" s="912"/>
      <c r="J1374" s="912" t="s">
        <v>940</v>
      </c>
      <c r="K1374" s="946"/>
      <c r="L1374" s="914">
        <v>12</v>
      </c>
      <c r="M1374" s="947" t="s">
        <v>3219</v>
      </c>
      <c r="N1374" s="914" t="s">
        <v>3305</v>
      </c>
      <c r="O1374" s="914">
        <v>6</v>
      </c>
      <c r="P1374" s="947" t="s">
        <v>3221</v>
      </c>
    </row>
    <row r="1375" spans="1:16" x14ac:dyDescent="0.2">
      <c r="A1375" s="912" t="s">
        <v>3215</v>
      </c>
      <c r="B1375" s="912" t="s">
        <v>3216</v>
      </c>
      <c r="C1375" s="912" t="s">
        <v>80</v>
      </c>
      <c r="D1375" s="912"/>
      <c r="E1375" s="914" t="s">
        <v>3217</v>
      </c>
      <c r="F1375" s="914">
        <v>29631246</v>
      </c>
      <c r="G1375" s="912" t="s">
        <v>3306</v>
      </c>
      <c r="H1375" s="912" t="s">
        <v>1634</v>
      </c>
      <c r="I1375" s="912"/>
      <c r="J1375" s="912" t="s">
        <v>940</v>
      </c>
      <c r="K1375" s="946"/>
      <c r="L1375" s="914">
        <v>12</v>
      </c>
      <c r="M1375" s="947" t="s">
        <v>3219</v>
      </c>
      <c r="N1375" s="914" t="s">
        <v>3307</v>
      </c>
      <c r="O1375" s="914">
        <v>6</v>
      </c>
      <c r="P1375" s="947" t="s">
        <v>3221</v>
      </c>
    </row>
    <row r="1376" spans="1:16" x14ac:dyDescent="0.2">
      <c r="A1376" s="912" t="s">
        <v>3215</v>
      </c>
      <c r="B1376" s="912" t="s">
        <v>3216</v>
      </c>
      <c r="C1376" s="912" t="s">
        <v>80</v>
      </c>
      <c r="D1376" s="912"/>
      <c r="E1376" s="914" t="s">
        <v>3217</v>
      </c>
      <c r="F1376" s="914">
        <v>40702389</v>
      </c>
      <c r="G1376" s="912" t="s">
        <v>3308</v>
      </c>
      <c r="H1376" s="912" t="s">
        <v>2259</v>
      </c>
      <c r="I1376" s="912"/>
      <c r="J1376" s="912" t="s">
        <v>940</v>
      </c>
      <c r="K1376" s="946"/>
      <c r="L1376" s="914">
        <v>12</v>
      </c>
      <c r="M1376" s="947" t="s">
        <v>3219</v>
      </c>
      <c r="N1376" s="914" t="s">
        <v>3309</v>
      </c>
      <c r="O1376" s="914">
        <v>6</v>
      </c>
      <c r="P1376" s="947" t="s">
        <v>3221</v>
      </c>
    </row>
    <row r="1377" spans="1:16" x14ac:dyDescent="0.2">
      <c r="A1377" s="912" t="s">
        <v>3215</v>
      </c>
      <c r="B1377" s="912" t="s">
        <v>3216</v>
      </c>
      <c r="C1377" s="912" t="s">
        <v>80</v>
      </c>
      <c r="D1377" s="912"/>
      <c r="E1377" s="914" t="s">
        <v>3217</v>
      </c>
      <c r="F1377" s="914">
        <v>42739667</v>
      </c>
      <c r="G1377" s="912" t="s">
        <v>3310</v>
      </c>
      <c r="H1377" s="912" t="s">
        <v>976</v>
      </c>
      <c r="I1377" s="912"/>
      <c r="J1377" s="912" t="s">
        <v>940</v>
      </c>
      <c r="K1377" s="946"/>
      <c r="L1377" s="914">
        <v>12</v>
      </c>
      <c r="M1377" s="947" t="s">
        <v>3219</v>
      </c>
      <c r="N1377" s="914" t="s">
        <v>3311</v>
      </c>
      <c r="O1377" s="914">
        <v>6</v>
      </c>
      <c r="P1377" s="947" t="s">
        <v>3221</v>
      </c>
    </row>
    <row r="1378" spans="1:16" x14ac:dyDescent="0.2">
      <c r="A1378" s="912" t="s">
        <v>3215</v>
      </c>
      <c r="B1378" s="912" t="s">
        <v>3216</v>
      </c>
      <c r="C1378" s="912" t="s">
        <v>80</v>
      </c>
      <c r="D1378" s="912"/>
      <c r="E1378" s="914" t="s">
        <v>3217</v>
      </c>
      <c r="F1378" s="914">
        <v>44802582</v>
      </c>
      <c r="G1378" s="912" t="s">
        <v>3312</v>
      </c>
      <c r="H1378" s="912" t="s">
        <v>1594</v>
      </c>
      <c r="I1378" s="912"/>
      <c r="J1378" s="912" t="s">
        <v>940</v>
      </c>
      <c r="K1378" s="946"/>
      <c r="L1378" s="914">
        <v>12</v>
      </c>
      <c r="M1378" s="947" t="s">
        <v>3219</v>
      </c>
      <c r="N1378" s="914" t="s">
        <v>3313</v>
      </c>
      <c r="O1378" s="914">
        <v>6</v>
      </c>
      <c r="P1378" s="947" t="s">
        <v>3221</v>
      </c>
    </row>
    <row r="1379" spans="1:16" x14ac:dyDescent="0.2">
      <c r="A1379" s="912" t="s">
        <v>3215</v>
      </c>
      <c r="B1379" s="912" t="s">
        <v>3216</v>
      </c>
      <c r="C1379" s="912" t="s">
        <v>80</v>
      </c>
      <c r="D1379" s="912"/>
      <c r="E1379" s="914" t="s">
        <v>3217</v>
      </c>
      <c r="F1379" s="914">
        <v>43555183</v>
      </c>
      <c r="G1379" s="912" t="s">
        <v>3314</v>
      </c>
      <c r="H1379" s="912" t="s">
        <v>2259</v>
      </c>
      <c r="I1379" s="912"/>
      <c r="J1379" s="912" t="s">
        <v>940</v>
      </c>
      <c r="K1379" s="946"/>
      <c r="L1379" s="914">
        <v>12</v>
      </c>
      <c r="M1379" s="947" t="s">
        <v>3219</v>
      </c>
      <c r="N1379" s="914" t="s">
        <v>3315</v>
      </c>
      <c r="O1379" s="914">
        <v>6</v>
      </c>
      <c r="P1379" s="947" t="s">
        <v>3221</v>
      </c>
    </row>
    <row r="1380" spans="1:16" x14ac:dyDescent="0.2">
      <c r="A1380" s="912" t="s">
        <v>3215</v>
      </c>
      <c r="B1380" s="912" t="s">
        <v>3216</v>
      </c>
      <c r="C1380" s="912" t="s">
        <v>80</v>
      </c>
      <c r="D1380" s="912"/>
      <c r="E1380" s="914" t="s">
        <v>3259</v>
      </c>
      <c r="F1380" s="914">
        <v>45026612</v>
      </c>
      <c r="G1380" s="912" t="s">
        <v>3316</v>
      </c>
      <c r="H1380" s="912" t="s">
        <v>1594</v>
      </c>
      <c r="I1380" s="912"/>
      <c r="J1380" s="912" t="s">
        <v>940</v>
      </c>
      <c r="K1380" s="946"/>
      <c r="L1380" s="914">
        <v>12</v>
      </c>
      <c r="M1380" s="947" t="s">
        <v>3261</v>
      </c>
      <c r="N1380" s="914" t="s">
        <v>3317</v>
      </c>
      <c r="O1380" s="914">
        <v>6</v>
      </c>
      <c r="P1380" s="947" t="s">
        <v>3263</v>
      </c>
    </row>
    <row r="1381" spans="1:16" x14ac:dyDescent="0.2">
      <c r="A1381" s="912" t="s">
        <v>3215</v>
      </c>
      <c r="B1381" s="912" t="s">
        <v>3216</v>
      </c>
      <c r="C1381" s="912" t="s">
        <v>80</v>
      </c>
      <c r="D1381" s="912"/>
      <c r="E1381" s="914" t="s">
        <v>3217</v>
      </c>
      <c r="F1381" s="914">
        <v>46026574</v>
      </c>
      <c r="G1381" s="912" t="s">
        <v>3318</v>
      </c>
      <c r="H1381" s="912" t="s">
        <v>1594</v>
      </c>
      <c r="I1381" s="912"/>
      <c r="J1381" s="912" t="s">
        <v>940</v>
      </c>
      <c r="K1381" s="946"/>
      <c r="L1381" s="914">
        <v>12</v>
      </c>
      <c r="M1381" s="947" t="s">
        <v>3219</v>
      </c>
      <c r="N1381" s="914" t="s">
        <v>3319</v>
      </c>
      <c r="O1381" s="914">
        <v>6</v>
      </c>
      <c r="P1381" s="947" t="s">
        <v>3221</v>
      </c>
    </row>
    <row r="1382" spans="1:16" x14ac:dyDescent="0.2">
      <c r="A1382" s="912" t="s">
        <v>3215</v>
      </c>
      <c r="B1382" s="912" t="s">
        <v>3216</v>
      </c>
      <c r="C1382" s="912" t="s">
        <v>80</v>
      </c>
      <c r="D1382" s="912"/>
      <c r="E1382" s="914" t="s">
        <v>3259</v>
      </c>
      <c r="F1382" s="914">
        <v>44196673</v>
      </c>
      <c r="G1382" s="912" t="s">
        <v>3320</v>
      </c>
      <c r="H1382" s="912" t="s">
        <v>1594</v>
      </c>
      <c r="I1382" s="912"/>
      <c r="J1382" s="912" t="s">
        <v>940</v>
      </c>
      <c r="K1382" s="946"/>
      <c r="L1382" s="914">
        <v>12</v>
      </c>
      <c r="M1382" s="947" t="s">
        <v>3261</v>
      </c>
      <c r="N1382" s="914" t="s">
        <v>3321</v>
      </c>
      <c r="O1382" s="914">
        <v>6</v>
      </c>
      <c r="P1382" s="947" t="s">
        <v>3263</v>
      </c>
    </row>
    <row r="1383" spans="1:16" x14ac:dyDescent="0.2">
      <c r="A1383" s="912" t="s">
        <v>3215</v>
      </c>
      <c r="B1383" s="912" t="s">
        <v>3216</v>
      </c>
      <c r="C1383" s="912" t="s">
        <v>80</v>
      </c>
      <c r="D1383" s="912"/>
      <c r="E1383" s="914" t="s">
        <v>3217</v>
      </c>
      <c r="F1383" s="914">
        <v>42816015</v>
      </c>
      <c r="G1383" s="912" t="s">
        <v>3322</v>
      </c>
      <c r="H1383" s="912" t="s">
        <v>1634</v>
      </c>
      <c r="I1383" s="912"/>
      <c r="J1383" s="912" t="s">
        <v>940</v>
      </c>
      <c r="K1383" s="946"/>
      <c r="L1383" s="914">
        <v>12</v>
      </c>
      <c r="M1383" s="947" t="s">
        <v>3219</v>
      </c>
      <c r="N1383" s="914" t="s">
        <v>3323</v>
      </c>
      <c r="O1383" s="914">
        <v>6</v>
      </c>
      <c r="P1383" s="947" t="s">
        <v>3221</v>
      </c>
    </row>
    <row r="1384" spans="1:16" x14ac:dyDescent="0.2">
      <c r="A1384" s="912" t="s">
        <v>3215</v>
      </c>
      <c r="B1384" s="912" t="s">
        <v>3216</v>
      </c>
      <c r="C1384" s="912" t="s">
        <v>80</v>
      </c>
      <c r="D1384" s="912"/>
      <c r="E1384" s="914" t="s">
        <v>3324</v>
      </c>
      <c r="F1384" s="914">
        <v>80195123</v>
      </c>
      <c r="G1384" s="912" t="s">
        <v>3325</v>
      </c>
      <c r="H1384" s="912" t="s">
        <v>3326</v>
      </c>
      <c r="I1384" s="912"/>
      <c r="J1384" s="912" t="s">
        <v>1412</v>
      </c>
      <c r="K1384" s="946"/>
      <c r="L1384" s="914">
        <v>12</v>
      </c>
      <c r="M1384" s="947" t="s">
        <v>3327</v>
      </c>
      <c r="N1384" s="914" t="s">
        <v>3328</v>
      </c>
      <c r="O1384" s="914">
        <v>6</v>
      </c>
      <c r="P1384" s="947" t="s">
        <v>3329</v>
      </c>
    </row>
    <row r="1385" spans="1:16" x14ac:dyDescent="0.2">
      <c r="A1385" s="912" t="s">
        <v>3215</v>
      </c>
      <c r="B1385" s="912" t="s">
        <v>3216</v>
      </c>
      <c r="C1385" s="912" t="s">
        <v>80</v>
      </c>
      <c r="D1385" s="912"/>
      <c r="E1385" s="914" t="s">
        <v>3330</v>
      </c>
      <c r="F1385" s="914">
        <v>30562288</v>
      </c>
      <c r="G1385" s="912" t="s">
        <v>3331</v>
      </c>
      <c r="H1385" s="912" t="s">
        <v>3332</v>
      </c>
      <c r="I1385" s="912"/>
      <c r="J1385" s="912" t="s">
        <v>1412</v>
      </c>
      <c r="K1385" s="946"/>
      <c r="L1385" s="914">
        <v>12</v>
      </c>
      <c r="M1385" s="947" t="s">
        <v>3293</v>
      </c>
      <c r="N1385" s="914" t="s">
        <v>3333</v>
      </c>
      <c r="O1385" s="914">
        <v>6</v>
      </c>
      <c r="P1385" s="947" t="s">
        <v>3334</v>
      </c>
    </row>
    <row r="1386" spans="1:16" x14ac:dyDescent="0.2">
      <c r="A1386" s="912" t="s">
        <v>3215</v>
      </c>
      <c r="B1386" s="912" t="s">
        <v>3216</v>
      </c>
      <c r="C1386" s="912" t="s">
        <v>80</v>
      </c>
      <c r="D1386" s="912"/>
      <c r="E1386" s="914" t="s">
        <v>3330</v>
      </c>
      <c r="F1386" s="914">
        <v>30586417</v>
      </c>
      <c r="G1386" s="912" t="s">
        <v>3335</v>
      </c>
      <c r="H1386" s="912" t="s">
        <v>2756</v>
      </c>
      <c r="I1386" s="912"/>
      <c r="J1386" s="912" t="s">
        <v>940</v>
      </c>
      <c r="K1386" s="946"/>
      <c r="L1386" s="914">
        <v>12</v>
      </c>
      <c r="M1386" s="947" t="s">
        <v>3293</v>
      </c>
      <c r="N1386" s="914" t="s">
        <v>3336</v>
      </c>
      <c r="O1386" s="914">
        <v>6</v>
      </c>
      <c r="P1386" s="947" t="s">
        <v>3334</v>
      </c>
    </row>
    <row r="1387" spans="1:16" x14ac:dyDescent="0.2">
      <c r="A1387" s="912" t="s">
        <v>3215</v>
      </c>
      <c r="B1387" s="912" t="s">
        <v>3216</v>
      </c>
      <c r="C1387" s="912" t="s">
        <v>80</v>
      </c>
      <c r="D1387" s="912"/>
      <c r="E1387" s="914" t="s">
        <v>3330</v>
      </c>
      <c r="F1387" s="914">
        <v>40764569</v>
      </c>
      <c r="G1387" s="912" t="s">
        <v>3337</v>
      </c>
      <c r="H1387" s="912" t="s">
        <v>982</v>
      </c>
      <c r="I1387" s="912"/>
      <c r="J1387" s="912" t="s">
        <v>1412</v>
      </c>
      <c r="K1387" s="946"/>
      <c r="L1387" s="914">
        <v>12</v>
      </c>
      <c r="M1387" s="947" t="s">
        <v>3293</v>
      </c>
      <c r="N1387" s="914" t="s">
        <v>3338</v>
      </c>
      <c r="O1387" s="914">
        <v>6</v>
      </c>
      <c r="P1387" s="947" t="s">
        <v>3334</v>
      </c>
    </row>
    <row r="1388" spans="1:16" x14ac:dyDescent="0.2">
      <c r="A1388" s="912" t="s">
        <v>3215</v>
      </c>
      <c r="B1388" s="912" t="s">
        <v>3216</v>
      </c>
      <c r="C1388" s="912" t="s">
        <v>80</v>
      </c>
      <c r="D1388" s="912"/>
      <c r="E1388" s="914" t="s">
        <v>3330</v>
      </c>
      <c r="F1388" s="914">
        <v>41823251</v>
      </c>
      <c r="G1388" s="912" t="s">
        <v>3339</v>
      </c>
      <c r="H1388" s="912" t="s">
        <v>982</v>
      </c>
      <c r="I1388" s="912"/>
      <c r="J1388" s="912" t="s">
        <v>1412</v>
      </c>
      <c r="K1388" s="946"/>
      <c r="L1388" s="914">
        <v>12</v>
      </c>
      <c r="M1388" s="947" t="s">
        <v>3293</v>
      </c>
      <c r="N1388" s="914" t="s">
        <v>3340</v>
      </c>
      <c r="O1388" s="914">
        <v>6</v>
      </c>
      <c r="P1388" s="947" t="s">
        <v>3334</v>
      </c>
    </row>
    <row r="1389" spans="1:16" x14ac:dyDescent="0.2">
      <c r="A1389" s="912" t="s">
        <v>3215</v>
      </c>
      <c r="B1389" s="912" t="s">
        <v>3216</v>
      </c>
      <c r="C1389" s="912" t="s">
        <v>80</v>
      </c>
      <c r="D1389" s="912"/>
      <c r="E1389" s="914" t="s">
        <v>3330</v>
      </c>
      <c r="F1389" s="914">
        <v>71978309</v>
      </c>
      <c r="G1389" s="912" t="s">
        <v>3341</v>
      </c>
      <c r="H1389" s="912" t="s">
        <v>982</v>
      </c>
      <c r="I1389" s="912"/>
      <c r="J1389" s="912" t="s">
        <v>1412</v>
      </c>
      <c r="K1389" s="946"/>
      <c r="L1389" s="914">
        <v>12</v>
      </c>
      <c r="M1389" s="947" t="s">
        <v>3293</v>
      </c>
      <c r="N1389" s="914" t="s">
        <v>3342</v>
      </c>
      <c r="O1389" s="914">
        <v>6</v>
      </c>
      <c r="P1389" s="947" t="s">
        <v>3334</v>
      </c>
    </row>
    <row r="1390" spans="1:16" x14ac:dyDescent="0.2">
      <c r="A1390" s="912" t="s">
        <v>3215</v>
      </c>
      <c r="B1390" s="912" t="s">
        <v>3216</v>
      </c>
      <c r="C1390" s="912" t="s">
        <v>80</v>
      </c>
      <c r="D1390" s="912"/>
      <c r="E1390" s="914" t="s">
        <v>3330</v>
      </c>
      <c r="F1390" s="914">
        <v>44067369</v>
      </c>
      <c r="G1390" s="912" t="s">
        <v>3343</v>
      </c>
      <c r="H1390" s="912" t="s">
        <v>1979</v>
      </c>
      <c r="I1390" s="912"/>
      <c r="J1390" s="912" t="s">
        <v>1412</v>
      </c>
      <c r="K1390" s="946"/>
      <c r="L1390" s="914">
        <v>12</v>
      </c>
      <c r="M1390" s="947" t="s">
        <v>3293</v>
      </c>
      <c r="N1390" s="914" t="s">
        <v>3344</v>
      </c>
      <c r="O1390" s="914">
        <v>6</v>
      </c>
      <c r="P1390" s="947" t="s">
        <v>3334</v>
      </c>
    </row>
    <row r="1391" spans="1:16" x14ac:dyDescent="0.2">
      <c r="A1391" s="912" t="s">
        <v>3215</v>
      </c>
      <c r="B1391" s="912" t="s">
        <v>3216</v>
      </c>
      <c r="C1391" s="912" t="s">
        <v>80</v>
      </c>
      <c r="D1391" s="912"/>
      <c r="E1391" s="914" t="s">
        <v>3345</v>
      </c>
      <c r="F1391" s="914">
        <v>44054932</v>
      </c>
      <c r="G1391" s="912" t="s">
        <v>3346</v>
      </c>
      <c r="H1391" s="912" t="s">
        <v>2120</v>
      </c>
      <c r="I1391" s="912"/>
      <c r="J1391" s="912" t="s">
        <v>1412</v>
      </c>
      <c r="K1391" s="946"/>
      <c r="L1391" s="914">
        <v>12</v>
      </c>
      <c r="M1391" s="947" t="s">
        <v>3347</v>
      </c>
      <c r="N1391" s="914" t="s">
        <v>3348</v>
      </c>
      <c r="O1391" s="914">
        <v>6</v>
      </c>
      <c r="P1391" s="947" t="s">
        <v>3349</v>
      </c>
    </row>
    <row r="1392" spans="1:16" x14ac:dyDescent="0.2">
      <c r="A1392" s="912" t="s">
        <v>3215</v>
      </c>
      <c r="B1392" s="912" t="s">
        <v>3216</v>
      </c>
      <c r="C1392" s="912" t="s">
        <v>80</v>
      </c>
      <c r="D1392" s="912"/>
      <c r="E1392" s="914" t="s">
        <v>3330</v>
      </c>
      <c r="F1392" s="914">
        <v>46564582</v>
      </c>
      <c r="G1392" s="912" t="s">
        <v>3350</v>
      </c>
      <c r="H1392" s="912" t="s">
        <v>1979</v>
      </c>
      <c r="I1392" s="912"/>
      <c r="J1392" s="912" t="s">
        <v>1412</v>
      </c>
      <c r="K1392" s="946"/>
      <c r="L1392" s="914">
        <v>12</v>
      </c>
      <c r="M1392" s="947" t="s">
        <v>3293</v>
      </c>
      <c r="N1392" s="914" t="s">
        <v>3351</v>
      </c>
      <c r="O1392" s="914">
        <v>6</v>
      </c>
      <c r="P1392" s="947" t="s">
        <v>3334</v>
      </c>
    </row>
    <row r="1393" spans="1:16" x14ac:dyDescent="0.2">
      <c r="A1393" s="912" t="s">
        <v>3215</v>
      </c>
      <c r="B1393" s="912" t="s">
        <v>3216</v>
      </c>
      <c r="C1393" s="912" t="s">
        <v>80</v>
      </c>
      <c r="D1393" s="912"/>
      <c r="E1393" s="914" t="s">
        <v>3330</v>
      </c>
      <c r="F1393" s="914">
        <v>43132624</v>
      </c>
      <c r="G1393" s="912" t="s">
        <v>3352</v>
      </c>
      <c r="H1393" s="912" t="s">
        <v>1979</v>
      </c>
      <c r="I1393" s="912"/>
      <c r="J1393" s="912" t="s">
        <v>1412</v>
      </c>
      <c r="K1393" s="946"/>
      <c r="L1393" s="914">
        <v>12</v>
      </c>
      <c r="M1393" s="947" t="s">
        <v>3293</v>
      </c>
      <c r="N1393" s="914" t="s">
        <v>3353</v>
      </c>
      <c r="O1393" s="914">
        <v>6</v>
      </c>
      <c r="P1393" s="947" t="s">
        <v>3334</v>
      </c>
    </row>
    <row r="1394" spans="1:16" x14ac:dyDescent="0.2">
      <c r="A1394" s="912" t="s">
        <v>3215</v>
      </c>
      <c r="B1394" s="912" t="s">
        <v>3216</v>
      </c>
      <c r="C1394" s="912" t="s">
        <v>80</v>
      </c>
      <c r="D1394" s="912"/>
      <c r="E1394" s="914" t="s">
        <v>3330</v>
      </c>
      <c r="F1394" s="914">
        <v>80160983</v>
      </c>
      <c r="G1394" s="912" t="s">
        <v>3354</v>
      </c>
      <c r="H1394" s="912" t="s">
        <v>1979</v>
      </c>
      <c r="I1394" s="912"/>
      <c r="J1394" s="912" t="s">
        <v>1412</v>
      </c>
      <c r="K1394" s="946"/>
      <c r="L1394" s="914">
        <v>12</v>
      </c>
      <c r="M1394" s="947" t="s">
        <v>3293</v>
      </c>
      <c r="N1394" s="914" t="s">
        <v>3355</v>
      </c>
      <c r="O1394" s="914">
        <v>6</v>
      </c>
      <c r="P1394" s="947" t="s">
        <v>3334</v>
      </c>
    </row>
    <row r="1395" spans="1:16" x14ac:dyDescent="0.2">
      <c r="A1395" s="912" t="s">
        <v>3215</v>
      </c>
      <c r="B1395" s="912" t="s">
        <v>3216</v>
      </c>
      <c r="C1395" s="912" t="s">
        <v>80</v>
      </c>
      <c r="D1395" s="912"/>
      <c r="E1395" s="914" t="s">
        <v>3330</v>
      </c>
      <c r="F1395" s="914">
        <v>29564514</v>
      </c>
      <c r="G1395" s="912" t="s">
        <v>3356</v>
      </c>
      <c r="H1395" s="912" t="s">
        <v>1028</v>
      </c>
      <c r="I1395" s="912"/>
      <c r="J1395" s="912" t="s">
        <v>1412</v>
      </c>
      <c r="K1395" s="946"/>
      <c r="L1395" s="914">
        <v>12</v>
      </c>
      <c r="M1395" s="947" t="s">
        <v>3293</v>
      </c>
      <c r="N1395" s="914" t="s">
        <v>3357</v>
      </c>
      <c r="O1395" s="914">
        <v>6</v>
      </c>
      <c r="P1395" s="947" t="s">
        <v>3334</v>
      </c>
    </row>
    <row r="1396" spans="1:16" x14ac:dyDescent="0.2">
      <c r="A1396" s="912" t="s">
        <v>3215</v>
      </c>
      <c r="B1396" s="912" t="s">
        <v>3216</v>
      </c>
      <c r="C1396" s="912" t="s">
        <v>80</v>
      </c>
      <c r="D1396" s="912"/>
      <c r="E1396" s="914" t="s">
        <v>3330</v>
      </c>
      <c r="F1396" s="914">
        <v>30587080</v>
      </c>
      <c r="G1396" s="912" t="s">
        <v>3358</v>
      </c>
      <c r="H1396" s="912" t="s">
        <v>1979</v>
      </c>
      <c r="I1396" s="912"/>
      <c r="J1396" s="912" t="s">
        <v>1412</v>
      </c>
      <c r="K1396" s="946"/>
      <c r="L1396" s="914">
        <v>12</v>
      </c>
      <c r="M1396" s="947" t="s">
        <v>3293</v>
      </c>
      <c r="N1396" s="914" t="s">
        <v>3359</v>
      </c>
      <c r="O1396" s="914">
        <v>6</v>
      </c>
      <c r="P1396" s="947" t="s">
        <v>3334</v>
      </c>
    </row>
    <row r="1397" spans="1:16" x14ac:dyDescent="0.2">
      <c r="A1397" s="912" t="s">
        <v>3215</v>
      </c>
      <c r="B1397" s="912" t="s">
        <v>3216</v>
      </c>
      <c r="C1397" s="912" t="s">
        <v>80</v>
      </c>
      <c r="D1397" s="912"/>
      <c r="E1397" s="914" t="s">
        <v>3330</v>
      </c>
      <c r="F1397" s="914">
        <v>46310617</v>
      </c>
      <c r="G1397" s="912" t="s">
        <v>3360</v>
      </c>
      <c r="H1397" s="912" t="s">
        <v>1979</v>
      </c>
      <c r="I1397" s="912"/>
      <c r="J1397" s="912" t="s">
        <v>1412</v>
      </c>
      <c r="K1397" s="946"/>
      <c r="L1397" s="914">
        <v>12</v>
      </c>
      <c r="M1397" s="947" t="s">
        <v>3293</v>
      </c>
      <c r="N1397" s="914" t="s">
        <v>3361</v>
      </c>
      <c r="O1397" s="914">
        <v>6</v>
      </c>
      <c r="P1397" s="947" t="s">
        <v>3334</v>
      </c>
    </row>
    <row r="1398" spans="1:16" x14ac:dyDescent="0.2">
      <c r="A1398" s="912" t="s">
        <v>3215</v>
      </c>
      <c r="B1398" s="912" t="s">
        <v>3216</v>
      </c>
      <c r="C1398" s="912" t="s">
        <v>80</v>
      </c>
      <c r="D1398" s="912"/>
      <c r="E1398" s="914" t="s">
        <v>3217</v>
      </c>
      <c r="F1398" s="914">
        <v>41238908</v>
      </c>
      <c r="G1398" s="912" t="s">
        <v>3362</v>
      </c>
      <c r="H1398" s="912" t="s">
        <v>2259</v>
      </c>
      <c r="I1398" s="912"/>
      <c r="J1398" s="912" t="s">
        <v>940</v>
      </c>
      <c r="K1398" s="946"/>
      <c r="L1398" s="914">
        <v>12</v>
      </c>
      <c r="M1398" s="947" t="s">
        <v>3219</v>
      </c>
      <c r="N1398" s="914" t="s">
        <v>3363</v>
      </c>
      <c r="O1398" s="914">
        <v>6</v>
      </c>
      <c r="P1398" s="947" t="s">
        <v>3221</v>
      </c>
    </row>
    <row r="1399" spans="1:16" x14ac:dyDescent="0.2">
      <c r="A1399" s="912" t="s">
        <v>3215</v>
      </c>
      <c r="B1399" s="912" t="s">
        <v>3216</v>
      </c>
      <c r="C1399" s="912" t="s">
        <v>80</v>
      </c>
      <c r="D1399" s="912"/>
      <c r="E1399" s="914" t="s">
        <v>3330</v>
      </c>
      <c r="F1399" s="914">
        <v>40949298</v>
      </c>
      <c r="G1399" s="912" t="s">
        <v>3364</v>
      </c>
      <c r="H1399" s="912" t="s">
        <v>1979</v>
      </c>
      <c r="I1399" s="912"/>
      <c r="J1399" s="912"/>
      <c r="K1399" s="946"/>
      <c r="L1399" s="914">
        <v>12</v>
      </c>
      <c r="M1399" s="947" t="s">
        <v>3293</v>
      </c>
      <c r="N1399" s="914" t="s">
        <v>3365</v>
      </c>
      <c r="O1399" s="914">
        <v>6</v>
      </c>
      <c r="P1399" s="947" t="s">
        <v>3334</v>
      </c>
    </row>
    <row r="1400" spans="1:16" x14ac:dyDescent="0.2">
      <c r="A1400" s="912" t="s">
        <v>3215</v>
      </c>
      <c r="B1400" s="912" t="s">
        <v>3216</v>
      </c>
      <c r="C1400" s="912" t="s">
        <v>80</v>
      </c>
      <c r="D1400" s="912"/>
      <c r="E1400" s="914" t="s">
        <v>3330</v>
      </c>
      <c r="F1400" s="914">
        <v>30563691</v>
      </c>
      <c r="G1400" s="912" t="s">
        <v>3366</v>
      </c>
      <c r="H1400" s="912" t="s">
        <v>1979</v>
      </c>
      <c r="I1400" s="912"/>
      <c r="J1400" s="912"/>
      <c r="K1400" s="946"/>
      <c r="L1400" s="914">
        <v>12</v>
      </c>
      <c r="M1400" s="947" t="s">
        <v>3293</v>
      </c>
      <c r="N1400" s="914" t="s">
        <v>3367</v>
      </c>
      <c r="O1400" s="914">
        <v>6</v>
      </c>
      <c r="P1400" s="947" t="s">
        <v>3334</v>
      </c>
    </row>
    <row r="1401" spans="1:16" x14ac:dyDescent="0.2">
      <c r="A1401" s="912" t="s">
        <v>3215</v>
      </c>
      <c r="B1401" s="912" t="s">
        <v>3216</v>
      </c>
      <c r="C1401" s="912" t="s">
        <v>80</v>
      </c>
      <c r="D1401" s="912"/>
      <c r="E1401" s="914" t="s">
        <v>3330</v>
      </c>
      <c r="F1401" s="914">
        <v>41727386</v>
      </c>
      <c r="G1401" s="912" t="s">
        <v>3368</v>
      </c>
      <c r="H1401" s="912" t="s">
        <v>1028</v>
      </c>
      <c r="I1401" s="912"/>
      <c r="J1401" s="912" t="s">
        <v>1412</v>
      </c>
      <c r="K1401" s="946"/>
      <c r="L1401" s="914">
        <v>12</v>
      </c>
      <c r="M1401" s="947" t="s">
        <v>3293</v>
      </c>
      <c r="N1401" s="914" t="s">
        <v>3369</v>
      </c>
      <c r="O1401" s="914">
        <v>6</v>
      </c>
      <c r="P1401" s="947" t="s">
        <v>3334</v>
      </c>
    </row>
    <row r="1402" spans="1:16" x14ac:dyDescent="0.2">
      <c r="A1402" s="912" t="s">
        <v>3215</v>
      </c>
      <c r="B1402" s="912" t="s">
        <v>3216</v>
      </c>
      <c r="C1402" s="912" t="s">
        <v>80</v>
      </c>
      <c r="D1402" s="912"/>
      <c r="E1402" s="914" t="s">
        <v>3330</v>
      </c>
      <c r="F1402" s="914">
        <v>45485932</v>
      </c>
      <c r="G1402" s="912" t="s">
        <v>3370</v>
      </c>
      <c r="H1402" s="912" t="s">
        <v>1028</v>
      </c>
      <c r="I1402" s="912"/>
      <c r="J1402" s="912" t="s">
        <v>1412</v>
      </c>
      <c r="K1402" s="946"/>
      <c r="L1402" s="914">
        <v>12</v>
      </c>
      <c r="M1402" s="947" t="s">
        <v>3293</v>
      </c>
      <c r="N1402" s="914" t="s">
        <v>3371</v>
      </c>
      <c r="O1402" s="914">
        <v>6</v>
      </c>
      <c r="P1402" s="947" t="s">
        <v>3334</v>
      </c>
    </row>
    <row r="1403" spans="1:16" x14ac:dyDescent="0.2">
      <c r="A1403" s="912" t="s">
        <v>3215</v>
      </c>
      <c r="B1403" s="912" t="s">
        <v>3216</v>
      </c>
      <c r="C1403" s="912" t="s">
        <v>80</v>
      </c>
      <c r="D1403" s="912"/>
      <c r="E1403" s="914" t="s">
        <v>3330</v>
      </c>
      <c r="F1403" s="914">
        <v>30588975</v>
      </c>
      <c r="G1403" s="912" t="s">
        <v>3372</v>
      </c>
      <c r="H1403" s="912" t="s">
        <v>1028</v>
      </c>
      <c r="I1403" s="912"/>
      <c r="J1403" s="912" t="s">
        <v>1412</v>
      </c>
      <c r="K1403" s="946"/>
      <c r="L1403" s="914">
        <v>12</v>
      </c>
      <c r="M1403" s="947" t="s">
        <v>3293</v>
      </c>
      <c r="N1403" s="914" t="s">
        <v>3373</v>
      </c>
      <c r="O1403" s="914">
        <v>6</v>
      </c>
      <c r="P1403" s="947" t="s">
        <v>3334</v>
      </c>
    </row>
    <row r="1404" spans="1:16" x14ac:dyDescent="0.2">
      <c r="A1404" s="912" t="s">
        <v>3215</v>
      </c>
      <c r="B1404" s="912" t="s">
        <v>3216</v>
      </c>
      <c r="C1404" s="912" t="s">
        <v>80</v>
      </c>
      <c r="D1404" s="912"/>
      <c r="E1404" s="914" t="s">
        <v>3330</v>
      </c>
      <c r="F1404" s="914">
        <v>30571862</v>
      </c>
      <c r="G1404" s="912" t="s">
        <v>3374</v>
      </c>
      <c r="H1404" s="912" t="s">
        <v>1979</v>
      </c>
      <c r="I1404" s="912"/>
      <c r="J1404" s="912" t="s">
        <v>1412</v>
      </c>
      <c r="K1404" s="946"/>
      <c r="L1404" s="914">
        <v>12</v>
      </c>
      <c r="M1404" s="947" t="s">
        <v>3293</v>
      </c>
      <c r="N1404" s="914" t="s">
        <v>3375</v>
      </c>
      <c r="O1404" s="914">
        <v>6</v>
      </c>
      <c r="P1404" s="947" t="s">
        <v>3334</v>
      </c>
    </row>
    <row r="1405" spans="1:16" x14ac:dyDescent="0.2">
      <c r="A1405" s="912" t="s">
        <v>3215</v>
      </c>
      <c r="B1405" s="912" t="s">
        <v>3216</v>
      </c>
      <c r="C1405" s="912" t="s">
        <v>80</v>
      </c>
      <c r="D1405" s="912"/>
      <c r="E1405" s="914" t="s">
        <v>3330</v>
      </c>
      <c r="F1405" s="914">
        <v>41489376</v>
      </c>
      <c r="G1405" s="912" t="s">
        <v>3376</v>
      </c>
      <c r="H1405" s="912" t="s">
        <v>1979</v>
      </c>
      <c r="I1405" s="912"/>
      <c r="J1405" s="912" t="s">
        <v>1412</v>
      </c>
      <c r="K1405" s="946"/>
      <c r="L1405" s="914">
        <v>12</v>
      </c>
      <c r="M1405" s="947" t="s">
        <v>3293</v>
      </c>
      <c r="N1405" s="914" t="s">
        <v>3377</v>
      </c>
      <c r="O1405" s="914">
        <v>6</v>
      </c>
      <c r="P1405" s="947" t="s">
        <v>3334</v>
      </c>
    </row>
    <row r="1406" spans="1:16" x14ac:dyDescent="0.2">
      <c r="A1406" s="912" t="s">
        <v>3215</v>
      </c>
      <c r="B1406" s="912" t="s">
        <v>3216</v>
      </c>
      <c r="C1406" s="912" t="s">
        <v>80</v>
      </c>
      <c r="D1406" s="912"/>
      <c r="E1406" s="914" t="s">
        <v>3330</v>
      </c>
      <c r="F1406" s="914">
        <v>70770352</v>
      </c>
      <c r="G1406" s="912" t="s">
        <v>3378</v>
      </c>
      <c r="H1406" s="912" t="s">
        <v>1979</v>
      </c>
      <c r="I1406" s="912"/>
      <c r="J1406" s="912" t="s">
        <v>1412</v>
      </c>
      <c r="K1406" s="946"/>
      <c r="L1406" s="914">
        <v>12</v>
      </c>
      <c r="M1406" s="947" t="s">
        <v>3293</v>
      </c>
      <c r="N1406" s="914" t="s">
        <v>3379</v>
      </c>
      <c r="O1406" s="914">
        <v>6</v>
      </c>
      <c r="P1406" s="947" t="s">
        <v>3334</v>
      </c>
    </row>
    <row r="1407" spans="1:16" x14ac:dyDescent="0.2">
      <c r="A1407" s="912" t="s">
        <v>3215</v>
      </c>
      <c r="B1407" s="912" t="s">
        <v>3216</v>
      </c>
      <c r="C1407" s="912" t="s">
        <v>80</v>
      </c>
      <c r="D1407" s="912"/>
      <c r="E1407" s="914" t="s">
        <v>3330</v>
      </c>
      <c r="F1407" s="914">
        <v>44885005</v>
      </c>
      <c r="G1407" s="912" t="s">
        <v>3380</v>
      </c>
      <c r="H1407" s="912" t="s">
        <v>1979</v>
      </c>
      <c r="I1407" s="912"/>
      <c r="J1407" s="912" t="s">
        <v>1412</v>
      </c>
      <c r="K1407" s="946"/>
      <c r="L1407" s="914">
        <v>12</v>
      </c>
      <c r="M1407" s="947" t="s">
        <v>3293</v>
      </c>
      <c r="N1407" s="914" t="s">
        <v>3381</v>
      </c>
      <c r="O1407" s="914">
        <v>6</v>
      </c>
      <c r="P1407" s="947" t="s">
        <v>3334</v>
      </c>
    </row>
    <row r="1408" spans="1:16" x14ac:dyDescent="0.2">
      <c r="A1408" s="912" t="s">
        <v>3215</v>
      </c>
      <c r="B1408" s="912" t="s">
        <v>3216</v>
      </c>
      <c r="C1408" s="912" t="s">
        <v>80</v>
      </c>
      <c r="D1408" s="912"/>
      <c r="E1408" s="914" t="s">
        <v>3382</v>
      </c>
      <c r="F1408" s="914">
        <v>44535131</v>
      </c>
      <c r="G1408" s="912" t="s">
        <v>3383</v>
      </c>
      <c r="H1408" s="912" t="s">
        <v>3384</v>
      </c>
      <c r="I1408" s="912"/>
      <c r="J1408" s="912" t="s">
        <v>1494</v>
      </c>
      <c r="K1408" s="946"/>
      <c r="L1408" s="914">
        <v>12</v>
      </c>
      <c r="M1408" s="947" t="s">
        <v>3385</v>
      </c>
      <c r="N1408" s="914" t="s">
        <v>3386</v>
      </c>
      <c r="O1408" s="914">
        <v>6</v>
      </c>
      <c r="P1408" s="947" t="s">
        <v>3387</v>
      </c>
    </row>
    <row r="1409" spans="1:16" x14ac:dyDescent="0.2">
      <c r="A1409" s="912" t="s">
        <v>3215</v>
      </c>
      <c r="B1409" s="912" t="s">
        <v>3216</v>
      </c>
      <c r="C1409" s="912" t="s">
        <v>80</v>
      </c>
      <c r="D1409" s="912"/>
      <c r="E1409" s="914" t="s">
        <v>3330</v>
      </c>
      <c r="F1409" s="914">
        <v>30426265</v>
      </c>
      <c r="G1409" s="912" t="s">
        <v>3388</v>
      </c>
      <c r="H1409" s="912" t="s">
        <v>1979</v>
      </c>
      <c r="I1409" s="912"/>
      <c r="J1409" s="912" t="s">
        <v>1412</v>
      </c>
      <c r="K1409" s="946"/>
      <c r="L1409" s="914">
        <v>12</v>
      </c>
      <c r="M1409" s="947" t="s">
        <v>3293</v>
      </c>
      <c r="N1409" s="914" t="s">
        <v>3389</v>
      </c>
      <c r="O1409" s="914">
        <v>6</v>
      </c>
      <c r="P1409" s="947" t="s">
        <v>3334</v>
      </c>
    </row>
    <row r="1410" spans="1:16" x14ac:dyDescent="0.2">
      <c r="A1410" s="912" t="s">
        <v>3215</v>
      </c>
      <c r="B1410" s="912" t="s">
        <v>3216</v>
      </c>
      <c r="C1410" s="912" t="s">
        <v>80</v>
      </c>
      <c r="D1410" s="912"/>
      <c r="E1410" s="914" t="s">
        <v>3330</v>
      </c>
      <c r="F1410" s="914">
        <v>30586650</v>
      </c>
      <c r="G1410" s="912" t="s">
        <v>3390</v>
      </c>
      <c r="H1410" s="912" t="s">
        <v>1979</v>
      </c>
      <c r="I1410" s="912"/>
      <c r="J1410" s="912" t="s">
        <v>1412</v>
      </c>
      <c r="K1410" s="946"/>
      <c r="L1410" s="914">
        <v>12</v>
      </c>
      <c r="M1410" s="947" t="s">
        <v>3293</v>
      </c>
      <c r="N1410" s="914" t="s">
        <v>3391</v>
      </c>
      <c r="O1410" s="914">
        <v>6</v>
      </c>
      <c r="P1410" s="947" t="s">
        <v>3334</v>
      </c>
    </row>
    <row r="1411" spans="1:16" x14ac:dyDescent="0.2">
      <c r="A1411" s="912" t="s">
        <v>3215</v>
      </c>
      <c r="B1411" s="912" t="s">
        <v>3216</v>
      </c>
      <c r="C1411" s="912" t="s">
        <v>80</v>
      </c>
      <c r="D1411" s="912"/>
      <c r="E1411" s="914" t="s">
        <v>3392</v>
      </c>
      <c r="F1411" s="914">
        <v>41727381</v>
      </c>
      <c r="G1411" s="912" t="s">
        <v>3393</v>
      </c>
      <c r="H1411" s="912" t="s">
        <v>1028</v>
      </c>
      <c r="I1411" s="912"/>
      <c r="J1411" s="912" t="s">
        <v>1412</v>
      </c>
      <c r="K1411" s="946"/>
      <c r="L1411" s="914">
        <v>12</v>
      </c>
      <c r="M1411" s="947" t="s">
        <v>3394</v>
      </c>
      <c r="N1411" s="914" t="s">
        <v>3395</v>
      </c>
      <c r="O1411" s="914">
        <v>6</v>
      </c>
      <c r="P1411" s="947" t="s">
        <v>3396</v>
      </c>
    </row>
    <row r="1412" spans="1:16" x14ac:dyDescent="0.2">
      <c r="A1412" s="912" t="s">
        <v>3215</v>
      </c>
      <c r="B1412" s="912" t="s">
        <v>3216</v>
      </c>
      <c r="C1412" s="912" t="s">
        <v>80</v>
      </c>
      <c r="D1412" s="912"/>
      <c r="E1412" s="914" t="s">
        <v>3392</v>
      </c>
      <c r="F1412" s="914">
        <v>47173233</v>
      </c>
      <c r="G1412" s="912" t="s">
        <v>3397</v>
      </c>
      <c r="H1412" s="912" t="s">
        <v>1028</v>
      </c>
      <c r="I1412" s="912"/>
      <c r="J1412" s="912" t="s">
        <v>1412</v>
      </c>
      <c r="K1412" s="946"/>
      <c r="L1412" s="914">
        <v>12</v>
      </c>
      <c r="M1412" s="947" t="s">
        <v>3394</v>
      </c>
      <c r="N1412" s="914" t="s">
        <v>3398</v>
      </c>
      <c r="O1412" s="914">
        <v>6</v>
      </c>
      <c r="P1412" s="947" t="s">
        <v>3396</v>
      </c>
    </row>
    <row r="1413" spans="1:16" x14ac:dyDescent="0.2">
      <c r="A1413" s="912" t="s">
        <v>3215</v>
      </c>
      <c r="B1413" s="912" t="s">
        <v>3216</v>
      </c>
      <c r="C1413" s="912" t="s">
        <v>80</v>
      </c>
      <c r="D1413" s="912"/>
      <c r="E1413" s="914" t="s">
        <v>3330</v>
      </c>
      <c r="F1413" s="914">
        <v>40038012</v>
      </c>
      <c r="G1413" s="912" t="s">
        <v>3399</v>
      </c>
      <c r="H1413" s="912" t="s">
        <v>1979</v>
      </c>
      <c r="I1413" s="912"/>
      <c r="J1413" s="912" t="s">
        <v>1412</v>
      </c>
      <c r="K1413" s="946"/>
      <c r="L1413" s="914">
        <v>12</v>
      </c>
      <c r="M1413" s="947" t="s">
        <v>3293</v>
      </c>
      <c r="N1413" s="914" t="s">
        <v>3400</v>
      </c>
      <c r="O1413" s="914">
        <v>6</v>
      </c>
      <c r="P1413" s="947" t="s">
        <v>3334</v>
      </c>
    </row>
    <row r="1414" spans="1:16" x14ac:dyDescent="0.2">
      <c r="A1414" s="912" t="s">
        <v>3215</v>
      </c>
      <c r="B1414" s="912" t="s">
        <v>3216</v>
      </c>
      <c r="C1414" s="912" t="s">
        <v>80</v>
      </c>
      <c r="D1414" s="912"/>
      <c r="E1414" s="914" t="s">
        <v>3330</v>
      </c>
      <c r="F1414" s="914">
        <v>2151154</v>
      </c>
      <c r="G1414" s="912" t="s">
        <v>3401</v>
      </c>
      <c r="H1414" s="912" t="s">
        <v>1028</v>
      </c>
      <c r="I1414" s="912"/>
      <c r="J1414" s="912" t="s">
        <v>1412</v>
      </c>
      <c r="K1414" s="946"/>
      <c r="L1414" s="914">
        <v>12</v>
      </c>
      <c r="M1414" s="947" t="s">
        <v>3293</v>
      </c>
      <c r="N1414" s="914" t="s">
        <v>3402</v>
      </c>
      <c r="O1414" s="914">
        <v>6</v>
      </c>
      <c r="P1414" s="947" t="s">
        <v>3334</v>
      </c>
    </row>
    <row r="1415" spans="1:16" x14ac:dyDescent="0.2">
      <c r="A1415" s="912" t="s">
        <v>3215</v>
      </c>
      <c r="B1415" s="912" t="s">
        <v>3216</v>
      </c>
      <c r="C1415" s="912" t="s">
        <v>80</v>
      </c>
      <c r="D1415" s="912"/>
      <c r="E1415" s="914" t="s">
        <v>3330</v>
      </c>
      <c r="F1415" s="914">
        <v>44383877</v>
      </c>
      <c r="G1415" s="912" t="s">
        <v>3403</v>
      </c>
      <c r="H1415" s="912" t="s">
        <v>1666</v>
      </c>
      <c r="I1415" s="912"/>
      <c r="J1415" s="912" t="s">
        <v>940</v>
      </c>
      <c r="K1415" s="946"/>
      <c r="L1415" s="914">
        <v>12</v>
      </c>
      <c r="M1415" s="947" t="s">
        <v>3293</v>
      </c>
      <c r="N1415" s="914" t="s">
        <v>3404</v>
      </c>
      <c r="O1415" s="914">
        <v>6</v>
      </c>
      <c r="P1415" s="947" t="s">
        <v>3334</v>
      </c>
    </row>
    <row r="1416" spans="1:16" x14ac:dyDescent="0.2">
      <c r="A1416" s="912" t="s">
        <v>3215</v>
      </c>
      <c r="B1416" s="912" t="s">
        <v>3216</v>
      </c>
      <c r="C1416" s="912" t="s">
        <v>80</v>
      </c>
      <c r="D1416" s="912"/>
      <c r="E1416" s="914" t="s">
        <v>3330</v>
      </c>
      <c r="F1416" s="914">
        <v>47557129</v>
      </c>
      <c r="G1416" s="912" t="s">
        <v>3405</v>
      </c>
      <c r="H1416" s="912" t="s">
        <v>1028</v>
      </c>
      <c r="I1416" s="912"/>
      <c r="J1416" s="912" t="s">
        <v>1412</v>
      </c>
      <c r="K1416" s="946"/>
      <c r="L1416" s="914">
        <v>12</v>
      </c>
      <c r="M1416" s="947" t="s">
        <v>3293</v>
      </c>
      <c r="N1416" s="914" t="s">
        <v>3406</v>
      </c>
      <c r="O1416" s="914">
        <v>6</v>
      </c>
      <c r="P1416" s="947" t="s">
        <v>3334</v>
      </c>
    </row>
    <row r="1417" spans="1:16" x14ac:dyDescent="0.2">
      <c r="A1417" s="912" t="s">
        <v>3215</v>
      </c>
      <c r="B1417" s="912" t="s">
        <v>3216</v>
      </c>
      <c r="C1417" s="912" t="s">
        <v>80</v>
      </c>
      <c r="D1417" s="912"/>
      <c r="E1417" s="914" t="s">
        <v>3330</v>
      </c>
      <c r="F1417" s="914">
        <v>47262032</v>
      </c>
      <c r="G1417" s="912" t="s">
        <v>3407</v>
      </c>
      <c r="H1417" s="912" t="s">
        <v>1028</v>
      </c>
      <c r="I1417" s="912"/>
      <c r="J1417" s="912" t="s">
        <v>1412</v>
      </c>
      <c r="K1417" s="946"/>
      <c r="L1417" s="914">
        <v>12</v>
      </c>
      <c r="M1417" s="947" t="s">
        <v>3293</v>
      </c>
      <c r="N1417" s="914" t="s">
        <v>3408</v>
      </c>
      <c r="O1417" s="914">
        <v>6</v>
      </c>
      <c r="P1417" s="947" t="s">
        <v>3334</v>
      </c>
    </row>
    <row r="1418" spans="1:16" x14ac:dyDescent="0.2">
      <c r="A1418" s="912" t="s">
        <v>3215</v>
      </c>
      <c r="B1418" s="912" t="s">
        <v>3216</v>
      </c>
      <c r="C1418" s="912" t="s">
        <v>80</v>
      </c>
      <c r="D1418" s="912"/>
      <c r="E1418" s="914" t="s">
        <v>3409</v>
      </c>
      <c r="F1418" s="914">
        <v>44067325</v>
      </c>
      <c r="G1418" s="912" t="s">
        <v>3410</v>
      </c>
      <c r="H1418" s="912" t="s">
        <v>1028</v>
      </c>
      <c r="I1418" s="912"/>
      <c r="J1418" s="912" t="s">
        <v>1412</v>
      </c>
      <c r="K1418" s="946"/>
      <c r="L1418" s="914">
        <v>12</v>
      </c>
      <c r="M1418" s="947" t="s">
        <v>3411</v>
      </c>
      <c r="N1418" s="914" t="s">
        <v>3412</v>
      </c>
      <c r="O1418" s="914">
        <v>6</v>
      </c>
      <c r="P1418" s="947" t="s">
        <v>3413</v>
      </c>
    </row>
    <row r="1419" spans="1:16" x14ac:dyDescent="0.2">
      <c r="A1419" s="912" t="s">
        <v>3215</v>
      </c>
      <c r="B1419" s="912" t="s">
        <v>3216</v>
      </c>
      <c r="C1419" s="912" t="s">
        <v>80</v>
      </c>
      <c r="D1419" s="912"/>
      <c r="E1419" s="914" t="s">
        <v>3345</v>
      </c>
      <c r="F1419" s="914">
        <v>41930895</v>
      </c>
      <c r="G1419" s="912" t="s">
        <v>3414</v>
      </c>
      <c r="H1419" s="912" t="s">
        <v>1770</v>
      </c>
      <c r="I1419" s="912"/>
      <c r="J1419" s="912" t="s">
        <v>1412</v>
      </c>
      <c r="K1419" s="946"/>
      <c r="L1419" s="914">
        <v>12</v>
      </c>
      <c r="M1419" s="947" t="s">
        <v>3347</v>
      </c>
      <c r="N1419" s="946"/>
      <c r="O1419" s="914">
        <v>6</v>
      </c>
      <c r="P1419" s="947" t="s">
        <v>3349</v>
      </c>
    </row>
    <row r="1420" spans="1:16" x14ac:dyDescent="0.2">
      <c r="A1420" s="912" t="s">
        <v>3215</v>
      </c>
      <c r="B1420" s="912" t="s">
        <v>3216</v>
      </c>
      <c r="C1420" s="912" t="s">
        <v>80</v>
      </c>
      <c r="D1420" s="912"/>
      <c r="E1420" s="914" t="s">
        <v>3392</v>
      </c>
      <c r="F1420" s="914">
        <v>47162365</v>
      </c>
      <c r="G1420" s="912" t="s">
        <v>3415</v>
      </c>
      <c r="H1420" s="912" t="s">
        <v>1028</v>
      </c>
      <c r="I1420" s="912"/>
      <c r="J1420" s="912" t="s">
        <v>1412</v>
      </c>
      <c r="K1420" s="946"/>
      <c r="L1420" s="914">
        <v>12</v>
      </c>
      <c r="M1420" s="947" t="s">
        <v>3394</v>
      </c>
      <c r="N1420" s="914" t="s">
        <v>3416</v>
      </c>
      <c r="O1420" s="914">
        <v>6</v>
      </c>
      <c r="P1420" s="947" t="s">
        <v>3396</v>
      </c>
    </row>
    <row r="1421" spans="1:16" x14ac:dyDescent="0.2">
      <c r="A1421" s="912" t="s">
        <v>3215</v>
      </c>
      <c r="B1421" s="912" t="s">
        <v>3216</v>
      </c>
      <c r="C1421" s="912" t="s">
        <v>80</v>
      </c>
      <c r="D1421" s="912"/>
      <c r="E1421" s="914" t="s">
        <v>3330</v>
      </c>
      <c r="F1421" s="914">
        <v>44190125</v>
      </c>
      <c r="G1421" s="912" t="s">
        <v>3417</v>
      </c>
      <c r="H1421" s="912" t="s">
        <v>982</v>
      </c>
      <c r="I1421" s="912"/>
      <c r="J1421" s="912" t="s">
        <v>1412</v>
      </c>
      <c r="K1421" s="946"/>
      <c r="L1421" s="914">
        <v>12</v>
      </c>
      <c r="M1421" s="947" t="s">
        <v>3293</v>
      </c>
      <c r="N1421" s="914" t="s">
        <v>3418</v>
      </c>
      <c r="O1421" s="914">
        <v>6</v>
      </c>
      <c r="P1421" s="947" t="s">
        <v>3334</v>
      </c>
    </row>
    <row r="1422" spans="1:16" x14ac:dyDescent="0.2">
      <c r="A1422" s="912" t="s">
        <v>3215</v>
      </c>
      <c r="B1422" s="912" t="s">
        <v>3216</v>
      </c>
      <c r="C1422" s="912" t="s">
        <v>80</v>
      </c>
      <c r="D1422" s="912"/>
      <c r="E1422" s="914" t="s">
        <v>3330</v>
      </c>
      <c r="F1422" s="914">
        <v>43616570</v>
      </c>
      <c r="G1422" s="912" t="s">
        <v>3419</v>
      </c>
      <c r="H1422" s="912" t="s">
        <v>1720</v>
      </c>
      <c r="I1422" s="912"/>
      <c r="J1422" s="912" t="s">
        <v>1412</v>
      </c>
      <c r="K1422" s="946"/>
      <c r="L1422" s="914">
        <v>12</v>
      </c>
      <c r="M1422" s="947" t="s">
        <v>3293</v>
      </c>
      <c r="N1422" s="914" t="s">
        <v>3420</v>
      </c>
      <c r="O1422" s="914">
        <v>6</v>
      </c>
      <c r="P1422" s="947" t="s">
        <v>3334</v>
      </c>
    </row>
    <row r="1423" spans="1:16" x14ac:dyDescent="0.2">
      <c r="A1423" s="912" t="s">
        <v>3215</v>
      </c>
      <c r="B1423" s="912" t="s">
        <v>3216</v>
      </c>
      <c r="C1423" s="912" t="s">
        <v>80</v>
      </c>
      <c r="D1423" s="912"/>
      <c r="E1423" s="914" t="s">
        <v>3330</v>
      </c>
      <c r="F1423" s="914">
        <v>46030543</v>
      </c>
      <c r="G1423" s="912" t="s">
        <v>3421</v>
      </c>
      <c r="H1423" s="912" t="s">
        <v>982</v>
      </c>
      <c r="I1423" s="912"/>
      <c r="J1423" s="912" t="s">
        <v>1412</v>
      </c>
      <c r="K1423" s="946"/>
      <c r="L1423" s="914">
        <v>12</v>
      </c>
      <c r="M1423" s="947" t="s">
        <v>3293</v>
      </c>
      <c r="N1423" s="914" t="s">
        <v>3422</v>
      </c>
      <c r="O1423" s="914">
        <v>6</v>
      </c>
      <c r="P1423" s="947" t="s">
        <v>3334</v>
      </c>
    </row>
    <row r="1424" spans="1:16" x14ac:dyDescent="0.2">
      <c r="A1424" s="912" t="s">
        <v>3215</v>
      </c>
      <c r="B1424" s="912" t="s">
        <v>3216</v>
      </c>
      <c r="C1424" s="912" t="s">
        <v>80</v>
      </c>
      <c r="D1424" s="912"/>
      <c r="E1424" s="914" t="s">
        <v>3330</v>
      </c>
      <c r="F1424" s="914">
        <v>46076946</v>
      </c>
      <c r="G1424" s="912" t="s">
        <v>3423</v>
      </c>
      <c r="H1424" s="912" t="s">
        <v>982</v>
      </c>
      <c r="I1424" s="912"/>
      <c r="J1424" s="912" t="s">
        <v>1412</v>
      </c>
      <c r="K1424" s="946"/>
      <c r="L1424" s="914">
        <v>12</v>
      </c>
      <c r="M1424" s="947" t="s">
        <v>3293</v>
      </c>
      <c r="N1424" s="914" t="s">
        <v>3424</v>
      </c>
      <c r="O1424" s="914">
        <v>6</v>
      </c>
      <c r="P1424" s="947" t="s">
        <v>3334</v>
      </c>
    </row>
    <row r="1425" spans="1:16" x14ac:dyDescent="0.2">
      <c r="A1425" s="912" t="s">
        <v>3215</v>
      </c>
      <c r="B1425" s="912" t="s">
        <v>3216</v>
      </c>
      <c r="C1425" s="912" t="s">
        <v>80</v>
      </c>
      <c r="D1425" s="912"/>
      <c r="E1425" s="914" t="s">
        <v>3425</v>
      </c>
      <c r="F1425" s="914">
        <v>43987561</v>
      </c>
      <c r="G1425" s="912" t="s">
        <v>3426</v>
      </c>
      <c r="H1425" s="912" t="s">
        <v>1028</v>
      </c>
      <c r="I1425" s="912"/>
      <c r="J1425" s="912" t="s">
        <v>1412</v>
      </c>
      <c r="K1425" s="946"/>
      <c r="L1425" s="914">
        <v>3</v>
      </c>
      <c r="M1425" s="947" t="s">
        <v>3427</v>
      </c>
      <c r="N1425" s="914" t="s">
        <v>3428</v>
      </c>
      <c r="O1425" s="914">
        <v>6</v>
      </c>
      <c r="P1425" s="947" t="s">
        <v>3429</v>
      </c>
    </row>
    <row r="1426" spans="1:16" x14ac:dyDescent="0.2">
      <c r="A1426" s="912" t="s">
        <v>3215</v>
      </c>
      <c r="B1426" s="912" t="s">
        <v>3216</v>
      </c>
      <c r="C1426" s="912" t="s">
        <v>80</v>
      </c>
      <c r="D1426" s="912"/>
      <c r="E1426" s="914" t="s">
        <v>3330</v>
      </c>
      <c r="F1426" s="914">
        <v>46239705</v>
      </c>
      <c r="G1426" s="912" t="s">
        <v>3430</v>
      </c>
      <c r="H1426" s="912" t="s">
        <v>982</v>
      </c>
      <c r="I1426" s="912"/>
      <c r="J1426" s="912" t="s">
        <v>1412</v>
      </c>
      <c r="K1426" s="946"/>
      <c r="L1426" s="914">
        <v>12</v>
      </c>
      <c r="M1426" s="947" t="s">
        <v>3293</v>
      </c>
      <c r="N1426" s="914" t="s">
        <v>3431</v>
      </c>
      <c r="O1426" s="914">
        <v>6</v>
      </c>
      <c r="P1426" s="947" t="s">
        <v>3334</v>
      </c>
    </row>
    <row r="1427" spans="1:16" x14ac:dyDescent="0.2">
      <c r="A1427" s="912" t="s">
        <v>3215</v>
      </c>
      <c r="B1427" s="912" t="s">
        <v>3216</v>
      </c>
      <c r="C1427" s="912" t="s">
        <v>80</v>
      </c>
      <c r="D1427" s="912"/>
      <c r="E1427" s="914" t="s">
        <v>3330</v>
      </c>
      <c r="F1427" s="914">
        <v>70865884</v>
      </c>
      <c r="G1427" s="912" t="s">
        <v>3432</v>
      </c>
      <c r="H1427" s="912" t="s">
        <v>982</v>
      </c>
      <c r="I1427" s="912"/>
      <c r="J1427" s="912" t="s">
        <v>1412</v>
      </c>
      <c r="K1427" s="946"/>
      <c r="L1427" s="914">
        <v>12</v>
      </c>
      <c r="M1427" s="947" t="s">
        <v>3293</v>
      </c>
      <c r="N1427" s="914" t="s">
        <v>3433</v>
      </c>
      <c r="O1427" s="914">
        <v>6</v>
      </c>
      <c r="P1427" s="947" t="s">
        <v>3334</v>
      </c>
    </row>
    <row r="1428" spans="1:16" x14ac:dyDescent="0.2">
      <c r="A1428" s="912" t="s">
        <v>3215</v>
      </c>
      <c r="B1428" s="912" t="s">
        <v>3216</v>
      </c>
      <c r="C1428" s="912" t="s">
        <v>80</v>
      </c>
      <c r="D1428" s="912"/>
      <c r="E1428" s="914" t="s">
        <v>3434</v>
      </c>
      <c r="F1428" s="914">
        <v>45604044</v>
      </c>
      <c r="G1428" s="912" t="s">
        <v>3435</v>
      </c>
      <c r="H1428" s="912" t="s">
        <v>1594</v>
      </c>
      <c r="I1428" s="912"/>
      <c r="J1428" s="912" t="s">
        <v>940</v>
      </c>
      <c r="K1428" s="946"/>
      <c r="L1428" s="914">
        <v>7</v>
      </c>
      <c r="M1428" s="947" t="s">
        <v>3436</v>
      </c>
      <c r="N1428" s="914" t="s">
        <v>3437</v>
      </c>
      <c r="O1428" s="914">
        <v>6</v>
      </c>
      <c r="P1428" s="947" t="s">
        <v>3438</v>
      </c>
    </row>
    <row r="1429" spans="1:16" x14ac:dyDescent="0.2">
      <c r="A1429" s="912" t="s">
        <v>3215</v>
      </c>
      <c r="B1429" s="912" t="s">
        <v>3216</v>
      </c>
      <c r="C1429" s="912" t="s">
        <v>80</v>
      </c>
      <c r="D1429" s="912"/>
      <c r="E1429" s="914" t="s">
        <v>3434</v>
      </c>
      <c r="F1429" s="914">
        <v>30563575</v>
      </c>
      <c r="G1429" s="912" t="s">
        <v>3439</v>
      </c>
      <c r="H1429" s="912" t="s">
        <v>3440</v>
      </c>
      <c r="I1429" s="912"/>
      <c r="J1429" s="912" t="s">
        <v>1412</v>
      </c>
      <c r="K1429" s="946"/>
      <c r="L1429" s="914">
        <v>12</v>
      </c>
      <c r="M1429" s="947" t="s">
        <v>3441</v>
      </c>
      <c r="N1429" s="914" t="s">
        <v>3437</v>
      </c>
      <c r="O1429" s="914">
        <v>6</v>
      </c>
      <c r="P1429" s="947" t="s">
        <v>3438</v>
      </c>
    </row>
    <row r="1430" spans="1:16" x14ac:dyDescent="0.2">
      <c r="A1430" s="912" t="s">
        <v>3215</v>
      </c>
      <c r="B1430" s="912" t="s">
        <v>3216</v>
      </c>
      <c r="C1430" s="912" t="s">
        <v>80</v>
      </c>
      <c r="D1430" s="912"/>
      <c r="E1430" s="914" t="s">
        <v>3434</v>
      </c>
      <c r="F1430" s="914">
        <v>70998526</v>
      </c>
      <c r="G1430" s="912" t="s">
        <v>3442</v>
      </c>
      <c r="H1430" s="912" t="s">
        <v>1594</v>
      </c>
      <c r="I1430" s="912"/>
      <c r="J1430" s="912" t="s">
        <v>940</v>
      </c>
      <c r="K1430" s="946"/>
      <c r="L1430" s="914">
        <v>7</v>
      </c>
      <c r="M1430" s="947" t="s">
        <v>3436</v>
      </c>
      <c r="N1430" s="914" t="s">
        <v>3443</v>
      </c>
      <c r="O1430" s="914">
        <v>6</v>
      </c>
      <c r="P1430" s="947" t="s">
        <v>3438</v>
      </c>
    </row>
    <row r="1431" spans="1:16" x14ac:dyDescent="0.2">
      <c r="A1431" s="912" t="s">
        <v>3215</v>
      </c>
      <c r="B1431" s="912" t="s">
        <v>3216</v>
      </c>
      <c r="C1431" s="912" t="s">
        <v>80</v>
      </c>
      <c r="D1431" s="912"/>
      <c r="E1431" s="914" t="s">
        <v>3434</v>
      </c>
      <c r="F1431" s="914">
        <v>70444984</v>
      </c>
      <c r="G1431" s="912" t="s">
        <v>3444</v>
      </c>
      <c r="H1431" s="912" t="s">
        <v>1634</v>
      </c>
      <c r="I1431" s="912"/>
      <c r="J1431" s="912" t="s">
        <v>940</v>
      </c>
      <c r="K1431" s="946"/>
      <c r="L1431" s="914">
        <v>12</v>
      </c>
      <c r="M1431" s="947" t="s">
        <v>3441</v>
      </c>
      <c r="N1431" s="914" t="s">
        <v>3445</v>
      </c>
      <c r="O1431" s="914">
        <v>6</v>
      </c>
      <c r="P1431" s="947" t="s">
        <v>3438</v>
      </c>
    </row>
    <row r="1432" spans="1:16" x14ac:dyDescent="0.2">
      <c r="A1432" s="912" t="s">
        <v>3215</v>
      </c>
      <c r="B1432" s="912" t="s">
        <v>3216</v>
      </c>
      <c r="C1432" s="912" t="s">
        <v>80</v>
      </c>
      <c r="D1432" s="912"/>
      <c r="E1432" s="914" t="s">
        <v>3434</v>
      </c>
      <c r="F1432" s="914">
        <v>41676724</v>
      </c>
      <c r="G1432" s="912" t="s">
        <v>3446</v>
      </c>
      <c r="H1432" s="912" t="s">
        <v>1594</v>
      </c>
      <c r="I1432" s="912"/>
      <c r="J1432" s="912" t="s">
        <v>940</v>
      </c>
      <c r="K1432" s="946"/>
      <c r="L1432" s="914">
        <v>12</v>
      </c>
      <c r="M1432" s="947" t="s">
        <v>3441</v>
      </c>
      <c r="N1432" s="914" t="s">
        <v>3447</v>
      </c>
      <c r="O1432" s="914">
        <v>6</v>
      </c>
      <c r="P1432" s="947" t="s">
        <v>3438</v>
      </c>
    </row>
    <row r="1433" spans="1:16" x14ac:dyDescent="0.2">
      <c r="A1433" s="912" t="s">
        <v>3215</v>
      </c>
      <c r="B1433" s="912" t="s">
        <v>3216</v>
      </c>
      <c r="C1433" s="912" t="s">
        <v>80</v>
      </c>
      <c r="D1433" s="912"/>
      <c r="E1433" s="914" t="s">
        <v>3448</v>
      </c>
      <c r="F1433" s="914">
        <v>45502896</v>
      </c>
      <c r="G1433" s="912" t="s">
        <v>3449</v>
      </c>
      <c r="H1433" s="912" t="s">
        <v>982</v>
      </c>
      <c r="I1433" s="912"/>
      <c r="J1433" s="912" t="s">
        <v>1412</v>
      </c>
      <c r="K1433" s="946"/>
      <c r="L1433" s="914">
        <v>7</v>
      </c>
      <c r="M1433" s="947" t="s">
        <v>3450</v>
      </c>
      <c r="N1433" s="914" t="s">
        <v>3451</v>
      </c>
      <c r="O1433" s="914">
        <v>6</v>
      </c>
      <c r="P1433" s="947" t="s">
        <v>3452</v>
      </c>
    </row>
    <row r="1434" spans="1:16" x14ac:dyDescent="0.2">
      <c r="A1434" s="912" t="s">
        <v>3215</v>
      </c>
      <c r="B1434" s="912" t="s">
        <v>3216</v>
      </c>
      <c r="C1434" s="912" t="s">
        <v>80</v>
      </c>
      <c r="D1434" s="912"/>
      <c r="E1434" s="914" t="s">
        <v>3425</v>
      </c>
      <c r="F1434" s="914">
        <v>46036160</v>
      </c>
      <c r="G1434" s="912" t="s">
        <v>3453</v>
      </c>
      <c r="H1434" s="912" t="s">
        <v>1028</v>
      </c>
      <c r="I1434" s="912"/>
      <c r="J1434" s="912" t="s">
        <v>1412</v>
      </c>
      <c r="K1434" s="946"/>
      <c r="L1434" s="914">
        <v>3</v>
      </c>
      <c r="M1434" s="947" t="s">
        <v>3427</v>
      </c>
      <c r="N1434" s="914" t="s">
        <v>3454</v>
      </c>
      <c r="O1434" s="914">
        <v>6</v>
      </c>
      <c r="P1434" s="947" t="s">
        <v>3429</v>
      </c>
    </row>
    <row r="1435" spans="1:16" x14ac:dyDescent="0.2">
      <c r="A1435" s="912" t="s">
        <v>3215</v>
      </c>
      <c r="B1435" s="912" t="s">
        <v>3216</v>
      </c>
      <c r="C1435" s="912" t="s">
        <v>80</v>
      </c>
      <c r="D1435" s="912"/>
      <c r="E1435" s="914" t="s">
        <v>3425</v>
      </c>
      <c r="F1435" s="914">
        <v>41336193</v>
      </c>
      <c r="G1435" s="912" t="s">
        <v>3455</v>
      </c>
      <c r="H1435" s="912" t="s">
        <v>982</v>
      </c>
      <c r="I1435" s="912"/>
      <c r="J1435" s="912" t="s">
        <v>1412</v>
      </c>
      <c r="K1435" s="946"/>
      <c r="L1435" s="914">
        <v>8</v>
      </c>
      <c r="M1435" s="947" t="s">
        <v>3456</v>
      </c>
      <c r="N1435" s="914" t="s">
        <v>3457</v>
      </c>
      <c r="O1435" s="914">
        <v>6</v>
      </c>
      <c r="P1435" s="947" t="s">
        <v>3429</v>
      </c>
    </row>
    <row r="1436" spans="1:16" x14ac:dyDescent="0.2">
      <c r="A1436" s="912" t="s">
        <v>3215</v>
      </c>
      <c r="B1436" s="912" t="s">
        <v>3216</v>
      </c>
      <c r="C1436" s="912" t="s">
        <v>80</v>
      </c>
      <c r="D1436" s="912"/>
      <c r="E1436" s="914" t="s">
        <v>3425</v>
      </c>
      <c r="F1436" s="914">
        <v>42348270</v>
      </c>
      <c r="G1436" s="912" t="s">
        <v>3458</v>
      </c>
      <c r="H1436" s="912" t="s">
        <v>1028</v>
      </c>
      <c r="I1436" s="912"/>
      <c r="J1436" s="912" t="s">
        <v>1412</v>
      </c>
      <c r="K1436" s="946"/>
      <c r="L1436" s="914">
        <v>3</v>
      </c>
      <c r="M1436" s="947" t="s">
        <v>3427</v>
      </c>
      <c r="N1436" s="914" t="s">
        <v>3459</v>
      </c>
      <c r="O1436" s="914">
        <v>6</v>
      </c>
      <c r="P1436" s="947" t="s">
        <v>3429</v>
      </c>
    </row>
    <row r="1437" spans="1:16" x14ac:dyDescent="0.2">
      <c r="A1437" s="912" t="s">
        <v>3215</v>
      </c>
      <c r="B1437" s="912" t="s">
        <v>3216</v>
      </c>
      <c r="C1437" s="912" t="s">
        <v>80</v>
      </c>
      <c r="D1437" s="912"/>
      <c r="E1437" s="914" t="s">
        <v>3425</v>
      </c>
      <c r="F1437" s="914">
        <v>46184076</v>
      </c>
      <c r="G1437" s="912" t="s">
        <v>3460</v>
      </c>
      <c r="H1437" s="912" t="s">
        <v>1028</v>
      </c>
      <c r="I1437" s="912"/>
      <c r="J1437" s="912" t="s">
        <v>1412</v>
      </c>
      <c r="K1437" s="946"/>
      <c r="L1437" s="914">
        <v>3</v>
      </c>
      <c r="M1437" s="947" t="s">
        <v>3427</v>
      </c>
      <c r="N1437" s="914" t="s">
        <v>3461</v>
      </c>
      <c r="O1437" s="914">
        <v>6</v>
      </c>
      <c r="P1437" s="947" t="s">
        <v>3429</v>
      </c>
    </row>
    <row r="1438" spans="1:16" x14ac:dyDescent="0.2">
      <c r="A1438" s="912" t="s">
        <v>3215</v>
      </c>
      <c r="B1438" s="912" t="s">
        <v>3216</v>
      </c>
      <c r="C1438" s="912" t="s">
        <v>80</v>
      </c>
      <c r="D1438" s="912"/>
      <c r="E1438" s="914" t="s">
        <v>3425</v>
      </c>
      <c r="F1438" s="914">
        <v>43555799</v>
      </c>
      <c r="G1438" s="912" t="s">
        <v>3462</v>
      </c>
      <c r="H1438" s="912" t="s">
        <v>1028</v>
      </c>
      <c r="I1438" s="912"/>
      <c r="J1438" s="912" t="s">
        <v>1412</v>
      </c>
      <c r="K1438" s="946"/>
      <c r="L1438" s="914">
        <v>3</v>
      </c>
      <c r="M1438" s="947" t="s">
        <v>3427</v>
      </c>
      <c r="N1438" s="914" t="s">
        <v>3463</v>
      </c>
      <c r="O1438" s="914">
        <v>6</v>
      </c>
      <c r="P1438" s="947" t="s">
        <v>3429</v>
      </c>
    </row>
    <row r="1439" spans="1:16" x14ac:dyDescent="0.2">
      <c r="A1439" s="912" t="s">
        <v>3215</v>
      </c>
      <c r="B1439" s="912" t="s">
        <v>3216</v>
      </c>
      <c r="C1439" s="912" t="s">
        <v>80</v>
      </c>
      <c r="D1439" s="912"/>
      <c r="E1439" s="914" t="s">
        <v>3425</v>
      </c>
      <c r="F1439" s="914">
        <v>44875411</v>
      </c>
      <c r="G1439" s="912" t="s">
        <v>3464</v>
      </c>
      <c r="H1439" s="912" t="s">
        <v>1028</v>
      </c>
      <c r="I1439" s="912"/>
      <c r="J1439" s="912" t="s">
        <v>1412</v>
      </c>
      <c r="K1439" s="946"/>
      <c r="L1439" s="914">
        <v>3</v>
      </c>
      <c r="M1439" s="947" t="s">
        <v>3427</v>
      </c>
      <c r="N1439" s="914" t="s">
        <v>3465</v>
      </c>
      <c r="O1439" s="914">
        <v>6</v>
      </c>
      <c r="P1439" s="947" t="s">
        <v>3429</v>
      </c>
    </row>
    <row r="1440" spans="1:16" x14ac:dyDescent="0.2">
      <c r="A1440" s="912" t="s">
        <v>3215</v>
      </c>
      <c r="B1440" s="912" t="s">
        <v>3216</v>
      </c>
      <c r="C1440" s="912" t="s">
        <v>80</v>
      </c>
      <c r="D1440" s="912"/>
      <c r="E1440" s="914" t="s">
        <v>3425</v>
      </c>
      <c r="F1440" s="914">
        <v>30762598</v>
      </c>
      <c r="G1440" s="912" t="s">
        <v>3466</v>
      </c>
      <c r="H1440" s="912" t="s">
        <v>1028</v>
      </c>
      <c r="I1440" s="912"/>
      <c r="J1440" s="912" t="s">
        <v>1412</v>
      </c>
      <c r="K1440" s="946"/>
      <c r="L1440" s="914">
        <v>3</v>
      </c>
      <c r="M1440" s="947" t="s">
        <v>3427</v>
      </c>
      <c r="N1440" s="914" t="s">
        <v>3467</v>
      </c>
      <c r="O1440" s="914">
        <v>6</v>
      </c>
      <c r="P1440" s="947" t="s">
        <v>3429</v>
      </c>
    </row>
    <row r="1441" spans="1:16" x14ac:dyDescent="0.2">
      <c r="A1441" s="912" t="s">
        <v>3215</v>
      </c>
      <c r="B1441" s="912" t="s">
        <v>3216</v>
      </c>
      <c r="C1441" s="912" t="s">
        <v>80</v>
      </c>
      <c r="D1441" s="912"/>
      <c r="E1441" s="914" t="s">
        <v>3468</v>
      </c>
      <c r="F1441" s="914">
        <v>47523288</v>
      </c>
      <c r="G1441" s="912" t="s">
        <v>3469</v>
      </c>
      <c r="H1441" s="912" t="s">
        <v>1594</v>
      </c>
      <c r="I1441" s="912"/>
      <c r="J1441" s="912" t="s">
        <v>940</v>
      </c>
      <c r="K1441" s="946"/>
      <c r="L1441" s="914">
        <v>3</v>
      </c>
      <c r="M1441" s="947" t="s">
        <v>3429</v>
      </c>
      <c r="N1441" s="914" t="s">
        <v>3470</v>
      </c>
      <c r="O1441" s="914">
        <v>6</v>
      </c>
      <c r="P1441" s="947" t="s">
        <v>3471</v>
      </c>
    </row>
    <row r="1442" spans="1:16" x14ac:dyDescent="0.2">
      <c r="A1442" s="912" t="s">
        <v>3215</v>
      </c>
      <c r="B1442" s="912" t="s">
        <v>3216</v>
      </c>
      <c r="C1442" s="912" t="s">
        <v>80</v>
      </c>
      <c r="D1442" s="912"/>
      <c r="E1442" s="914" t="s">
        <v>3468</v>
      </c>
      <c r="F1442" s="914">
        <v>48212927</v>
      </c>
      <c r="G1442" s="912" t="s">
        <v>3472</v>
      </c>
      <c r="H1442" s="912" t="s">
        <v>2259</v>
      </c>
      <c r="I1442" s="912"/>
      <c r="J1442" s="912" t="s">
        <v>940</v>
      </c>
      <c r="K1442" s="946"/>
      <c r="L1442" s="914">
        <v>3</v>
      </c>
      <c r="M1442" s="947" t="s">
        <v>3429</v>
      </c>
      <c r="N1442" s="914" t="s">
        <v>3473</v>
      </c>
      <c r="O1442" s="914">
        <v>6</v>
      </c>
      <c r="P1442" s="947" t="s">
        <v>3471</v>
      </c>
    </row>
    <row r="1443" spans="1:16" x14ac:dyDescent="0.2">
      <c r="A1443" s="912" t="s">
        <v>3215</v>
      </c>
      <c r="B1443" s="912" t="s">
        <v>3216</v>
      </c>
      <c r="C1443" s="912" t="s">
        <v>80</v>
      </c>
      <c r="D1443" s="912"/>
      <c r="E1443" s="914" t="s">
        <v>3474</v>
      </c>
      <c r="F1443" s="914">
        <v>47228150</v>
      </c>
      <c r="G1443" s="912" t="s">
        <v>3475</v>
      </c>
      <c r="H1443" s="912" t="s">
        <v>1175</v>
      </c>
      <c r="I1443" s="912"/>
      <c r="J1443" s="912" t="s">
        <v>940</v>
      </c>
      <c r="K1443" s="946"/>
      <c r="L1443" s="914">
        <v>3</v>
      </c>
      <c r="M1443" s="947" t="s">
        <v>3471</v>
      </c>
      <c r="N1443" s="914" t="s">
        <v>3476</v>
      </c>
      <c r="O1443" s="914">
        <v>6</v>
      </c>
      <c r="P1443" s="947" t="s">
        <v>3477</v>
      </c>
    </row>
    <row r="1444" spans="1:16" x14ac:dyDescent="0.2">
      <c r="A1444" s="912" t="s">
        <v>3215</v>
      </c>
      <c r="B1444" s="912" t="s">
        <v>3216</v>
      </c>
      <c r="C1444" s="912" t="s">
        <v>80</v>
      </c>
      <c r="D1444" s="912"/>
      <c r="E1444" s="914" t="s">
        <v>3468</v>
      </c>
      <c r="F1444" s="914">
        <v>40605389</v>
      </c>
      <c r="G1444" s="912" t="s">
        <v>3478</v>
      </c>
      <c r="H1444" s="912" t="s">
        <v>1594</v>
      </c>
      <c r="I1444" s="912"/>
      <c r="J1444" s="912" t="s">
        <v>940</v>
      </c>
      <c r="K1444" s="946"/>
      <c r="L1444" s="914">
        <v>2</v>
      </c>
      <c r="M1444" s="947" t="s">
        <v>3474</v>
      </c>
      <c r="N1444" s="914" t="s">
        <v>3479</v>
      </c>
      <c r="O1444" s="914">
        <v>6</v>
      </c>
      <c r="P1444" s="947" t="s">
        <v>3471</v>
      </c>
    </row>
    <row r="1445" spans="1:16" x14ac:dyDescent="0.2">
      <c r="A1445" s="912" t="s">
        <v>3215</v>
      </c>
      <c r="B1445" s="912" t="s">
        <v>3216</v>
      </c>
      <c r="C1445" s="912" t="s">
        <v>80</v>
      </c>
      <c r="D1445" s="912"/>
      <c r="E1445" s="914" t="s">
        <v>3330</v>
      </c>
      <c r="F1445" s="914">
        <v>45036036</v>
      </c>
      <c r="G1445" s="912" t="s">
        <v>3480</v>
      </c>
      <c r="H1445" s="912" t="s">
        <v>982</v>
      </c>
      <c r="I1445" s="912"/>
      <c r="J1445" s="912" t="s">
        <v>1412</v>
      </c>
      <c r="K1445" s="946"/>
      <c r="L1445" s="914">
        <v>12</v>
      </c>
      <c r="M1445" s="947" t="s">
        <v>3293</v>
      </c>
      <c r="N1445" s="914" t="s">
        <v>3481</v>
      </c>
      <c r="O1445" s="914">
        <v>6</v>
      </c>
      <c r="P1445" s="947" t="s">
        <v>3334</v>
      </c>
    </row>
    <row r="1446" spans="1:16" x14ac:dyDescent="0.2">
      <c r="A1446" s="912" t="s">
        <v>3215</v>
      </c>
      <c r="B1446" s="912" t="s">
        <v>3216</v>
      </c>
      <c r="C1446" s="912" t="s">
        <v>80</v>
      </c>
      <c r="D1446" s="912"/>
      <c r="E1446" s="914" t="s">
        <v>3482</v>
      </c>
      <c r="F1446" s="914">
        <v>43834305</v>
      </c>
      <c r="G1446" s="912" t="s">
        <v>3483</v>
      </c>
      <c r="H1446" s="912" t="s">
        <v>1028</v>
      </c>
      <c r="I1446" s="912"/>
      <c r="J1446" s="912" t="s">
        <v>1412</v>
      </c>
      <c r="K1446" s="946"/>
      <c r="L1446" s="914">
        <v>4</v>
      </c>
      <c r="M1446" s="947" t="s">
        <v>3484</v>
      </c>
      <c r="N1446" s="914" t="s">
        <v>3485</v>
      </c>
      <c r="O1446" s="914">
        <v>6</v>
      </c>
      <c r="P1446" s="947" t="s">
        <v>3486</v>
      </c>
    </row>
    <row r="1447" spans="1:16" x14ac:dyDescent="0.2">
      <c r="A1447" s="912" t="s">
        <v>3215</v>
      </c>
      <c r="B1447" s="912" t="s">
        <v>3216</v>
      </c>
      <c r="C1447" s="912" t="s">
        <v>80</v>
      </c>
      <c r="D1447" s="912"/>
      <c r="E1447" s="914" t="s">
        <v>3434</v>
      </c>
      <c r="F1447" s="914">
        <v>46403906</v>
      </c>
      <c r="G1447" s="912" t="s">
        <v>3487</v>
      </c>
      <c r="H1447" s="912" t="s">
        <v>1634</v>
      </c>
      <c r="I1447" s="912"/>
      <c r="J1447" s="912" t="s">
        <v>940</v>
      </c>
      <c r="K1447" s="946"/>
      <c r="L1447" s="914">
        <v>7</v>
      </c>
      <c r="M1447" s="947" t="s">
        <v>3436</v>
      </c>
      <c r="N1447" s="914" t="s">
        <v>3488</v>
      </c>
      <c r="O1447" s="914">
        <v>6</v>
      </c>
      <c r="P1447" s="947" t="s">
        <v>3438</v>
      </c>
    </row>
    <row r="1448" spans="1:16" x14ac:dyDescent="0.2">
      <c r="A1448" s="912" t="s">
        <v>3215</v>
      </c>
      <c r="B1448" s="912" t="s">
        <v>3216</v>
      </c>
      <c r="C1448" s="912" t="s">
        <v>80</v>
      </c>
      <c r="D1448" s="912"/>
      <c r="E1448" s="914" t="s">
        <v>3468</v>
      </c>
      <c r="F1448" s="914">
        <v>46667033</v>
      </c>
      <c r="G1448" s="912" t="s">
        <v>3489</v>
      </c>
      <c r="H1448" s="912" t="s">
        <v>1594</v>
      </c>
      <c r="I1448" s="912"/>
      <c r="J1448" s="912" t="s">
        <v>940</v>
      </c>
      <c r="K1448" s="946"/>
      <c r="L1448" s="914">
        <v>4</v>
      </c>
      <c r="M1448" s="947" t="s">
        <v>3456</v>
      </c>
      <c r="N1448" s="914" t="s">
        <v>3490</v>
      </c>
      <c r="O1448" s="914">
        <v>6</v>
      </c>
      <c r="P1448" s="947" t="s">
        <v>3471</v>
      </c>
    </row>
    <row r="1449" spans="1:16" x14ac:dyDescent="0.2">
      <c r="A1449" s="912" t="s">
        <v>3215</v>
      </c>
      <c r="B1449" s="912" t="s">
        <v>3216</v>
      </c>
      <c r="C1449" s="912" t="s">
        <v>80</v>
      </c>
      <c r="D1449" s="912"/>
      <c r="E1449" s="914" t="s">
        <v>3330</v>
      </c>
      <c r="F1449" s="914">
        <v>77206376</v>
      </c>
      <c r="G1449" s="912" t="s">
        <v>3491</v>
      </c>
      <c r="H1449" s="912" t="s">
        <v>1784</v>
      </c>
      <c r="I1449" s="912"/>
      <c r="J1449" s="912" t="s">
        <v>1412</v>
      </c>
      <c r="K1449" s="946"/>
      <c r="L1449" s="914">
        <v>12</v>
      </c>
      <c r="M1449" s="947" t="s">
        <v>3293</v>
      </c>
      <c r="N1449" s="914" t="s">
        <v>3492</v>
      </c>
      <c r="O1449" s="914">
        <v>6</v>
      </c>
      <c r="P1449" s="947" t="s">
        <v>3334</v>
      </c>
    </row>
    <row r="1450" spans="1:16" x14ac:dyDescent="0.2">
      <c r="A1450" s="912" t="s">
        <v>3215</v>
      </c>
      <c r="B1450" s="912" t="s">
        <v>3216</v>
      </c>
      <c r="C1450" s="912" t="s">
        <v>80</v>
      </c>
      <c r="D1450" s="912"/>
      <c r="E1450" s="914" t="s">
        <v>3330</v>
      </c>
      <c r="F1450" s="914">
        <v>30562639</v>
      </c>
      <c r="G1450" s="912" t="s">
        <v>3493</v>
      </c>
      <c r="H1450" s="912" t="s">
        <v>1784</v>
      </c>
      <c r="I1450" s="912"/>
      <c r="J1450" s="912" t="s">
        <v>1412</v>
      </c>
      <c r="K1450" s="946"/>
      <c r="L1450" s="914">
        <v>12</v>
      </c>
      <c r="M1450" s="947" t="s">
        <v>3293</v>
      </c>
      <c r="N1450" s="914" t="s">
        <v>3494</v>
      </c>
      <c r="O1450" s="914">
        <v>6</v>
      </c>
      <c r="P1450" s="947" t="s">
        <v>3334</v>
      </c>
    </row>
    <row r="1451" spans="1:16" x14ac:dyDescent="0.2">
      <c r="A1451" s="912" t="s">
        <v>3215</v>
      </c>
      <c r="B1451" s="912" t="s">
        <v>3216</v>
      </c>
      <c r="C1451" s="912" t="s">
        <v>80</v>
      </c>
      <c r="D1451" s="912"/>
      <c r="E1451" s="914" t="s">
        <v>3330</v>
      </c>
      <c r="F1451" s="914">
        <v>42162686</v>
      </c>
      <c r="G1451" s="912" t="s">
        <v>3495</v>
      </c>
      <c r="H1451" s="912" t="s">
        <v>1784</v>
      </c>
      <c r="I1451" s="912"/>
      <c r="J1451" s="912" t="s">
        <v>1412</v>
      </c>
      <c r="K1451" s="946"/>
      <c r="L1451" s="914">
        <v>12</v>
      </c>
      <c r="M1451" s="947" t="s">
        <v>3293</v>
      </c>
      <c r="N1451" s="914" t="s">
        <v>3496</v>
      </c>
      <c r="O1451" s="914">
        <v>6</v>
      </c>
      <c r="P1451" s="947" t="s">
        <v>3334</v>
      </c>
    </row>
    <row r="1452" spans="1:16" x14ac:dyDescent="0.2">
      <c r="A1452" s="912" t="s">
        <v>3215</v>
      </c>
      <c r="B1452" s="912" t="s">
        <v>3216</v>
      </c>
      <c r="C1452" s="912" t="s">
        <v>80</v>
      </c>
      <c r="D1452" s="912"/>
      <c r="E1452" s="914" t="s">
        <v>3217</v>
      </c>
      <c r="F1452" s="914">
        <v>44470144</v>
      </c>
      <c r="G1452" s="912" t="s">
        <v>3497</v>
      </c>
      <c r="H1452" s="912" t="s">
        <v>1594</v>
      </c>
      <c r="I1452" s="912"/>
      <c r="J1452" s="912" t="s">
        <v>940</v>
      </c>
      <c r="K1452" s="946"/>
      <c r="L1452" s="914">
        <v>12</v>
      </c>
      <c r="M1452" s="947" t="s">
        <v>3219</v>
      </c>
      <c r="N1452" s="914" t="s">
        <v>3498</v>
      </c>
      <c r="O1452" s="914">
        <v>6</v>
      </c>
      <c r="P1452" s="947" t="s">
        <v>3221</v>
      </c>
    </row>
    <row r="1453" spans="1:16" x14ac:dyDescent="0.2">
      <c r="A1453" s="912" t="s">
        <v>3215</v>
      </c>
      <c r="B1453" s="912" t="s">
        <v>3216</v>
      </c>
      <c r="C1453" s="912" t="s">
        <v>80</v>
      </c>
      <c r="D1453" s="912"/>
      <c r="E1453" s="914" t="s">
        <v>3434</v>
      </c>
      <c r="F1453" s="914">
        <v>29305799</v>
      </c>
      <c r="G1453" s="912" t="s">
        <v>3499</v>
      </c>
      <c r="H1453" s="912" t="s">
        <v>1634</v>
      </c>
      <c r="I1453" s="912"/>
      <c r="J1453" s="912" t="s">
        <v>940</v>
      </c>
      <c r="K1453" s="946"/>
      <c r="L1453" s="914">
        <v>12</v>
      </c>
      <c r="M1453" s="947" t="s">
        <v>3441</v>
      </c>
      <c r="N1453" s="914" t="s">
        <v>3500</v>
      </c>
      <c r="O1453" s="914">
        <v>6</v>
      </c>
      <c r="P1453" s="947" t="s">
        <v>3438</v>
      </c>
    </row>
    <row r="1454" spans="1:16" x14ac:dyDescent="0.2">
      <c r="A1454" s="912" t="s">
        <v>3215</v>
      </c>
      <c r="B1454" s="912" t="s">
        <v>3216</v>
      </c>
      <c r="C1454" s="912" t="s">
        <v>80</v>
      </c>
      <c r="D1454" s="912"/>
      <c r="E1454" s="914" t="s">
        <v>3217</v>
      </c>
      <c r="F1454" s="914">
        <v>46840273</v>
      </c>
      <c r="G1454" s="912" t="s">
        <v>3501</v>
      </c>
      <c r="H1454" s="912" t="s">
        <v>2259</v>
      </c>
      <c r="I1454" s="912"/>
      <c r="J1454" s="912" t="s">
        <v>940</v>
      </c>
      <c r="K1454" s="946"/>
      <c r="L1454" s="914">
        <v>3</v>
      </c>
      <c r="M1454" s="947" t="s">
        <v>3502</v>
      </c>
      <c r="N1454" s="914" t="s">
        <v>3503</v>
      </c>
      <c r="O1454" s="914">
        <v>6</v>
      </c>
      <c r="P1454" s="947" t="s">
        <v>3221</v>
      </c>
    </row>
    <row r="1455" spans="1:16" x14ac:dyDescent="0.2">
      <c r="A1455" s="912" t="s">
        <v>3215</v>
      </c>
      <c r="B1455" s="912" t="s">
        <v>3216</v>
      </c>
      <c r="C1455" s="912" t="s">
        <v>80</v>
      </c>
      <c r="D1455" s="912"/>
      <c r="E1455" s="914" t="s">
        <v>3468</v>
      </c>
      <c r="F1455" s="914">
        <v>29602618</v>
      </c>
      <c r="G1455" s="912" t="s">
        <v>3504</v>
      </c>
      <c r="H1455" s="912" t="s">
        <v>2259</v>
      </c>
      <c r="I1455" s="912"/>
      <c r="J1455" s="912" t="s">
        <v>940</v>
      </c>
      <c r="K1455" s="946"/>
      <c r="L1455" s="914">
        <v>3</v>
      </c>
      <c r="M1455" s="947" t="s">
        <v>3429</v>
      </c>
      <c r="N1455" s="914" t="s">
        <v>3505</v>
      </c>
      <c r="O1455" s="914">
        <v>6</v>
      </c>
      <c r="P1455" s="947" t="s">
        <v>3471</v>
      </c>
    </row>
    <row r="1456" spans="1:16" x14ac:dyDescent="0.2">
      <c r="A1456" s="912" t="s">
        <v>3215</v>
      </c>
      <c r="B1456" s="912" t="s">
        <v>3216</v>
      </c>
      <c r="C1456" s="912" t="s">
        <v>80</v>
      </c>
      <c r="D1456" s="912"/>
      <c r="E1456" s="914" t="s">
        <v>3474</v>
      </c>
      <c r="F1456" s="914">
        <v>72237510</v>
      </c>
      <c r="G1456" s="912" t="s">
        <v>3506</v>
      </c>
      <c r="H1456" s="912" t="s">
        <v>1175</v>
      </c>
      <c r="I1456" s="912"/>
      <c r="J1456" s="912" t="s">
        <v>940</v>
      </c>
      <c r="K1456" s="946"/>
      <c r="L1456" s="914">
        <v>2</v>
      </c>
      <c r="M1456" s="947" t="s">
        <v>3456</v>
      </c>
      <c r="N1456" s="914" t="s">
        <v>3507</v>
      </c>
      <c r="O1456" s="914">
        <v>6</v>
      </c>
      <c r="P1456" s="947" t="s">
        <v>3477</v>
      </c>
    </row>
    <row r="1457" spans="1:16" x14ac:dyDescent="0.2">
      <c r="A1457" s="912" t="s">
        <v>3215</v>
      </c>
      <c r="B1457" s="912" t="s">
        <v>3216</v>
      </c>
      <c r="C1457" s="912" t="s">
        <v>80</v>
      </c>
      <c r="D1457" s="912"/>
      <c r="E1457" s="914" t="s">
        <v>3330</v>
      </c>
      <c r="F1457" s="914">
        <v>72391098</v>
      </c>
      <c r="G1457" s="912" t="s">
        <v>3508</v>
      </c>
      <c r="H1457" s="912" t="s">
        <v>1784</v>
      </c>
      <c r="I1457" s="912"/>
      <c r="J1457" s="912" t="s">
        <v>1412</v>
      </c>
      <c r="K1457" s="946"/>
      <c r="L1457" s="914">
        <v>12</v>
      </c>
      <c r="M1457" s="947" t="s">
        <v>3293</v>
      </c>
      <c r="N1457" s="914" t="s">
        <v>3509</v>
      </c>
      <c r="O1457" s="914">
        <v>6</v>
      </c>
      <c r="P1457" s="947" t="s">
        <v>3334</v>
      </c>
    </row>
    <row r="1458" spans="1:16" x14ac:dyDescent="0.2">
      <c r="A1458" s="912" t="s">
        <v>3215</v>
      </c>
      <c r="B1458" s="912" t="s">
        <v>3216</v>
      </c>
      <c r="C1458" s="912" t="s">
        <v>80</v>
      </c>
      <c r="D1458" s="912"/>
      <c r="E1458" s="914" t="s">
        <v>3434</v>
      </c>
      <c r="F1458" s="914">
        <v>29728684</v>
      </c>
      <c r="G1458" s="912" t="s">
        <v>3510</v>
      </c>
      <c r="H1458" s="912" t="s">
        <v>1634</v>
      </c>
      <c r="I1458" s="912"/>
      <c r="J1458" s="912" t="s">
        <v>940</v>
      </c>
      <c r="K1458" s="946"/>
      <c r="L1458" s="914">
        <v>12</v>
      </c>
      <c r="M1458" s="947" t="s">
        <v>3441</v>
      </c>
      <c r="N1458" s="914" t="s">
        <v>3511</v>
      </c>
      <c r="O1458" s="914">
        <v>6</v>
      </c>
      <c r="P1458" s="947" t="s">
        <v>3438</v>
      </c>
    </row>
    <row r="1459" spans="1:16" x14ac:dyDescent="0.2">
      <c r="A1459" s="912" t="s">
        <v>3215</v>
      </c>
      <c r="B1459" s="912" t="s">
        <v>3216</v>
      </c>
      <c r="C1459" s="912" t="s">
        <v>80</v>
      </c>
      <c r="D1459" s="912"/>
      <c r="E1459" s="914" t="s">
        <v>3249</v>
      </c>
      <c r="F1459" s="914">
        <v>46193569</v>
      </c>
      <c r="G1459" s="912" t="s">
        <v>3512</v>
      </c>
      <c r="H1459" s="912" t="s">
        <v>1626</v>
      </c>
      <c r="I1459" s="912"/>
      <c r="J1459" s="912" t="s">
        <v>940</v>
      </c>
      <c r="K1459" s="946"/>
      <c r="L1459" s="914">
        <v>12</v>
      </c>
      <c r="M1459" s="947" t="s">
        <v>3251</v>
      </c>
      <c r="N1459" s="914" t="s">
        <v>3513</v>
      </c>
      <c r="O1459" s="914">
        <v>6</v>
      </c>
      <c r="P1459" s="947" t="s">
        <v>3252</v>
      </c>
    </row>
    <row r="1460" spans="1:16" x14ac:dyDescent="0.2">
      <c r="A1460" s="912" t="s">
        <v>3215</v>
      </c>
      <c r="B1460" s="912" t="s">
        <v>3216</v>
      </c>
      <c r="C1460" s="912" t="s">
        <v>80</v>
      </c>
      <c r="D1460" s="912"/>
      <c r="E1460" s="914" t="s">
        <v>3217</v>
      </c>
      <c r="F1460" s="914">
        <v>47511973</v>
      </c>
      <c r="G1460" s="912" t="s">
        <v>3514</v>
      </c>
      <c r="H1460" s="912" t="s">
        <v>1594</v>
      </c>
      <c r="I1460" s="912"/>
      <c r="J1460" s="912" t="s">
        <v>940</v>
      </c>
      <c r="K1460" s="946"/>
      <c r="L1460" s="914">
        <v>5</v>
      </c>
      <c r="M1460" s="947" t="s">
        <v>3515</v>
      </c>
      <c r="N1460" s="946"/>
      <c r="O1460" s="914">
        <v>6</v>
      </c>
      <c r="P1460" s="947" t="s">
        <v>3221</v>
      </c>
    </row>
    <row r="1461" spans="1:16" x14ac:dyDescent="0.2">
      <c r="A1461" s="912" t="s">
        <v>3215</v>
      </c>
      <c r="B1461" s="912" t="s">
        <v>3216</v>
      </c>
      <c r="C1461" s="912" t="s">
        <v>80</v>
      </c>
      <c r="D1461" s="912"/>
      <c r="E1461" s="914" t="s">
        <v>3516</v>
      </c>
      <c r="F1461" s="914">
        <v>76398394</v>
      </c>
      <c r="G1461" s="912" t="s">
        <v>3517</v>
      </c>
      <c r="H1461" s="912" t="s">
        <v>1666</v>
      </c>
      <c r="I1461" s="912"/>
      <c r="J1461" s="912" t="s">
        <v>1412</v>
      </c>
      <c r="K1461" s="946"/>
      <c r="L1461" s="914">
        <v>12</v>
      </c>
      <c r="M1461" s="947" t="s">
        <v>3518</v>
      </c>
      <c r="N1461" s="914" t="s">
        <v>3519</v>
      </c>
      <c r="O1461" s="914">
        <v>6</v>
      </c>
      <c r="P1461" s="947" t="s">
        <v>3520</v>
      </c>
    </row>
    <row r="1462" spans="1:16" x14ac:dyDescent="0.2">
      <c r="A1462" s="912" t="s">
        <v>3215</v>
      </c>
      <c r="B1462" s="912" t="s">
        <v>3216</v>
      </c>
      <c r="C1462" s="912" t="s">
        <v>80</v>
      </c>
      <c r="D1462" s="912"/>
      <c r="E1462" s="914" t="s">
        <v>3434</v>
      </c>
      <c r="F1462" s="914">
        <v>46538557</v>
      </c>
      <c r="G1462" s="912" t="s">
        <v>3521</v>
      </c>
      <c r="H1462" s="912" t="s">
        <v>1634</v>
      </c>
      <c r="I1462" s="912"/>
      <c r="J1462" s="912" t="s">
        <v>940</v>
      </c>
      <c r="K1462" s="946"/>
      <c r="L1462" s="914">
        <v>12</v>
      </c>
      <c r="M1462" s="947" t="s">
        <v>3441</v>
      </c>
      <c r="N1462" s="914" t="s">
        <v>3522</v>
      </c>
      <c r="O1462" s="914">
        <v>6</v>
      </c>
      <c r="P1462" s="947" t="s">
        <v>3438</v>
      </c>
    </row>
    <row r="1463" spans="1:16" x14ac:dyDescent="0.2">
      <c r="A1463" s="912" t="s">
        <v>3215</v>
      </c>
      <c r="B1463" s="912" t="s">
        <v>3216</v>
      </c>
      <c r="C1463" s="912" t="s">
        <v>80</v>
      </c>
      <c r="D1463" s="912"/>
      <c r="E1463" s="914" t="s">
        <v>3330</v>
      </c>
      <c r="F1463" s="914">
        <v>41136380</v>
      </c>
      <c r="G1463" s="912" t="s">
        <v>3523</v>
      </c>
      <c r="H1463" s="912" t="s">
        <v>1784</v>
      </c>
      <c r="I1463" s="912"/>
      <c r="J1463" s="912" t="s">
        <v>1412</v>
      </c>
      <c r="K1463" s="946"/>
      <c r="L1463" s="914">
        <v>12</v>
      </c>
      <c r="M1463" s="947" t="s">
        <v>3293</v>
      </c>
      <c r="N1463" s="914" t="s">
        <v>3524</v>
      </c>
      <c r="O1463" s="914">
        <v>6</v>
      </c>
      <c r="P1463" s="947" t="s">
        <v>3334</v>
      </c>
    </row>
    <row r="1464" spans="1:16" x14ac:dyDescent="0.2">
      <c r="A1464" s="912" t="s">
        <v>3215</v>
      </c>
      <c r="B1464" s="912" t="s">
        <v>3216</v>
      </c>
      <c r="C1464" s="912" t="s">
        <v>80</v>
      </c>
      <c r="D1464" s="912"/>
      <c r="E1464" s="914" t="s">
        <v>3330</v>
      </c>
      <c r="F1464" s="914">
        <v>70873825</v>
      </c>
      <c r="G1464" s="912" t="s">
        <v>3525</v>
      </c>
      <c r="H1464" s="912" t="s">
        <v>1784</v>
      </c>
      <c r="I1464" s="912"/>
      <c r="J1464" s="912" t="s">
        <v>1412</v>
      </c>
      <c r="K1464" s="946"/>
      <c r="L1464" s="914">
        <v>12</v>
      </c>
      <c r="M1464" s="947" t="s">
        <v>3293</v>
      </c>
      <c r="N1464" s="914" t="s">
        <v>3526</v>
      </c>
      <c r="O1464" s="914">
        <v>6</v>
      </c>
      <c r="P1464" s="947" t="s">
        <v>3334</v>
      </c>
    </row>
    <row r="1465" spans="1:16" x14ac:dyDescent="0.2">
      <c r="A1465" s="912" t="s">
        <v>3215</v>
      </c>
      <c r="B1465" s="912" t="s">
        <v>3216</v>
      </c>
      <c r="C1465" s="912" t="s">
        <v>80</v>
      </c>
      <c r="D1465" s="912"/>
      <c r="E1465" s="914" t="s">
        <v>3434</v>
      </c>
      <c r="F1465" s="914">
        <v>46172331</v>
      </c>
      <c r="G1465" s="912" t="s">
        <v>3527</v>
      </c>
      <c r="H1465" s="912" t="s">
        <v>1634</v>
      </c>
      <c r="I1465" s="912"/>
      <c r="J1465" s="912" t="s">
        <v>940</v>
      </c>
      <c r="K1465" s="946"/>
      <c r="L1465" s="914">
        <v>12</v>
      </c>
      <c r="M1465" s="947" t="s">
        <v>3441</v>
      </c>
      <c r="N1465" s="914" t="s">
        <v>3528</v>
      </c>
      <c r="O1465" s="914">
        <v>6</v>
      </c>
      <c r="P1465" s="947" t="s">
        <v>3438</v>
      </c>
    </row>
    <row r="1466" spans="1:16" x14ac:dyDescent="0.2">
      <c r="A1466" s="912" t="s">
        <v>3215</v>
      </c>
      <c r="B1466" s="912" t="s">
        <v>3216</v>
      </c>
      <c r="C1466" s="912" t="s">
        <v>80</v>
      </c>
      <c r="D1466" s="912"/>
      <c r="E1466" s="914" t="s">
        <v>3330</v>
      </c>
      <c r="F1466" s="914">
        <v>45435767</v>
      </c>
      <c r="G1466" s="912" t="s">
        <v>3529</v>
      </c>
      <c r="H1466" s="912" t="s">
        <v>1028</v>
      </c>
      <c r="I1466" s="912"/>
      <c r="J1466" s="912" t="s">
        <v>1412</v>
      </c>
      <c r="K1466" s="946"/>
      <c r="L1466" s="914">
        <v>7</v>
      </c>
      <c r="M1466" s="947" t="s">
        <v>3452</v>
      </c>
      <c r="N1466" s="914" t="s">
        <v>3530</v>
      </c>
      <c r="O1466" s="914">
        <v>6</v>
      </c>
      <c r="P1466" s="947" t="s">
        <v>3334</v>
      </c>
    </row>
    <row r="1467" spans="1:16" x14ac:dyDescent="0.2">
      <c r="A1467" s="912" t="s">
        <v>3215</v>
      </c>
      <c r="B1467" s="912" t="s">
        <v>3216</v>
      </c>
      <c r="C1467" s="912" t="s">
        <v>80</v>
      </c>
      <c r="D1467" s="912"/>
      <c r="E1467" s="914" t="s">
        <v>3531</v>
      </c>
      <c r="F1467" s="914">
        <v>43449935</v>
      </c>
      <c r="G1467" s="912" t="s">
        <v>3532</v>
      </c>
      <c r="H1467" s="912" t="s">
        <v>1626</v>
      </c>
      <c r="I1467" s="912"/>
      <c r="J1467" s="912" t="s">
        <v>940</v>
      </c>
      <c r="K1467" s="946"/>
      <c r="L1467" s="914">
        <v>12</v>
      </c>
      <c r="M1467" s="947" t="s">
        <v>3533</v>
      </c>
      <c r="N1467" s="914" t="s">
        <v>3534</v>
      </c>
      <c r="O1467" s="914">
        <v>6</v>
      </c>
      <c r="P1467" s="947" t="s">
        <v>3535</v>
      </c>
    </row>
    <row r="1468" spans="1:16" x14ac:dyDescent="0.2">
      <c r="A1468" s="912" t="s">
        <v>3215</v>
      </c>
      <c r="B1468" s="912" t="s">
        <v>3216</v>
      </c>
      <c r="C1468" s="912" t="s">
        <v>80</v>
      </c>
      <c r="D1468" s="912"/>
      <c r="E1468" s="914" t="s">
        <v>3434</v>
      </c>
      <c r="F1468" s="914">
        <v>42162731</v>
      </c>
      <c r="G1468" s="912" t="s">
        <v>3536</v>
      </c>
      <c r="H1468" s="912" t="s">
        <v>1594</v>
      </c>
      <c r="I1468" s="912"/>
      <c r="J1468" s="912" t="s">
        <v>940</v>
      </c>
      <c r="K1468" s="946"/>
      <c r="L1468" s="914">
        <v>3</v>
      </c>
      <c r="M1468" s="947" t="s">
        <v>3537</v>
      </c>
      <c r="N1468" s="914" t="s">
        <v>3538</v>
      </c>
      <c r="O1468" s="914">
        <v>6</v>
      </c>
      <c r="P1468" s="947" t="s">
        <v>3438</v>
      </c>
    </row>
    <row r="1469" spans="1:16" x14ac:dyDescent="0.2">
      <c r="A1469" s="912" t="s">
        <v>3215</v>
      </c>
      <c r="B1469" s="912" t="s">
        <v>3216</v>
      </c>
      <c r="C1469" s="912" t="s">
        <v>80</v>
      </c>
      <c r="D1469" s="912"/>
      <c r="E1469" s="914" t="s">
        <v>3330</v>
      </c>
      <c r="F1469" s="914">
        <v>45723095</v>
      </c>
      <c r="G1469" s="912" t="s">
        <v>3539</v>
      </c>
      <c r="H1469" s="912" t="s">
        <v>3540</v>
      </c>
      <c r="I1469" s="912"/>
      <c r="J1469" s="912" t="s">
        <v>1412</v>
      </c>
      <c r="K1469" s="946"/>
      <c r="L1469" s="914">
        <v>12</v>
      </c>
      <c r="M1469" s="947" t="s">
        <v>3293</v>
      </c>
      <c r="N1469" s="948" t="s">
        <v>3541</v>
      </c>
      <c r="O1469" s="914">
        <v>6</v>
      </c>
      <c r="P1469" s="947" t="s">
        <v>3334</v>
      </c>
    </row>
    <row r="1470" spans="1:16" x14ac:dyDescent="0.2">
      <c r="A1470" s="912" t="s">
        <v>3215</v>
      </c>
      <c r="B1470" s="912" t="s">
        <v>3216</v>
      </c>
      <c r="C1470" s="912" t="s">
        <v>80</v>
      </c>
      <c r="D1470" s="912"/>
      <c r="E1470" s="914" t="s">
        <v>3330</v>
      </c>
      <c r="F1470" s="914">
        <v>30563826</v>
      </c>
      <c r="G1470" s="912" t="s">
        <v>3542</v>
      </c>
      <c r="H1470" s="912" t="s">
        <v>1784</v>
      </c>
      <c r="I1470" s="912"/>
      <c r="J1470" s="912" t="s">
        <v>1412</v>
      </c>
      <c r="K1470" s="946"/>
      <c r="L1470" s="949"/>
      <c r="M1470" s="947" t="s">
        <v>3543</v>
      </c>
      <c r="N1470" s="914" t="s">
        <v>3544</v>
      </c>
      <c r="O1470" s="914">
        <v>5</v>
      </c>
      <c r="P1470" s="947" t="s">
        <v>3427</v>
      </c>
    </row>
    <row r="1471" spans="1:16" x14ac:dyDescent="0.2">
      <c r="A1471" s="912" t="s">
        <v>3215</v>
      </c>
      <c r="B1471" s="912" t="s">
        <v>3216</v>
      </c>
      <c r="C1471" s="912" t="s">
        <v>80</v>
      </c>
      <c r="D1471" s="912"/>
      <c r="E1471" s="914" t="s">
        <v>3330</v>
      </c>
      <c r="F1471" s="914">
        <v>40764576</v>
      </c>
      <c r="G1471" s="912" t="s">
        <v>3545</v>
      </c>
      <c r="H1471" s="912" t="s">
        <v>1784</v>
      </c>
      <c r="I1471" s="912"/>
      <c r="J1471" s="912" t="s">
        <v>1412</v>
      </c>
      <c r="K1471" s="946"/>
      <c r="L1471" s="949"/>
      <c r="M1471" s="947" t="s">
        <v>3543</v>
      </c>
      <c r="N1471" s="914" t="s">
        <v>3546</v>
      </c>
      <c r="O1471" s="914">
        <v>5</v>
      </c>
      <c r="P1471" s="947" t="s">
        <v>3427</v>
      </c>
    </row>
    <row r="1472" spans="1:16" x14ac:dyDescent="0.2">
      <c r="A1472" s="912" t="s">
        <v>3215</v>
      </c>
      <c r="B1472" s="912" t="s">
        <v>3216</v>
      </c>
      <c r="C1472" s="912" t="s">
        <v>80</v>
      </c>
      <c r="D1472" s="912"/>
      <c r="E1472" s="914" t="s">
        <v>3330</v>
      </c>
      <c r="F1472" s="914">
        <v>40446159</v>
      </c>
      <c r="G1472" s="912" t="s">
        <v>3547</v>
      </c>
      <c r="H1472" s="912" t="s">
        <v>1666</v>
      </c>
      <c r="I1472" s="912"/>
      <c r="J1472" s="912" t="s">
        <v>1412</v>
      </c>
      <c r="K1472" s="946"/>
      <c r="L1472" s="949"/>
      <c r="M1472" s="947" t="s">
        <v>3543</v>
      </c>
      <c r="N1472" s="914" t="s">
        <v>3548</v>
      </c>
      <c r="O1472" s="914">
        <v>5</v>
      </c>
      <c r="P1472" s="947" t="s">
        <v>3427</v>
      </c>
    </row>
    <row r="1473" spans="1:16" x14ac:dyDescent="0.2">
      <c r="A1473" s="912" t="s">
        <v>3215</v>
      </c>
      <c r="B1473" s="912" t="s">
        <v>3216</v>
      </c>
      <c r="C1473" s="912" t="s">
        <v>80</v>
      </c>
      <c r="D1473" s="912"/>
      <c r="E1473" s="914" t="s">
        <v>3434</v>
      </c>
      <c r="F1473" s="914">
        <v>46433544</v>
      </c>
      <c r="G1473" s="912" t="s">
        <v>3549</v>
      </c>
      <c r="H1473" s="912" t="s">
        <v>1634</v>
      </c>
      <c r="I1473" s="912"/>
      <c r="J1473" s="912" t="s">
        <v>940</v>
      </c>
      <c r="K1473" s="946"/>
      <c r="L1473" s="949"/>
      <c r="M1473" s="947" t="s">
        <v>3543</v>
      </c>
      <c r="N1473" s="914" t="s">
        <v>3550</v>
      </c>
      <c r="O1473" s="914">
        <v>5</v>
      </c>
      <c r="P1473" s="947" t="s">
        <v>3551</v>
      </c>
    </row>
    <row r="1474" spans="1:16" x14ac:dyDescent="0.2">
      <c r="A1474" s="912" t="s">
        <v>3215</v>
      </c>
      <c r="B1474" s="912" t="s">
        <v>3216</v>
      </c>
      <c r="C1474" s="912" t="s">
        <v>80</v>
      </c>
      <c r="D1474" s="912"/>
      <c r="E1474" s="914" t="s">
        <v>3330</v>
      </c>
      <c r="F1474" s="914">
        <v>72264707</v>
      </c>
      <c r="G1474" s="912" t="s">
        <v>3552</v>
      </c>
      <c r="H1474" s="912" t="s">
        <v>1784</v>
      </c>
      <c r="I1474" s="912"/>
      <c r="J1474" s="912" t="s">
        <v>1412</v>
      </c>
      <c r="K1474" s="946"/>
      <c r="L1474" s="949"/>
      <c r="M1474" s="947" t="s">
        <v>3543</v>
      </c>
      <c r="N1474" s="914" t="s">
        <v>3553</v>
      </c>
      <c r="O1474" s="914">
        <v>5</v>
      </c>
      <c r="P1474" s="947" t="s">
        <v>3427</v>
      </c>
    </row>
    <row r="1475" spans="1:16" x14ac:dyDescent="0.2">
      <c r="A1475" s="912" t="s">
        <v>3215</v>
      </c>
      <c r="B1475" s="912" t="s">
        <v>3216</v>
      </c>
      <c r="C1475" s="912" t="s">
        <v>80</v>
      </c>
      <c r="D1475" s="912"/>
      <c r="E1475" s="914" t="s">
        <v>3434</v>
      </c>
      <c r="F1475" s="914">
        <v>73690329</v>
      </c>
      <c r="G1475" s="912" t="s">
        <v>3554</v>
      </c>
      <c r="H1475" s="912" t="s">
        <v>1634</v>
      </c>
      <c r="I1475" s="912"/>
      <c r="J1475" s="912" t="s">
        <v>940</v>
      </c>
      <c r="K1475" s="946"/>
      <c r="L1475" s="949"/>
      <c r="M1475" s="947" t="s">
        <v>3543</v>
      </c>
      <c r="N1475" s="914" t="s">
        <v>3555</v>
      </c>
      <c r="O1475" s="914">
        <v>5</v>
      </c>
      <c r="P1475" s="947" t="s">
        <v>3551</v>
      </c>
    </row>
    <row r="1476" spans="1:16" x14ac:dyDescent="0.2">
      <c r="A1476" s="912" t="s">
        <v>3215</v>
      </c>
      <c r="B1476" s="912" t="s">
        <v>3216</v>
      </c>
      <c r="C1476" s="912" t="s">
        <v>80</v>
      </c>
      <c r="D1476" s="912"/>
      <c r="E1476" s="914" t="s">
        <v>3425</v>
      </c>
      <c r="F1476" s="914">
        <v>45037874</v>
      </c>
      <c r="G1476" s="912" t="s">
        <v>3556</v>
      </c>
      <c r="H1476" s="912" t="s">
        <v>1028</v>
      </c>
      <c r="I1476" s="912"/>
      <c r="J1476" s="912" t="s">
        <v>1412</v>
      </c>
      <c r="K1476" s="946"/>
      <c r="L1476" s="914"/>
      <c r="M1476" s="947" t="s">
        <v>3543</v>
      </c>
      <c r="N1476" s="914" t="s">
        <v>3557</v>
      </c>
      <c r="O1476" s="914">
        <v>4</v>
      </c>
      <c r="P1476" s="947" t="s">
        <v>3474</v>
      </c>
    </row>
    <row r="1477" spans="1:16" x14ac:dyDescent="0.2">
      <c r="A1477" s="912" t="s">
        <v>3215</v>
      </c>
      <c r="B1477" s="912" t="s">
        <v>3216</v>
      </c>
      <c r="C1477" s="912" t="s">
        <v>80</v>
      </c>
      <c r="D1477" s="912"/>
      <c r="E1477" s="914" t="s">
        <v>3330</v>
      </c>
      <c r="F1477" s="914">
        <v>76348838</v>
      </c>
      <c r="G1477" s="912" t="s">
        <v>3558</v>
      </c>
      <c r="H1477" s="912" t="s">
        <v>1784</v>
      </c>
      <c r="I1477" s="912"/>
      <c r="J1477" s="912" t="s">
        <v>1412</v>
      </c>
      <c r="K1477" s="946"/>
      <c r="L1477" s="949"/>
      <c r="M1477" s="947" t="s">
        <v>3543</v>
      </c>
      <c r="N1477" s="914" t="s">
        <v>3559</v>
      </c>
      <c r="O1477" s="914">
        <v>4</v>
      </c>
      <c r="P1477" s="947" t="s">
        <v>3560</v>
      </c>
    </row>
    <row r="1478" spans="1:16" x14ac:dyDescent="0.2">
      <c r="A1478" s="912" t="s">
        <v>3215</v>
      </c>
      <c r="B1478" s="912" t="s">
        <v>3216</v>
      </c>
      <c r="C1478" s="912" t="s">
        <v>80</v>
      </c>
      <c r="D1478" s="912"/>
      <c r="E1478" s="914" t="s">
        <v>3434</v>
      </c>
      <c r="F1478" s="914">
        <v>72115474</v>
      </c>
      <c r="G1478" s="912" t="s">
        <v>3561</v>
      </c>
      <c r="H1478" s="912" t="s">
        <v>1634</v>
      </c>
      <c r="I1478" s="912"/>
      <c r="J1478" s="912" t="s">
        <v>940</v>
      </c>
      <c r="K1478" s="946"/>
      <c r="L1478" s="949"/>
      <c r="M1478" s="947" t="s">
        <v>3543</v>
      </c>
      <c r="N1478" s="914" t="s">
        <v>3562</v>
      </c>
      <c r="O1478" s="914">
        <v>4</v>
      </c>
      <c r="P1478" s="947" t="s">
        <v>3563</v>
      </c>
    </row>
    <row r="1479" spans="1:16" x14ac:dyDescent="0.2">
      <c r="A1479" s="912" t="s">
        <v>3215</v>
      </c>
      <c r="B1479" s="912" t="s">
        <v>3216</v>
      </c>
      <c r="C1479" s="912" t="s">
        <v>80</v>
      </c>
      <c r="D1479" s="912"/>
      <c r="E1479" s="914" t="s">
        <v>3434</v>
      </c>
      <c r="F1479" s="914">
        <v>45340166</v>
      </c>
      <c r="G1479" s="912" t="s">
        <v>3564</v>
      </c>
      <c r="H1479" s="912" t="s">
        <v>1634</v>
      </c>
      <c r="I1479" s="912"/>
      <c r="J1479" s="912" t="s">
        <v>940</v>
      </c>
      <c r="K1479" s="946"/>
      <c r="L1479" s="949"/>
      <c r="M1479" s="947" t="s">
        <v>3543</v>
      </c>
      <c r="N1479" s="914" t="s">
        <v>3565</v>
      </c>
      <c r="O1479" s="914">
        <v>5</v>
      </c>
      <c r="P1479" s="947" t="s">
        <v>3551</v>
      </c>
    </row>
    <row r="1480" spans="1:16" x14ac:dyDescent="0.2">
      <c r="A1480" s="912" t="s">
        <v>3215</v>
      </c>
      <c r="B1480" s="912" t="s">
        <v>3216</v>
      </c>
      <c r="C1480" s="912" t="s">
        <v>80</v>
      </c>
      <c r="D1480" s="912"/>
      <c r="E1480" s="914" t="s">
        <v>3566</v>
      </c>
      <c r="F1480" s="914">
        <v>46310617</v>
      </c>
      <c r="G1480" s="912" t="s">
        <v>3360</v>
      </c>
      <c r="H1480" s="912" t="s">
        <v>1784</v>
      </c>
      <c r="I1480" s="912"/>
      <c r="J1480" s="912" t="s">
        <v>1412</v>
      </c>
      <c r="K1480" s="946"/>
      <c r="L1480" s="914">
        <v>12</v>
      </c>
      <c r="M1480" s="947" t="s">
        <v>3567</v>
      </c>
      <c r="N1480" s="914" t="s">
        <v>3361</v>
      </c>
      <c r="O1480" s="914">
        <v>2</v>
      </c>
      <c r="P1480" s="947" t="s">
        <v>3568</v>
      </c>
    </row>
    <row r="1481" spans="1:16" x14ac:dyDescent="0.2">
      <c r="A1481" s="912" t="s">
        <v>3215</v>
      </c>
      <c r="B1481" s="912" t="s">
        <v>3216</v>
      </c>
      <c r="C1481" s="912" t="s">
        <v>80</v>
      </c>
      <c r="D1481" s="912"/>
      <c r="E1481" s="914" t="s">
        <v>3566</v>
      </c>
      <c r="F1481" s="914">
        <v>30563244</v>
      </c>
      <c r="G1481" s="912" t="s">
        <v>3569</v>
      </c>
      <c r="H1481" s="912" t="s">
        <v>1784</v>
      </c>
      <c r="I1481" s="912"/>
      <c r="J1481" s="912" t="s">
        <v>1412</v>
      </c>
      <c r="K1481" s="946"/>
      <c r="L1481" s="949"/>
      <c r="M1481" s="947" t="s">
        <v>3543</v>
      </c>
      <c r="N1481" s="914" t="s">
        <v>3570</v>
      </c>
      <c r="O1481" s="914">
        <v>2</v>
      </c>
      <c r="P1481" s="947" t="s">
        <v>3568</v>
      </c>
    </row>
    <row r="1482" spans="1:16" x14ac:dyDescent="0.2">
      <c r="A1482" s="912" t="s">
        <v>3215</v>
      </c>
      <c r="B1482" s="912" t="s">
        <v>3216</v>
      </c>
      <c r="C1482" s="912" t="s">
        <v>80</v>
      </c>
      <c r="D1482" s="912"/>
      <c r="E1482" s="914" t="s">
        <v>3571</v>
      </c>
      <c r="F1482" s="914">
        <v>41193357</v>
      </c>
      <c r="G1482" s="912" t="s">
        <v>3572</v>
      </c>
      <c r="H1482" s="912" t="s">
        <v>1784</v>
      </c>
      <c r="I1482" s="912"/>
      <c r="J1482" s="912" t="s">
        <v>1412</v>
      </c>
      <c r="K1482" s="946"/>
      <c r="L1482" s="949"/>
      <c r="M1482" s="947" t="s">
        <v>3543</v>
      </c>
      <c r="N1482" s="914" t="s">
        <v>3573</v>
      </c>
      <c r="O1482" s="914">
        <v>2</v>
      </c>
      <c r="P1482" s="947" t="s">
        <v>3574</v>
      </c>
    </row>
    <row r="1483" spans="1:16" x14ac:dyDescent="0.2">
      <c r="A1483" s="912" t="s">
        <v>3215</v>
      </c>
      <c r="B1483" s="912" t="s">
        <v>3216</v>
      </c>
      <c r="C1483" s="912" t="s">
        <v>80</v>
      </c>
      <c r="D1483" s="912"/>
      <c r="E1483" s="914" t="s">
        <v>3425</v>
      </c>
      <c r="F1483" s="914">
        <v>40983801</v>
      </c>
      <c r="G1483" s="912" t="s">
        <v>3575</v>
      </c>
      <c r="H1483" s="912" t="s">
        <v>982</v>
      </c>
      <c r="I1483" s="912"/>
      <c r="J1483" s="912" t="s">
        <v>1412</v>
      </c>
      <c r="K1483" s="946"/>
      <c r="L1483" s="949"/>
      <c r="M1483" s="947" t="s">
        <v>3543</v>
      </c>
      <c r="N1483" s="914" t="s">
        <v>3576</v>
      </c>
      <c r="O1483" s="914">
        <v>2</v>
      </c>
      <c r="P1483" s="947" t="s">
        <v>3468</v>
      </c>
    </row>
    <row r="1484" spans="1:16" x14ac:dyDescent="0.2">
      <c r="A1484" s="912" t="s">
        <v>3215</v>
      </c>
      <c r="B1484" s="912" t="s">
        <v>3216</v>
      </c>
      <c r="C1484" s="912" t="s">
        <v>80</v>
      </c>
      <c r="D1484" s="912"/>
      <c r="E1484" s="914" t="s">
        <v>3425</v>
      </c>
      <c r="F1484" s="914">
        <v>40063479</v>
      </c>
      <c r="G1484" s="912" t="s">
        <v>3577</v>
      </c>
      <c r="H1484" s="912" t="s">
        <v>1663</v>
      </c>
      <c r="I1484" s="912"/>
      <c r="J1484" s="912" t="s">
        <v>1412</v>
      </c>
      <c r="K1484" s="946"/>
      <c r="L1484" s="949"/>
      <c r="M1484" s="947" t="s">
        <v>3543</v>
      </c>
      <c r="N1484" s="914" t="s">
        <v>3578</v>
      </c>
      <c r="O1484" s="914">
        <v>2</v>
      </c>
      <c r="P1484" s="947" t="s">
        <v>3468</v>
      </c>
    </row>
    <row r="1485" spans="1:16" x14ac:dyDescent="0.2">
      <c r="A1485" s="912" t="s">
        <v>3215</v>
      </c>
      <c r="B1485" s="912" t="s">
        <v>3216</v>
      </c>
      <c r="C1485" s="912" t="s">
        <v>80</v>
      </c>
      <c r="D1485" s="912"/>
      <c r="E1485" s="914" t="s">
        <v>3579</v>
      </c>
      <c r="F1485" s="914">
        <v>40367951</v>
      </c>
      <c r="G1485" s="912" t="s">
        <v>3580</v>
      </c>
      <c r="H1485" s="912" t="s">
        <v>3440</v>
      </c>
      <c r="I1485" s="912"/>
      <c r="J1485" s="912" t="s">
        <v>1412</v>
      </c>
      <c r="K1485" s="946"/>
      <c r="L1485" s="949"/>
      <c r="M1485" s="947" t="s">
        <v>3543</v>
      </c>
      <c r="N1485" s="914" t="s">
        <v>3284</v>
      </c>
      <c r="O1485" s="914">
        <v>2</v>
      </c>
      <c r="P1485" s="947" t="s">
        <v>3581</v>
      </c>
    </row>
    <row r="1486" spans="1:16" x14ac:dyDescent="0.2">
      <c r="A1486" s="912" t="s">
        <v>3215</v>
      </c>
      <c r="B1486" s="912" t="s">
        <v>3216</v>
      </c>
      <c r="C1486" s="912" t="s">
        <v>80</v>
      </c>
      <c r="D1486" s="912"/>
      <c r="E1486" s="914" t="s">
        <v>3425</v>
      </c>
      <c r="F1486" s="914">
        <v>71978330</v>
      </c>
      <c r="G1486" s="912" t="s">
        <v>3582</v>
      </c>
      <c r="H1486" s="912" t="s">
        <v>982</v>
      </c>
      <c r="I1486" s="912"/>
      <c r="J1486" s="912" t="s">
        <v>1412</v>
      </c>
      <c r="K1486" s="946"/>
      <c r="L1486" s="914"/>
      <c r="M1486" s="947" t="s">
        <v>3543</v>
      </c>
      <c r="N1486" s="914" t="s">
        <v>3583</v>
      </c>
      <c r="O1486" s="914">
        <v>2</v>
      </c>
      <c r="P1486" s="947" t="s">
        <v>3468</v>
      </c>
    </row>
    <row r="1487" spans="1:16" x14ac:dyDescent="0.2">
      <c r="A1487" s="912" t="s">
        <v>3215</v>
      </c>
      <c r="B1487" s="912" t="s">
        <v>3216</v>
      </c>
      <c r="C1487" s="912" t="s">
        <v>80</v>
      </c>
      <c r="D1487" s="912"/>
      <c r="E1487" s="914" t="s">
        <v>3566</v>
      </c>
      <c r="F1487" s="914">
        <v>71321921</v>
      </c>
      <c r="G1487" s="912" t="s">
        <v>3584</v>
      </c>
      <c r="H1487" s="912" t="s">
        <v>1784</v>
      </c>
      <c r="I1487" s="912"/>
      <c r="J1487" s="912" t="s">
        <v>1412</v>
      </c>
      <c r="K1487" s="946"/>
      <c r="L1487" s="914"/>
      <c r="M1487" s="947" t="s">
        <v>3543</v>
      </c>
      <c r="N1487" s="914" t="s">
        <v>3585</v>
      </c>
      <c r="O1487" s="914">
        <v>2</v>
      </c>
      <c r="P1487" s="947" t="s">
        <v>3568</v>
      </c>
    </row>
    <row r="1488" spans="1:16" x14ac:dyDescent="0.2">
      <c r="A1488" s="912" t="s">
        <v>3215</v>
      </c>
      <c r="B1488" s="912" t="s">
        <v>3216</v>
      </c>
      <c r="C1488" s="912" t="s">
        <v>80</v>
      </c>
      <c r="D1488" s="912"/>
      <c r="E1488" s="914" t="s">
        <v>3586</v>
      </c>
      <c r="F1488" s="914">
        <v>44535131</v>
      </c>
      <c r="G1488" s="912" t="s">
        <v>3383</v>
      </c>
      <c r="H1488" s="912" t="s">
        <v>3384</v>
      </c>
      <c r="I1488" s="912"/>
      <c r="J1488" s="912" t="s">
        <v>1412</v>
      </c>
      <c r="K1488" s="946"/>
      <c r="L1488" s="914"/>
      <c r="M1488" s="947" t="s">
        <v>3543</v>
      </c>
      <c r="N1488" s="914" t="s">
        <v>3386</v>
      </c>
      <c r="O1488" s="914">
        <v>2</v>
      </c>
      <c r="P1488" s="947" t="s">
        <v>3587</v>
      </c>
    </row>
    <row r="1489" spans="1:16" x14ac:dyDescent="0.2">
      <c r="A1489" s="912" t="s">
        <v>3215</v>
      </c>
      <c r="B1489" s="912" t="s">
        <v>3216</v>
      </c>
      <c r="C1489" s="912" t="s">
        <v>80</v>
      </c>
      <c r="D1489" s="912"/>
      <c r="E1489" s="914" t="s">
        <v>3588</v>
      </c>
      <c r="F1489" s="914">
        <v>80512689</v>
      </c>
      <c r="G1489" s="912" t="s">
        <v>3589</v>
      </c>
      <c r="H1489" s="912" t="s">
        <v>1784</v>
      </c>
      <c r="I1489" s="912"/>
      <c r="J1489" s="912" t="s">
        <v>1412</v>
      </c>
      <c r="K1489" s="946"/>
      <c r="L1489" s="914"/>
      <c r="M1489" s="947" t="s">
        <v>3543</v>
      </c>
      <c r="N1489" s="914" t="s">
        <v>3590</v>
      </c>
      <c r="O1489" s="914">
        <v>2</v>
      </c>
      <c r="P1489" s="947" t="s">
        <v>3591</v>
      </c>
    </row>
    <row r="1490" spans="1:16" x14ac:dyDescent="0.2">
      <c r="A1490" s="912" t="s">
        <v>3215</v>
      </c>
      <c r="B1490" s="912" t="s">
        <v>3216</v>
      </c>
      <c r="C1490" s="912" t="s">
        <v>80</v>
      </c>
      <c r="D1490" s="912"/>
      <c r="E1490" s="914" t="s">
        <v>3592</v>
      </c>
      <c r="F1490" s="914">
        <v>30944402</v>
      </c>
      <c r="G1490" s="912" t="s">
        <v>3593</v>
      </c>
      <c r="H1490" s="912" t="s">
        <v>1028</v>
      </c>
      <c r="I1490" s="912"/>
      <c r="J1490" s="912" t="s">
        <v>1412</v>
      </c>
      <c r="K1490" s="946"/>
      <c r="L1490" s="914"/>
      <c r="M1490" s="947" t="s">
        <v>3543</v>
      </c>
      <c r="N1490" s="914" t="s">
        <v>3594</v>
      </c>
      <c r="O1490" s="914">
        <v>2</v>
      </c>
      <c r="P1490" s="947" t="s">
        <v>3595</v>
      </c>
    </row>
    <row r="1491" spans="1:16" x14ac:dyDescent="0.2">
      <c r="A1491" s="912" t="s">
        <v>3215</v>
      </c>
      <c r="B1491" s="912" t="s">
        <v>3216</v>
      </c>
      <c r="C1491" s="912" t="s">
        <v>80</v>
      </c>
      <c r="D1491" s="912"/>
      <c r="E1491" s="914" t="s">
        <v>3434</v>
      </c>
      <c r="F1491" s="914">
        <v>41727396</v>
      </c>
      <c r="G1491" s="912" t="s">
        <v>3596</v>
      </c>
      <c r="H1491" s="912" t="s">
        <v>1634</v>
      </c>
      <c r="I1491" s="912"/>
      <c r="J1491" s="912" t="s">
        <v>940</v>
      </c>
      <c r="K1491" s="946"/>
      <c r="L1491" s="914">
        <v>7</v>
      </c>
      <c r="M1491" s="947" t="s">
        <v>3436</v>
      </c>
      <c r="N1491" s="946"/>
      <c r="O1491" s="949"/>
      <c r="P1491" s="947" t="s">
        <v>3543</v>
      </c>
    </row>
    <row r="1492" spans="1:16" x14ac:dyDescent="0.2">
      <c r="A1492" s="912" t="s">
        <v>3215</v>
      </c>
      <c r="B1492" s="912" t="s">
        <v>3216</v>
      </c>
      <c r="C1492" s="912" t="s">
        <v>80</v>
      </c>
      <c r="D1492" s="912"/>
      <c r="E1492" s="914" t="s">
        <v>3434</v>
      </c>
      <c r="F1492" s="914">
        <v>46486994</v>
      </c>
      <c r="G1492" s="912" t="s">
        <v>3597</v>
      </c>
      <c r="H1492" s="912" t="s">
        <v>1634</v>
      </c>
      <c r="I1492" s="912"/>
      <c r="J1492" s="912" t="s">
        <v>940</v>
      </c>
      <c r="K1492" s="946"/>
      <c r="L1492" s="914">
        <v>7</v>
      </c>
      <c r="M1492" s="947" t="s">
        <v>3436</v>
      </c>
      <c r="N1492" s="946"/>
      <c r="O1492" s="949"/>
      <c r="P1492" s="947" t="s">
        <v>3543</v>
      </c>
    </row>
    <row r="1493" spans="1:16" x14ac:dyDescent="0.2">
      <c r="A1493" s="912" t="s">
        <v>3215</v>
      </c>
      <c r="B1493" s="912" t="s">
        <v>3216</v>
      </c>
      <c r="C1493" s="912" t="s">
        <v>80</v>
      </c>
      <c r="D1493" s="912"/>
      <c r="E1493" s="914" t="s">
        <v>3330</v>
      </c>
      <c r="F1493" s="914">
        <v>46622694</v>
      </c>
      <c r="G1493" s="912" t="s">
        <v>3598</v>
      </c>
      <c r="H1493" s="912" t="s">
        <v>1666</v>
      </c>
      <c r="I1493" s="912"/>
      <c r="J1493" s="912" t="s">
        <v>1412</v>
      </c>
      <c r="K1493" s="946"/>
      <c r="L1493" s="914">
        <v>4</v>
      </c>
      <c r="M1493" s="947" t="s">
        <v>3560</v>
      </c>
      <c r="N1493" s="946"/>
      <c r="O1493" s="914"/>
      <c r="P1493" s="947" t="s">
        <v>3543</v>
      </c>
    </row>
    <row r="1494" spans="1:16" x14ac:dyDescent="0.2">
      <c r="A1494" s="912" t="s">
        <v>3215</v>
      </c>
      <c r="B1494" s="912" t="s">
        <v>3216</v>
      </c>
      <c r="C1494" s="912" t="s">
        <v>80</v>
      </c>
      <c r="D1494" s="912"/>
      <c r="E1494" s="914" t="s">
        <v>3330</v>
      </c>
      <c r="F1494" s="914"/>
      <c r="G1494" s="912" t="s">
        <v>3599</v>
      </c>
      <c r="H1494" s="912" t="s">
        <v>3600</v>
      </c>
      <c r="I1494" s="912"/>
      <c r="J1494" s="912" t="s">
        <v>1412</v>
      </c>
      <c r="K1494" s="946"/>
      <c r="L1494" s="914">
        <v>1</v>
      </c>
      <c r="M1494" s="947" t="s">
        <v>3330</v>
      </c>
      <c r="N1494" s="946"/>
      <c r="O1494" s="949"/>
      <c r="P1494" s="947" t="s">
        <v>3543</v>
      </c>
    </row>
    <row r="1495" spans="1:16" x14ac:dyDescent="0.2">
      <c r="A1495" s="912" t="s">
        <v>3215</v>
      </c>
      <c r="B1495" s="912" t="s">
        <v>3216</v>
      </c>
      <c r="C1495" s="912" t="s">
        <v>80</v>
      </c>
      <c r="D1495" s="912"/>
      <c r="E1495" s="914" t="s">
        <v>3217</v>
      </c>
      <c r="F1495" s="914">
        <v>46761618</v>
      </c>
      <c r="G1495" s="912" t="s">
        <v>3601</v>
      </c>
      <c r="H1495" s="912" t="s">
        <v>974</v>
      </c>
      <c r="I1495" s="912"/>
      <c r="J1495" s="912" t="s">
        <v>940</v>
      </c>
      <c r="K1495" s="946"/>
      <c r="L1495" s="914">
        <v>12</v>
      </c>
      <c r="M1495" s="947" t="s">
        <v>3219</v>
      </c>
      <c r="N1495" s="946"/>
      <c r="O1495" s="914"/>
      <c r="P1495" s="947" t="s">
        <v>3543</v>
      </c>
    </row>
    <row r="1496" spans="1:16" x14ac:dyDescent="0.2">
      <c r="A1496" s="912" t="s">
        <v>3215</v>
      </c>
      <c r="B1496" s="912" t="s">
        <v>3216</v>
      </c>
      <c r="C1496" s="912" t="s">
        <v>80</v>
      </c>
      <c r="D1496" s="912"/>
      <c r="E1496" s="914" t="s">
        <v>3330</v>
      </c>
      <c r="F1496" s="914">
        <v>41491489</v>
      </c>
      <c r="G1496" s="912" t="s">
        <v>3602</v>
      </c>
      <c r="H1496" s="912" t="s">
        <v>1246</v>
      </c>
      <c r="I1496" s="912"/>
      <c r="J1496" s="912" t="s">
        <v>1412</v>
      </c>
      <c r="K1496" s="946"/>
      <c r="L1496" s="914">
        <v>9</v>
      </c>
      <c r="M1496" s="947" t="s">
        <v>3603</v>
      </c>
      <c r="N1496" s="946"/>
      <c r="O1496" s="914"/>
      <c r="P1496" s="947" t="s">
        <v>3543</v>
      </c>
    </row>
    <row r="1497" spans="1:16" x14ac:dyDescent="0.2">
      <c r="A1497" s="912" t="s">
        <v>3215</v>
      </c>
      <c r="B1497" s="912" t="s">
        <v>3216</v>
      </c>
      <c r="C1497" s="912" t="s">
        <v>80</v>
      </c>
      <c r="D1497" s="912"/>
      <c r="E1497" s="914" t="s">
        <v>3330</v>
      </c>
      <c r="F1497" s="914">
        <v>72737212</v>
      </c>
      <c r="G1497" s="912" t="s">
        <v>3604</v>
      </c>
      <c r="H1497" s="912" t="s">
        <v>3605</v>
      </c>
      <c r="I1497" s="912"/>
      <c r="J1497" s="912" t="s">
        <v>1412</v>
      </c>
      <c r="K1497" s="946"/>
      <c r="L1497" s="914">
        <v>3</v>
      </c>
      <c r="M1497" s="947" t="s">
        <v>3574</v>
      </c>
      <c r="N1497" s="946"/>
      <c r="O1497" s="914"/>
      <c r="P1497" s="947" t="s">
        <v>3543</v>
      </c>
    </row>
    <row r="1498" spans="1:16" x14ac:dyDescent="0.2">
      <c r="A1498" s="912" t="s">
        <v>3215</v>
      </c>
      <c r="B1498" s="912" t="s">
        <v>3216</v>
      </c>
      <c r="C1498" s="912" t="s">
        <v>80</v>
      </c>
      <c r="D1498" s="912"/>
      <c r="E1498" s="914" t="s">
        <v>3330</v>
      </c>
      <c r="F1498" s="914">
        <v>44573259</v>
      </c>
      <c r="G1498" s="912" t="s">
        <v>3606</v>
      </c>
      <c r="H1498" s="912" t="s">
        <v>3605</v>
      </c>
      <c r="I1498" s="912"/>
      <c r="J1498" s="912" t="s">
        <v>1412</v>
      </c>
      <c r="K1498" s="946"/>
      <c r="L1498" s="914">
        <v>7</v>
      </c>
      <c r="M1498" s="947" t="s">
        <v>3452</v>
      </c>
      <c r="N1498" s="946"/>
      <c r="O1498" s="914"/>
      <c r="P1498" s="947" t="s">
        <v>3543</v>
      </c>
    </row>
    <row r="1499" spans="1:16" x14ac:dyDescent="0.2">
      <c r="A1499" s="912" t="s">
        <v>3215</v>
      </c>
      <c r="B1499" s="912" t="s">
        <v>3216</v>
      </c>
      <c r="C1499" s="912" t="s">
        <v>80</v>
      </c>
      <c r="D1499" s="912"/>
      <c r="E1499" s="914" t="s">
        <v>3330</v>
      </c>
      <c r="F1499" s="914">
        <v>45597327</v>
      </c>
      <c r="G1499" s="912" t="s">
        <v>3607</v>
      </c>
      <c r="H1499" s="912" t="s">
        <v>3608</v>
      </c>
      <c r="I1499" s="912"/>
      <c r="J1499" s="912" t="s">
        <v>1412</v>
      </c>
      <c r="K1499" s="946"/>
      <c r="L1499" s="914">
        <v>7</v>
      </c>
      <c r="M1499" s="947" t="s">
        <v>3452</v>
      </c>
      <c r="N1499" s="946"/>
      <c r="O1499" s="914">
        <v>1</v>
      </c>
      <c r="P1499" s="947" t="s">
        <v>3330</v>
      </c>
    </row>
    <row r="1500" spans="1:16" x14ac:dyDescent="0.2">
      <c r="A1500" s="912"/>
      <c r="B1500" s="912"/>
      <c r="C1500" s="912"/>
      <c r="D1500" s="912"/>
      <c r="E1500" s="914"/>
      <c r="F1500" s="914"/>
      <c r="G1500" s="912"/>
      <c r="H1500" s="912"/>
      <c r="I1500" s="912"/>
      <c r="J1500" s="912"/>
      <c r="K1500" s="946"/>
      <c r="L1500" s="914"/>
      <c r="M1500" s="912"/>
      <c r="N1500" s="946"/>
      <c r="O1500" s="914"/>
      <c r="P1500" s="912"/>
    </row>
    <row r="1501" spans="1:16" x14ac:dyDescent="0.2">
      <c r="A1501" s="912" t="s">
        <v>3215</v>
      </c>
      <c r="B1501" s="912" t="s">
        <v>3216</v>
      </c>
      <c r="C1501" s="912" t="s">
        <v>3609</v>
      </c>
      <c r="D1501" s="912"/>
      <c r="E1501" s="914" t="s">
        <v>3610</v>
      </c>
      <c r="F1501" s="914">
        <v>42273798</v>
      </c>
      <c r="G1501" s="912" t="s">
        <v>3611</v>
      </c>
      <c r="H1501" s="912" t="s">
        <v>1175</v>
      </c>
      <c r="I1501" s="912"/>
      <c r="J1501" s="912" t="s">
        <v>940</v>
      </c>
      <c r="K1501" s="946"/>
      <c r="L1501" s="914">
        <v>9</v>
      </c>
      <c r="M1501" s="947" t="s">
        <v>3612</v>
      </c>
      <c r="N1501" s="946"/>
      <c r="O1501" s="914"/>
      <c r="P1501" s="947" t="s">
        <v>3543</v>
      </c>
    </row>
    <row r="1502" spans="1:16" x14ac:dyDescent="0.2">
      <c r="A1502" s="912" t="s">
        <v>3215</v>
      </c>
      <c r="B1502" s="912" t="s">
        <v>3216</v>
      </c>
      <c r="C1502" s="912" t="s">
        <v>3609</v>
      </c>
      <c r="D1502" s="912"/>
      <c r="E1502" s="914" t="s">
        <v>3613</v>
      </c>
      <c r="F1502" s="914">
        <v>44404122</v>
      </c>
      <c r="G1502" s="912" t="s">
        <v>3614</v>
      </c>
      <c r="H1502" s="912" t="s">
        <v>1594</v>
      </c>
      <c r="I1502" s="912"/>
      <c r="J1502" s="912" t="s">
        <v>940</v>
      </c>
      <c r="K1502" s="946"/>
      <c r="L1502" s="914">
        <v>9</v>
      </c>
      <c r="M1502" s="947" t="s">
        <v>3615</v>
      </c>
      <c r="N1502" s="946"/>
      <c r="O1502" s="914"/>
      <c r="P1502" s="947" t="s">
        <v>3543</v>
      </c>
    </row>
    <row r="1503" spans="1:16" x14ac:dyDescent="0.2">
      <c r="A1503" s="912" t="s">
        <v>3215</v>
      </c>
      <c r="B1503" s="912" t="s">
        <v>3216</v>
      </c>
      <c r="C1503" s="912" t="s">
        <v>3609</v>
      </c>
      <c r="D1503" s="912"/>
      <c r="E1503" s="914" t="s">
        <v>3613</v>
      </c>
      <c r="F1503" s="914">
        <v>43517427</v>
      </c>
      <c r="G1503" s="912" t="s">
        <v>3616</v>
      </c>
      <c r="H1503" s="912" t="s">
        <v>1594</v>
      </c>
      <c r="I1503" s="912"/>
      <c r="J1503" s="912" t="s">
        <v>940</v>
      </c>
      <c r="K1503" s="946"/>
      <c r="L1503" s="914">
        <v>9</v>
      </c>
      <c r="M1503" s="947" t="s">
        <v>3615</v>
      </c>
      <c r="N1503" s="946"/>
      <c r="O1503" s="914"/>
      <c r="P1503" s="947" t="s">
        <v>3543</v>
      </c>
    </row>
    <row r="1504" spans="1:16" x14ac:dyDescent="0.2">
      <c r="A1504" s="912" t="s">
        <v>3215</v>
      </c>
      <c r="B1504" s="912" t="s">
        <v>3216</v>
      </c>
      <c r="C1504" s="912" t="s">
        <v>3609</v>
      </c>
      <c r="D1504" s="912"/>
      <c r="E1504" s="914" t="s">
        <v>3610</v>
      </c>
      <c r="F1504" s="914">
        <v>44936064</v>
      </c>
      <c r="G1504" s="912" t="s">
        <v>3617</v>
      </c>
      <c r="H1504" s="912" t="s">
        <v>1175</v>
      </c>
      <c r="I1504" s="912"/>
      <c r="J1504" s="912" t="s">
        <v>940</v>
      </c>
      <c r="K1504" s="946"/>
      <c r="L1504" s="914">
        <v>9</v>
      </c>
      <c r="M1504" s="947" t="s">
        <v>3612</v>
      </c>
      <c r="N1504" s="946"/>
      <c r="O1504" s="914"/>
      <c r="P1504" s="947" t="s">
        <v>3543</v>
      </c>
    </row>
    <row r="1505" spans="1:16" x14ac:dyDescent="0.2">
      <c r="A1505" s="912" t="s">
        <v>3215</v>
      </c>
      <c r="B1505" s="912" t="s">
        <v>3216</v>
      </c>
      <c r="C1505" s="912" t="s">
        <v>3609</v>
      </c>
      <c r="D1505" s="912"/>
      <c r="E1505" s="914" t="s">
        <v>3610</v>
      </c>
      <c r="F1505" s="914">
        <v>43512577</v>
      </c>
      <c r="G1505" s="912" t="s">
        <v>3618</v>
      </c>
      <c r="H1505" s="912" t="s">
        <v>1175</v>
      </c>
      <c r="I1505" s="912"/>
      <c r="J1505" s="912" t="s">
        <v>940</v>
      </c>
      <c r="K1505" s="946"/>
      <c r="L1505" s="914">
        <v>9</v>
      </c>
      <c r="M1505" s="947" t="s">
        <v>3612</v>
      </c>
      <c r="N1505" s="946"/>
      <c r="O1505" s="914"/>
      <c r="P1505" s="947" t="s">
        <v>3543</v>
      </c>
    </row>
    <row r="1506" spans="1:16" x14ac:dyDescent="0.2">
      <c r="A1506" s="912" t="s">
        <v>3215</v>
      </c>
      <c r="B1506" s="912" t="s">
        <v>3216</v>
      </c>
      <c r="C1506" s="912" t="s">
        <v>3609</v>
      </c>
      <c r="D1506" s="912"/>
      <c r="E1506" s="914" t="s">
        <v>3610</v>
      </c>
      <c r="F1506" s="914">
        <v>40320348</v>
      </c>
      <c r="G1506" s="912" t="s">
        <v>3619</v>
      </c>
      <c r="H1506" s="912" t="s">
        <v>1175</v>
      </c>
      <c r="I1506" s="912"/>
      <c r="J1506" s="912" t="s">
        <v>940</v>
      </c>
      <c r="K1506" s="946"/>
      <c r="L1506" s="914">
        <v>9</v>
      </c>
      <c r="M1506" s="947" t="s">
        <v>3612</v>
      </c>
      <c r="N1506" s="946"/>
      <c r="O1506" s="914"/>
      <c r="P1506" s="947" t="s">
        <v>3543</v>
      </c>
    </row>
    <row r="1507" spans="1:16" x14ac:dyDescent="0.2">
      <c r="A1507" s="912" t="s">
        <v>3215</v>
      </c>
      <c r="B1507" s="912" t="s">
        <v>3216</v>
      </c>
      <c r="C1507" s="912" t="s">
        <v>3609</v>
      </c>
      <c r="D1507" s="912"/>
      <c r="E1507" s="914" t="s">
        <v>3620</v>
      </c>
      <c r="F1507" s="914">
        <v>42088630</v>
      </c>
      <c r="G1507" s="912" t="s">
        <v>3621</v>
      </c>
      <c r="H1507" s="912" t="s">
        <v>1052</v>
      </c>
      <c r="I1507" s="912"/>
      <c r="J1507" s="912"/>
      <c r="K1507" s="946"/>
      <c r="L1507" s="914">
        <v>9</v>
      </c>
      <c r="M1507" s="947" t="s">
        <v>3622</v>
      </c>
      <c r="N1507" s="946"/>
      <c r="O1507" s="914"/>
      <c r="P1507" s="947" t="s">
        <v>3543</v>
      </c>
    </row>
    <row r="1508" spans="1:16" x14ac:dyDescent="0.2">
      <c r="A1508" s="912" t="s">
        <v>3215</v>
      </c>
      <c r="B1508" s="912" t="s">
        <v>3216</v>
      </c>
      <c r="C1508" s="912" t="s">
        <v>3609</v>
      </c>
      <c r="D1508" s="912"/>
      <c r="E1508" s="914" t="s">
        <v>3623</v>
      </c>
      <c r="F1508" s="914">
        <v>45887686</v>
      </c>
      <c r="G1508" s="912" t="s">
        <v>3624</v>
      </c>
      <c r="H1508" s="912" t="s">
        <v>1028</v>
      </c>
      <c r="I1508" s="912"/>
      <c r="J1508" s="912" t="s">
        <v>1412</v>
      </c>
      <c r="K1508" s="946"/>
      <c r="L1508" s="914">
        <v>9</v>
      </c>
      <c r="M1508" s="947" t="s">
        <v>3625</v>
      </c>
      <c r="N1508" s="946"/>
      <c r="O1508" s="914"/>
      <c r="P1508" s="947" t="s">
        <v>3543</v>
      </c>
    </row>
    <row r="1509" spans="1:16" x14ac:dyDescent="0.2">
      <c r="A1509" s="912" t="s">
        <v>3215</v>
      </c>
      <c r="B1509" s="912" t="s">
        <v>3216</v>
      </c>
      <c r="C1509" s="912" t="s">
        <v>3609</v>
      </c>
      <c r="D1509" s="912"/>
      <c r="E1509" s="914" t="s">
        <v>3620</v>
      </c>
      <c r="F1509" s="914">
        <v>30589327</v>
      </c>
      <c r="G1509" s="912" t="s">
        <v>3626</v>
      </c>
      <c r="H1509" s="912" t="s">
        <v>1052</v>
      </c>
      <c r="I1509" s="912"/>
      <c r="J1509" s="912"/>
      <c r="K1509" s="946"/>
      <c r="L1509" s="914">
        <v>9</v>
      </c>
      <c r="M1509" s="947" t="s">
        <v>3622</v>
      </c>
      <c r="N1509" s="946"/>
      <c r="O1509" s="914"/>
      <c r="P1509" s="947" t="s">
        <v>3543</v>
      </c>
    </row>
    <row r="1510" spans="1:16" x14ac:dyDescent="0.2">
      <c r="A1510" s="912" t="s">
        <v>3215</v>
      </c>
      <c r="B1510" s="912" t="s">
        <v>3216</v>
      </c>
      <c r="C1510" s="912" t="s">
        <v>3609</v>
      </c>
      <c r="D1510" s="912"/>
      <c r="E1510" s="914" t="s">
        <v>3623</v>
      </c>
      <c r="F1510" s="914">
        <v>47253652</v>
      </c>
      <c r="G1510" s="912" t="s">
        <v>3627</v>
      </c>
      <c r="H1510" s="912" t="s">
        <v>1028</v>
      </c>
      <c r="I1510" s="912"/>
      <c r="J1510" s="912" t="s">
        <v>1412</v>
      </c>
      <c r="K1510" s="946"/>
      <c r="L1510" s="914">
        <v>9</v>
      </c>
      <c r="M1510" s="947" t="s">
        <v>3625</v>
      </c>
      <c r="N1510" s="946"/>
      <c r="O1510" s="914"/>
      <c r="P1510" s="947" t="s">
        <v>3543</v>
      </c>
    </row>
    <row r="1511" spans="1:16" x14ac:dyDescent="0.2">
      <c r="A1511" s="912" t="s">
        <v>3215</v>
      </c>
      <c r="B1511" s="912" t="s">
        <v>3216</v>
      </c>
      <c r="C1511" s="912" t="s">
        <v>3609</v>
      </c>
      <c r="D1511" s="912"/>
      <c r="E1511" s="914" t="s">
        <v>3623</v>
      </c>
      <c r="F1511" s="914">
        <v>40460425</v>
      </c>
      <c r="G1511" s="912" t="s">
        <v>3628</v>
      </c>
      <c r="H1511" s="912" t="s">
        <v>1028</v>
      </c>
      <c r="I1511" s="912"/>
      <c r="J1511" s="912" t="s">
        <v>1412</v>
      </c>
      <c r="K1511" s="946"/>
      <c r="L1511" s="914">
        <v>9</v>
      </c>
      <c r="M1511" s="947" t="s">
        <v>3625</v>
      </c>
      <c r="N1511" s="946"/>
      <c r="O1511" s="914"/>
      <c r="P1511" s="947" t="s">
        <v>3543</v>
      </c>
    </row>
    <row r="1512" spans="1:16" x14ac:dyDescent="0.2">
      <c r="A1512" s="912" t="s">
        <v>3215</v>
      </c>
      <c r="B1512" s="912" t="s">
        <v>3216</v>
      </c>
      <c r="C1512" s="912" t="s">
        <v>3609</v>
      </c>
      <c r="D1512" s="912"/>
      <c r="E1512" s="914" t="s">
        <v>3623</v>
      </c>
      <c r="F1512" s="914">
        <v>48559171</v>
      </c>
      <c r="G1512" s="912" t="s">
        <v>3629</v>
      </c>
      <c r="H1512" s="912" t="s">
        <v>1028</v>
      </c>
      <c r="I1512" s="912"/>
      <c r="J1512" s="912" t="s">
        <v>1412</v>
      </c>
      <c r="K1512" s="946"/>
      <c r="L1512" s="914">
        <v>9</v>
      </c>
      <c r="M1512" s="947" t="s">
        <v>3625</v>
      </c>
      <c r="N1512" s="946"/>
      <c r="O1512" s="914"/>
      <c r="P1512" s="947" t="s">
        <v>3543</v>
      </c>
    </row>
    <row r="1513" spans="1:16" x14ac:dyDescent="0.2">
      <c r="A1513" s="912" t="s">
        <v>3215</v>
      </c>
      <c r="B1513" s="912" t="s">
        <v>3216</v>
      </c>
      <c r="C1513" s="912" t="s">
        <v>3609</v>
      </c>
      <c r="D1513" s="912"/>
      <c r="E1513" s="914" t="s">
        <v>3620</v>
      </c>
      <c r="F1513" s="914">
        <v>30571887</v>
      </c>
      <c r="G1513" s="912" t="s">
        <v>3630</v>
      </c>
      <c r="H1513" s="912" t="s">
        <v>1052</v>
      </c>
      <c r="I1513" s="912"/>
      <c r="J1513" s="912"/>
      <c r="K1513" s="946"/>
      <c r="L1513" s="914">
        <v>9</v>
      </c>
      <c r="M1513" s="947" t="s">
        <v>3622</v>
      </c>
      <c r="N1513" s="946"/>
      <c r="O1513" s="914"/>
      <c r="P1513" s="947" t="s">
        <v>3543</v>
      </c>
    </row>
    <row r="1514" spans="1:16" x14ac:dyDescent="0.2">
      <c r="A1514" s="912" t="s">
        <v>3215</v>
      </c>
      <c r="B1514" s="912" t="s">
        <v>3216</v>
      </c>
      <c r="C1514" s="912" t="s">
        <v>3609</v>
      </c>
      <c r="D1514" s="912"/>
      <c r="E1514" s="914" t="s">
        <v>3623</v>
      </c>
      <c r="F1514" s="914">
        <v>43182863</v>
      </c>
      <c r="G1514" s="912" t="s">
        <v>3631</v>
      </c>
      <c r="H1514" s="912" t="s">
        <v>1028</v>
      </c>
      <c r="I1514" s="912"/>
      <c r="J1514" s="912" t="s">
        <v>1412</v>
      </c>
      <c r="K1514" s="946"/>
      <c r="L1514" s="914">
        <v>9</v>
      </c>
      <c r="M1514" s="947" t="s">
        <v>3625</v>
      </c>
      <c r="N1514" s="946"/>
      <c r="O1514" s="914"/>
      <c r="P1514" s="947" t="s">
        <v>3543</v>
      </c>
    </row>
    <row r="1515" spans="1:16" x14ac:dyDescent="0.2">
      <c r="A1515" s="912" t="s">
        <v>3215</v>
      </c>
      <c r="B1515" s="912" t="s">
        <v>3216</v>
      </c>
      <c r="C1515" s="912" t="s">
        <v>3609</v>
      </c>
      <c r="D1515" s="912"/>
      <c r="E1515" s="914" t="s">
        <v>3620</v>
      </c>
      <c r="F1515" s="914">
        <v>40441291</v>
      </c>
      <c r="G1515" s="912" t="s">
        <v>3632</v>
      </c>
      <c r="H1515" s="912" t="s">
        <v>1052</v>
      </c>
      <c r="I1515" s="912"/>
      <c r="J1515" s="912"/>
      <c r="K1515" s="946"/>
      <c r="L1515" s="914">
        <v>9</v>
      </c>
      <c r="M1515" s="947" t="s">
        <v>3622</v>
      </c>
      <c r="N1515" s="946"/>
      <c r="O1515" s="914"/>
      <c r="P1515" s="947" t="s">
        <v>3543</v>
      </c>
    </row>
    <row r="1516" spans="1:16" x14ac:dyDescent="0.2">
      <c r="A1516" s="912" t="s">
        <v>3215</v>
      </c>
      <c r="B1516" s="912" t="s">
        <v>3216</v>
      </c>
      <c r="C1516" s="912" t="s">
        <v>3609</v>
      </c>
      <c r="D1516" s="912"/>
      <c r="E1516" s="914" t="s">
        <v>3620</v>
      </c>
      <c r="F1516" s="914">
        <v>76244660</v>
      </c>
      <c r="G1516" s="912" t="s">
        <v>3633</v>
      </c>
      <c r="H1516" s="912" t="s">
        <v>1979</v>
      </c>
      <c r="I1516" s="912"/>
      <c r="J1516" s="912"/>
      <c r="K1516" s="946"/>
      <c r="L1516" s="914">
        <v>9</v>
      </c>
      <c r="M1516" s="947" t="s">
        <v>3622</v>
      </c>
      <c r="N1516" s="946"/>
      <c r="O1516" s="914"/>
      <c r="P1516" s="947" t="s">
        <v>3543</v>
      </c>
    </row>
    <row r="1517" spans="1:16" x14ac:dyDescent="0.2">
      <c r="A1517" s="912" t="s">
        <v>3215</v>
      </c>
      <c r="B1517" s="912" t="s">
        <v>3216</v>
      </c>
      <c r="C1517" s="912" t="s">
        <v>3609</v>
      </c>
      <c r="D1517" s="912"/>
      <c r="E1517" s="914" t="s">
        <v>3620</v>
      </c>
      <c r="F1517" s="914">
        <v>42691360</v>
      </c>
      <c r="G1517" s="912" t="s">
        <v>3634</v>
      </c>
      <c r="H1517" s="912" t="s">
        <v>1979</v>
      </c>
      <c r="I1517" s="912"/>
      <c r="J1517" s="912"/>
      <c r="K1517" s="946"/>
      <c r="L1517" s="914">
        <v>9</v>
      </c>
      <c r="M1517" s="947" t="s">
        <v>3622</v>
      </c>
      <c r="N1517" s="946"/>
      <c r="O1517" s="914"/>
      <c r="P1517" s="947" t="s">
        <v>3543</v>
      </c>
    </row>
    <row r="1518" spans="1:16" x14ac:dyDescent="0.2">
      <c r="A1518" s="912" t="s">
        <v>3215</v>
      </c>
      <c r="B1518" s="912" t="s">
        <v>3216</v>
      </c>
      <c r="C1518" s="912" t="s">
        <v>3609</v>
      </c>
      <c r="D1518" s="912"/>
      <c r="E1518" s="914" t="s">
        <v>3623</v>
      </c>
      <c r="F1518" s="914">
        <v>77134887</v>
      </c>
      <c r="G1518" s="912" t="s">
        <v>3635</v>
      </c>
      <c r="H1518" s="912" t="s">
        <v>1028</v>
      </c>
      <c r="I1518" s="912"/>
      <c r="J1518" s="912" t="s">
        <v>1412</v>
      </c>
      <c r="K1518" s="946"/>
      <c r="L1518" s="914">
        <v>9</v>
      </c>
      <c r="M1518" s="947" t="s">
        <v>3625</v>
      </c>
      <c r="N1518" s="946"/>
      <c r="O1518" s="914"/>
      <c r="P1518" s="947" t="s">
        <v>3543</v>
      </c>
    </row>
    <row r="1519" spans="1:16" x14ac:dyDescent="0.2">
      <c r="A1519" s="912" t="s">
        <v>3215</v>
      </c>
      <c r="B1519" s="912" t="s">
        <v>3216</v>
      </c>
      <c r="C1519" s="912" t="s">
        <v>3609</v>
      </c>
      <c r="D1519" s="912"/>
      <c r="E1519" s="914" t="s">
        <v>3613</v>
      </c>
      <c r="F1519" s="914">
        <v>44143206</v>
      </c>
      <c r="G1519" s="912" t="s">
        <v>3636</v>
      </c>
      <c r="H1519" s="912" t="s">
        <v>1594</v>
      </c>
      <c r="I1519" s="912"/>
      <c r="J1519" s="912" t="s">
        <v>940</v>
      </c>
      <c r="K1519" s="946"/>
      <c r="L1519" s="914">
        <v>9</v>
      </c>
      <c r="M1519" s="947" t="s">
        <v>3615</v>
      </c>
      <c r="N1519" s="946"/>
      <c r="O1519" s="914"/>
      <c r="P1519" s="947" t="s">
        <v>3543</v>
      </c>
    </row>
    <row r="1520" spans="1:16" x14ac:dyDescent="0.2">
      <c r="A1520" s="912" t="s">
        <v>3215</v>
      </c>
      <c r="B1520" s="912" t="s">
        <v>3216</v>
      </c>
      <c r="C1520" s="912" t="s">
        <v>3609</v>
      </c>
      <c r="D1520" s="912"/>
      <c r="E1520" s="914" t="s">
        <v>3613</v>
      </c>
      <c r="F1520" s="914">
        <v>46923347</v>
      </c>
      <c r="G1520" s="912" t="s">
        <v>3637</v>
      </c>
      <c r="H1520" s="912" t="s">
        <v>2259</v>
      </c>
      <c r="I1520" s="912"/>
      <c r="J1520" s="912" t="s">
        <v>940</v>
      </c>
      <c r="K1520" s="946"/>
      <c r="L1520" s="914">
        <v>9</v>
      </c>
      <c r="M1520" s="947" t="s">
        <v>3615</v>
      </c>
      <c r="N1520" s="946"/>
      <c r="O1520" s="914"/>
      <c r="P1520" s="947" t="s">
        <v>3543</v>
      </c>
    </row>
    <row r="1521" spans="1:16" x14ac:dyDescent="0.2">
      <c r="A1521" s="912" t="s">
        <v>3215</v>
      </c>
      <c r="B1521" s="912" t="s">
        <v>3216</v>
      </c>
      <c r="C1521" s="912" t="s">
        <v>3609</v>
      </c>
      <c r="D1521" s="912"/>
      <c r="E1521" s="914" t="s">
        <v>3610</v>
      </c>
      <c r="F1521" s="914">
        <v>42425481</v>
      </c>
      <c r="G1521" s="912" t="s">
        <v>3638</v>
      </c>
      <c r="H1521" s="912" t="s">
        <v>1175</v>
      </c>
      <c r="I1521" s="912"/>
      <c r="J1521" s="912" t="s">
        <v>940</v>
      </c>
      <c r="K1521" s="946"/>
      <c r="L1521" s="914">
        <v>9</v>
      </c>
      <c r="M1521" s="947" t="s">
        <v>3612</v>
      </c>
      <c r="N1521" s="946"/>
      <c r="O1521" s="914"/>
      <c r="P1521" s="947" t="s">
        <v>3543</v>
      </c>
    </row>
    <row r="1522" spans="1:16" x14ac:dyDescent="0.2">
      <c r="A1522" s="912" t="s">
        <v>3215</v>
      </c>
      <c r="B1522" s="912" t="s">
        <v>3216</v>
      </c>
      <c r="C1522" s="912" t="s">
        <v>3609</v>
      </c>
      <c r="D1522" s="912"/>
      <c r="E1522" s="914" t="s">
        <v>3610</v>
      </c>
      <c r="F1522" s="914">
        <v>42337429</v>
      </c>
      <c r="G1522" s="912" t="s">
        <v>3639</v>
      </c>
      <c r="H1522" s="912" t="s">
        <v>1175</v>
      </c>
      <c r="I1522" s="912"/>
      <c r="J1522" s="912" t="s">
        <v>940</v>
      </c>
      <c r="K1522" s="946"/>
      <c r="L1522" s="914">
        <v>9</v>
      </c>
      <c r="M1522" s="947" t="s">
        <v>3612</v>
      </c>
      <c r="N1522" s="946"/>
      <c r="O1522" s="914"/>
      <c r="P1522" s="947" t="s">
        <v>3543</v>
      </c>
    </row>
    <row r="1523" spans="1:16" x14ac:dyDescent="0.2">
      <c r="A1523" s="912" t="s">
        <v>3215</v>
      </c>
      <c r="B1523" s="912" t="s">
        <v>3216</v>
      </c>
      <c r="C1523" s="912" t="s">
        <v>3609</v>
      </c>
      <c r="D1523" s="912"/>
      <c r="E1523" s="914" t="s">
        <v>3613</v>
      </c>
      <c r="F1523" s="914">
        <v>46671335</v>
      </c>
      <c r="G1523" s="912" t="s">
        <v>3640</v>
      </c>
      <c r="H1523" s="912" t="s">
        <v>2259</v>
      </c>
      <c r="I1523" s="912"/>
      <c r="J1523" s="912" t="s">
        <v>940</v>
      </c>
      <c r="K1523" s="946"/>
      <c r="L1523" s="914">
        <v>9</v>
      </c>
      <c r="M1523" s="947" t="s">
        <v>3615</v>
      </c>
      <c r="N1523" s="946"/>
      <c r="O1523" s="914"/>
      <c r="P1523" s="947" t="s">
        <v>3543</v>
      </c>
    </row>
    <row r="1524" spans="1:16" x14ac:dyDescent="0.2">
      <c r="A1524" s="912" t="s">
        <v>3215</v>
      </c>
      <c r="B1524" s="912" t="s">
        <v>3216</v>
      </c>
      <c r="C1524" s="912" t="s">
        <v>3609</v>
      </c>
      <c r="D1524" s="912"/>
      <c r="E1524" s="914" t="s">
        <v>3613</v>
      </c>
      <c r="F1524" s="914">
        <v>41347306</v>
      </c>
      <c r="G1524" s="912" t="s">
        <v>3641</v>
      </c>
      <c r="H1524" s="912" t="s">
        <v>1594</v>
      </c>
      <c r="I1524" s="912"/>
      <c r="J1524" s="912" t="s">
        <v>940</v>
      </c>
      <c r="K1524" s="946"/>
      <c r="L1524" s="914">
        <v>9</v>
      </c>
      <c r="M1524" s="947" t="s">
        <v>3615</v>
      </c>
      <c r="N1524" s="946"/>
      <c r="O1524" s="914"/>
      <c r="P1524" s="947" t="s">
        <v>3543</v>
      </c>
    </row>
    <row r="1525" spans="1:16" x14ac:dyDescent="0.2">
      <c r="A1525" s="912" t="s">
        <v>3215</v>
      </c>
      <c r="B1525" s="912" t="s">
        <v>3216</v>
      </c>
      <c r="C1525" s="912" t="s">
        <v>3609</v>
      </c>
      <c r="D1525" s="912"/>
      <c r="E1525" s="914" t="s">
        <v>3613</v>
      </c>
      <c r="F1525" s="914">
        <v>44401391</v>
      </c>
      <c r="G1525" s="912" t="s">
        <v>3642</v>
      </c>
      <c r="H1525" s="912" t="s">
        <v>2259</v>
      </c>
      <c r="I1525" s="912"/>
      <c r="J1525" s="912" t="s">
        <v>940</v>
      </c>
      <c r="K1525" s="946"/>
      <c r="L1525" s="914">
        <v>9</v>
      </c>
      <c r="M1525" s="947" t="s">
        <v>3615</v>
      </c>
      <c r="N1525" s="946"/>
      <c r="O1525" s="914"/>
      <c r="P1525" s="947" t="s">
        <v>3543</v>
      </c>
    </row>
    <row r="1526" spans="1:16" x14ac:dyDescent="0.2">
      <c r="A1526" s="912" t="s">
        <v>3215</v>
      </c>
      <c r="B1526" s="912" t="s">
        <v>3216</v>
      </c>
      <c r="C1526" s="912" t="s">
        <v>3609</v>
      </c>
      <c r="D1526" s="912"/>
      <c r="E1526" s="914" t="s">
        <v>3613</v>
      </c>
      <c r="F1526" s="914">
        <v>645985</v>
      </c>
      <c r="G1526" s="912" t="s">
        <v>3643</v>
      </c>
      <c r="H1526" s="912" t="s">
        <v>1594</v>
      </c>
      <c r="I1526" s="912"/>
      <c r="J1526" s="912" t="s">
        <v>940</v>
      </c>
      <c r="K1526" s="946"/>
      <c r="L1526" s="914">
        <v>6</v>
      </c>
      <c r="M1526" s="947" t="s">
        <v>3644</v>
      </c>
      <c r="N1526" s="946"/>
      <c r="O1526" s="914"/>
      <c r="P1526" s="947" t="s">
        <v>3543</v>
      </c>
    </row>
    <row r="1527" spans="1:16" x14ac:dyDescent="0.2">
      <c r="A1527" s="912" t="s">
        <v>3215</v>
      </c>
      <c r="B1527" s="912" t="s">
        <v>3216</v>
      </c>
      <c r="C1527" s="912" t="s">
        <v>3609</v>
      </c>
      <c r="D1527" s="912"/>
      <c r="E1527" s="914" t="s">
        <v>3623</v>
      </c>
      <c r="F1527" s="914">
        <v>80291759</v>
      </c>
      <c r="G1527" s="912" t="s">
        <v>3645</v>
      </c>
      <c r="H1527" s="912" t="s">
        <v>1246</v>
      </c>
      <c r="I1527" s="912"/>
      <c r="J1527" s="912" t="s">
        <v>1412</v>
      </c>
      <c r="K1527" s="946"/>
      <c r="L1527" s="914">
        <v>9</v>
      </c>
      <c r="M1527" s="947" t="s">
        <v>3625</v>
      </c>
      <c r="N1527" s="946"/>
      <c r="O1527" s="914"/>
      <c r="P1527" s="947" t="s">
        <v>3543</v>
      </c>
    </row>
    <row r="1528" spans="1:16" x14ac:dyDescent="0.2">
      <c r="A1528" s="912" t="s">
        <v>3215</v>
      </c>
      <c r="B1528" s="912" t="s">
        <v>3216</v>
      </c>
      <c r="C1528" s="912" t="s">
        <v>3609</v>
      </c>
      <c r="D1528" s="912"/>
      <c r="E1528" s="914" t="s">
        <v>3623</v>
      </c>
      <c r="F1528" s="914">
        <v>41491489</v>
      </c>
      <c r="G1528" s="912" t="s">
        <v>3646</v>
      </c>
      <c r="H1528" s="912" t="s">
        <v>1246</v>
      </c>
      <c r="I1528" s="912"/>
      <c r="J1528" s="912" t="s">
        <v>1412</v>
      </c>
      <c r="K1528" s="946"/>
      <c r="L1528" s="914">
        <v>9</v>
      </c>
      <c r="M1528" s="947" t="s">
        <v>3625</v>
      </c>
      <c r="N1528" s="946"/>
      <c r="O1528" s="914"/>
      <c r="P1528" s="947" t="s">
        <v>3543</v>
      </c>
    </row>
    <row r="1529" spans="1:16" x14ac:dyDescent="0.2">
      <c r="A1529" s="912" t="s">
        <v>3215</v>
      </c>
      <c r="B1529" s="912" t="s">
        <v>3216</v>
      </c>
      <c r="C1529" s="912" t="s">
        <v>3609</v>
      </c>
      <c r="D1529" s="912"/>
      <c r="E1529" s="914" t="s">
        <v>3613</v>
      </c>
      <c r="F1529" s="914">
        <v>70791639</v>
      </c>
      <c r="G1529" s="912" t="s">
        <v>3647</v>
      </c>
      <c r="H1529" s="912" t="s">
        <v>2259</v>
      </c>
      <c r="I1529" s="912"/>
      <c r="J1529" s="912" t="s">
        <v>940</v>
      </c>
      <c r="K1529" s="946"/>
      <c r="L1529" s="914">
        <v>9</v>
      </c>
      <c r="M1529" s="947" t="s">
        <v>3615</v>
      </c>
      <c r="N1529" s="946"/>
      <c r="O1529" s="914"/>
      <c r="P1529" s="947" t="s">
        <v>3543</v>
      </c>
    </row>
    <row r="1530" spans="1:16" x14ac:dyDescent="0.2">
      <c r="A1530" s="912" t="s">
        <v>3215</v>
      </c>
      <c r="B1530" s="912" t="s">
        <v>3216</v>
      </c>
      <c r="C1530" s="912" t="s">
        <v>3609</v>
      </c>
      <c r="D1530" s="912"/>
      <c r="E1530" s="914" t="s">
        <v>3610</v>
      </c>
      <c r="F1530" s="914">
        <v>43132364</v>
      </c>
      <c r="G1530" s="912" t="s">
        <v>3648</v>
      </c>
      <c r="H1530" s="912" t="s">
        <v>1175</v>
      </c>
      <c r="I1530" s="912"/>
      <c r="J1530" s="912" t="s">
        <v>940</v>
      </c>
      <c r="K1530" s="946"/>
      <c r="L1530" s="914">
        <v>9</v>
      </c>
      <c r="M1530" s="947" t="s">
        <v>3612</v>
      </c>
      <c r="N1530" s="946"/>
      <c r="O1530" s="914"/>
      <c r="P1530" s="947" t="s">
        <v>3543</v>
      </c>
    </row>
    <row r="1531" spans="1:16" x14ac:dyDescent="0.2">
      <c r="A1531" s="912" t="s">
        <v>3215</v>
      </c>
      <c r="B1531" s="912" t="s">
        <v>3216</v>
      </c>
      <c r="C1531" s="912" t="s">
        <v>3609</v>
      </c>
      <c r="D1531" s="912"/>
      <c r="E1531" s="914" t="s">
        <v>3613</v>
      </c>
      <c r="F1531" s="914">
        <v>46705200</v>
      </c>
      <c r="G1531" s="912" t="s">
        <v>3649</v>
      </c>
      <c r="H1531" s="912" t="s">
        <v>2259</v>
      </c>
      <c r="I1531" s="912"/>
      <c r="J1531" s="912" t="s">
        <v>940</v>
      </c>
      <c r="K1531" s="946"/>
      <c r="L1531" s="914">
        <v>9</v>
      </c>
      <c r="M1531" s="947" t="s">
        <v>3615</v>
      </c>
      <c r="N1531" s="946"/>
      <c r="O1531" s="914"/>
      <c r="P1531" s="947" t="s">
        <v>3543</v>
      </c>
    </row>
    <row r="1532" spans="1:16" x14ac:dyDescent="0.2">
      <c r="A1532" s="912" t="s">
        <v>3215</v>
      </c>
      <c r="B1532" s="912" t="s">
        <v>3216</v>
      </c>
      <c r="C1532" s="912" t="s">
        <v>3609</v>
      </c>
      <c r="D1532" s="912"/>
      <c r="E1532" s="914" t="s">
        <v>3610</v>
      </c>
      <c r="F1532" s="914">
        <v>70434121</v>
      </c>
      <c r="G1532" s="912" t="s">
        <v>3650</v>
      </c>
      <c r="H1532" s="912" t="s">
        <v>1175</v>
      </c>
      <c r="I1532" s="912"/>
      <c r="J1532" s="912" t="s">
        <v>940</v>
      </c>
      <c r="K1532" s="946"/>
      <c r="L1532" s="914">
        <v>9</v>
      </c>
      <c r="M1532" s="947" t="s">
        <v>3612</v>
      </c>
      <c r="N1532" s="946"/>
      <c r="O1532" s="914"/>
      <c r="P1532" s="947" t="s">
        <v>3543</v>
      </c>
    </row>
    <row r="1533" spans="1:16" x14ac:dyDescent="0.2">
      <c r="A1533" s="912" t="s">
        <v>3215</v>
      </c>
      <c r="B1533" s="912" t="s">
        <v>3216</v>
      </c>
      <c r="C1533" s="912" t="s">
        <v>3609</v>
      </c>
      <c r="D1533" s="912"/>
      <c r="E1533" s="914" t="s">
        <v>3613</v>
      </c>
      <c r="F1533" s="914">
        <v>73356859</v>
      </c>
      <c r="G1533" s="912" t="s">
        <v>3651</v>
      </c>
      <c r="H1533" s="912" t="s">
        <v>1594</v>
      </c>
      <c r="I1533" s="912"/>
      <c r="J1533" s="912" t="s">
        <v>940</v>
      </c>
      <c r="K1533" s="946"/>
      <c r="L1533" s="914">
        <v>9</v>
      </c>
      <c r="M1533" s="947" t="s">
        <v>3615</v>
      </c>
      <c r="N1533" s="946"/>
      <c r="O1533" s="914"/>
      <c r="P1533" s="947" t="s">
        <v>3543</v>
      </c>
    </row>
    <row r="1534" spans="1:16" x14ac:dyDescent="0.2">
      <c r="A1534" s="912" t="s">
        <v>3215</v>
      </c>
      <c r="B1534" s="912" t="s">
        <v>3216</v>
      </c>
      <c r="C1534" s="912" t="s">
        <v>3609</v>
      </c>
      <c r="D1534" s="912"/>
      <c r="E1534" s="914" t="s">
        <v>3613</v>
      </c>
      <c r="F1534" s="914">
        <v>45627053</v>
      </c>
      <c r="G1534" s="912" t="s">
        <v>3652</v>
      </c>
      <c r="H1534" s="912" t="s">
        <v>1594</v>
      </c>
      <c r="I1534" s="912"/>
      <c r="J1534" s="912" t="s">
        <v>940</v>
      </c>
      <c r="K1534" s="946"/>
      <c r="L1534" s="914">
        <v>8</v>
      </c>
      <c r="M1534" s="947" t="s">
        <v>3653</v>
      </c>
      <c r="N1534" s="946"/>
      <c r="O1534" s="914"/>
      <c r="P1534" s="947" t="s">
        <v>3543</v>
      </c>
    </row>
    <row r="1535" spans="1:16" x14ac:dyDescent="0.2">
      <c r="A1535" s="912" t="s">
        <v>3215</v>
      </c>
      <c r="B1535" s="912" t="s">
        <v>3216</v>
      </c>
      <c r="C1535" s="912" t="s">
        <v>3609</v>
      </c>
      <c r="D1535" s="912"/>
      <c r="E1535" s="914" t="s">
        <v>3613</v>
      </c>
      <c r="F1535" s="914">
        <v>72310713</v>
      </c>
      <c r="G1535" s="912" t="s">
        <v>3654</v>
      </c>
      <c r="H1535" s="912" t="s">
        <v>1594</v>
      </c>
      <c r="I1535" s="912"/>
      <c r="J1535" s="912" t="s">
        <v>940</v>
      </c>
      <c r="K1535" s="946"/>
      <c r="L1535" s="914">
        <v>8</v>
      </c>
      <c r="M1535" s="947" t="s">
        <v>3653</v>
      </c>
      <c r="N1535" s="946"/>
      <c r="O1535" s="914"/>
      <c r="P1535" s="947" t="s">
        <v>3543</v>
      </c>
    </row>
    <row r="1536" spans="1:16" x14ac:dyDescent="0.2">
      <c r="A1536" s="912" t="s">
        <v>3215</v>
      </c>
      <c r="B1536" s="912" t="s">
        <v>3216</v>
      </c>
      <c r="C1536" s="912" t="s">
        <v>3609</v>
      </c>
      <c r="D1536" s="912"/>
      <c r="E1536" s="914" t="s">
        <v>3613</v>
      </c>
      <c r="F1536" s="914">
        <v>29610277</v>
      </c>
      <c r="G1536" s="912" t="s">
        <v>3655</v>
      </c>
      <c r="H1536" s="912" t="s">
        <v>2259</v>
      </c>
      <c r="I1536" s="912"/>
      <c r="J1536" s="912" t="s">
        <v>940</v>
      </c>
      <c r="K1536" s="946"/>
      <c r="L1536" s="914">
        <v>8</v>
      </c>
      <c r="M1536" s="947" t="s">
        <v>3653</v>
      </c>
      <c r="N1536" s="946"/>
      <c r="O1536" s="914"/>
      <c r="P1536" s="947" t="s">
        <v>3543</v>
      </c>
    </row>
    <row r="1537" spans="1:16" x14ac:dyDescent="0.2">
      <c r="A1537" s="912" t="s">
        <v>3215</v>
      </c>
      <c r="B1537" s="912" t="s">
        <v>3216</v>
      </c>
      <c r="C1537" s="912" t="s">
        <v>3609</v>
      </c>
      <c r="D1537" s="912"/>
      <c r="E1537" s="914" t="s">
        <v>3613</v>
      </c>
      <c r="F1537" s="914">
        <v>73333518</v>
      </c>
      <c r="G1537" s="912" t="s">
        <v>3656</v>
      </c>
      <c r="H1537" s="912" t="s">
        <v>1594</v>
      </c>
      <c r="I1537" s="912"/>
      <c r="J1537" s="912" t="s">
        <v>940</v>
      </c>
      <c r="K1537" s="946"/>
      <c r="L1537" s="914">
        <v>8</v>
      </c>
      <c r="M1537" s="947" t="s">
        <v>3653</v>
      </c>
      <c r="N1537" s="946"/>
      <c r="O1537" s="914"/>
      <c r="P1537" s="947" t="s">
        <v>3543</v>
      </c>
    </row>
    <row r="1538" spans="1:16" x14ac:dyDescent="0.2">
      <c r="A1538" s="912" t="s">
        <v>3215</v>
      </c>
      <c r="B1538" s="912" t="s">
        <v>3216</v>
      </c>
      <c r="C1538" s="912" t="s">
        <v>3609</v>
      </c>
      <c r="D1538" s="912"/>
      <c r="E1538" s="914" t="s">
        <v>3613</v>
      </c>
      <c r="F1538" s="914">
        <v>45199117</v>
      </c>
      <c r="G1538" s="912" t="s">
        <v>3657</v>
      </c>
      <c r="H1538" s="912" t="s">
        <v>1594</v>
      </c>
      <c r="I1538" s="912"/>
      <c r="J1538" s="912" t="s">
        <v>940</v>
      </c>
      <c r="K1538" s="946"/>
      <c r="L1538" s="914">
        <v>8</v>
      </c>
      <c r="M1538" s="947" t="s">
        <v>3653</v>
      </c>
      <c r="N1538" s="946"/>
      <c r="O1538" s="914"/>
      <c r="P1538" s="947" t="s">
        <v>3543</v>
      </c>
    </row>
    <row r="1539" spans="1:16" x14ac:dyDescent="0.2">
      <c r="A1539" s="912" t="s">
        <v>3215</v>
      </c>
      <c r="B1539" s="912" t="s">
        <v>3216</v>
      </c>
      <c r="C1539" s="912" t="s">
        <v>3609</v>
      </c>
      <c r="D1539" s="912"/>
      <c r="E1539" s="914" t="s">
        <v>3613</v>
      </c>
      <c r="F1539" s="914">
        <v>43990302</v>
      </c>
      <c r="G1539" s="912" t="s">
        <v>3658</v>
      </c>
      <c r="H1539" s="912" t="s">
        <v>1594</v>
      </c>
      <c r="I1539" s="912"/>
      <c r="J1539" s="912" t="s">
        <v>940</v>
      </c>
      <c r="K1539" s="946"/>
      <c r="L1539" s="914">
        <v>8</v>
      </c>
      <c r="M1539" s="947" t="s">
        <v>3653</v>
      </c>
      <c r="N1539" s="946"/>
      <c r="O1539" s="914"/>
      <c r="P1539" s="947" t="s">
        <v>3543</v>
      </c>
    </row>
    <row r="1540" spans="1:16" x14ac:dyDescent="0.2">
      <c r="A1540" s="912" t="s">
        <v>3215</v>
      </c>
      <c r="B1540" s="912" t="s">
        <v>3216</v>
      </c>
      <c r="C1540" s="912" t="s">
        <v>3609</v>
      </c>
      <c r="D1540" s="912"/>
      <c r="E1540" s="914" t="s">
        <v>3613</v>
      </c>
      <c r="F1540" s="914">
        <v>42425842</v>
      </c>
      <c r="G1540" s="912" t="s">
        <v>3659</v>
      </c>
      <c r="H1540" s="912" t="s">
        <v>2259</v>
      </c>
      <c r="I1540" s="912"/>
      <c r="J1540" s="912" t="s">
        <v>940</v>
      </c>
      <c r="K1540" s="946"/>
      <c r="L1540" s="914">
        <v>8</v>
      </c>
      <c r="M1540" s="947" t="s">
        <v>3653</v>
      </c>
      <c r="N1540" s="946"/>
      <c r="O1540" s="914"/>
      <c r="P1540" s="947" t="s">
        <v>3543</v>
      </c>
    </row>
    <row r="1541" spans="1:16" x14ac:dyDescent="0.2">
      <c r="A1541" s="912" t="s">
        <v>3215</v>
      </c>
      <c r="B1541" s="912" t="s">
        <v>3216</v>
      </c>
      <c r="C1541" s="912" t="s">
        <v>3609</v>
      </c>
      <c r="D1541" s="912"/>
      <c r="E1541" s="914" t="s">
        <v>3610</v>
      </c>
      <c r="F1541" s="914">
        <v>71902659</v>
      </c>
      <c r="G1541" s="912" t="s">
        <v>3660</v>
      </c>
      <c r="H1541" s="912" t="s">
        <v>1175</v>
      </c>
      <c r="I1541" s="912"/>
      <c r="J1541" s="912" t="s">
        <v>940</v>
      </c>
      <c r="K1541" s="946"/>
      <c r="L1541" s="914">
        <v>3</v>
      </c>
      <c r="M1541" s="947" t="s">
        <v>3644</v>
      </c>
      <c r="N1541" s="946"/>
      <c r="O1541" s="914"/>
      <c r="P1541" s="947" t="s">
        <v>3543</v>
      </c>
    </row>
    <row r="1542" spans="1:16" x14ac:dyDescent="0.2">
      <c r="A1542" s="912" t="s">
        <v>3215</v>
      </c>
      <c r="B1542" s="912" t="s">
        <v>3216</v>
      </c>
      <c r="C1542" s="912" t="s">
        <v>3609</v>
      </c>
      <c r="D1542" s="912"/>
      <c r="E1542" s="914" t="s">
        <v>3610</v>
      </c>
      <c r="F1542" s="914">
        <v>71215098</v>
      </c>
      <c r="G1542" s="912" t="s">
        <v>3661</v>
      </c>
      <c r="H1542" s="912" t="s">
        <v>1175</v>
      </c>
      <c r="I1542" s="912"/>
      <c r="J1542" s="912" t="s">
        <v>940</v>
      </c>
      <c r="K1542" s="946"/>
      <c r="L1542" s="914">
        <v>7</v>
      </c>
      <c r="M1542" s="947" t="s">
        <v>3662</v>
      </c>
      <c r="N1542" s="946"/>
      <c r="O1542" s="914"/>
      <c r="P1542" s="947" t="s">
        <v>3543</v>
      </c>
    </row>
    <row r="1543" spans="1:16" x14ac:dyDescent="0.2">
      <c r="A1543" s="912" t="s">
        <v>3215</v>
      </c>
      <c r="B1543" s="912" t="s">
        <v>3216</v>
      </c>
      <c r="C1543" s="912" t="s">
        <v>3609</v>
      </c>
      <c r="D1543" s="912"/>
      <c r="E1543" s="914" t="s">
        <v>3613</v>
      </c>
      <c r="F1543" s="914">
        <v>44928593</v>
      </c>
      <c r="G1543" s="912" t="s">
        <v>3663</v>
      </c>
      <c r="H1543" s="912" t="s">
        <v>2259</v>
      </c>
      <c r="I1543" s="912"/>
      <c r="J1543" s="912" t="s">
        <v>940</v>
      </c>
      <c r="K1543" s="946"/>
      <c r="L1543" s="914">
        <v>6</v>
      </c>
      <c r="M1543" s="947" t="s">
        <v>3644</v>
      </c>
      <c r="N1543" s="946"/>
      <c r="O1543" s="914"/>
      <c r="P1543" s="947" t="s">
        <v>3543</v>
      </c>
    </row>
    <row r="1544" spans="1:16" x14ac:dyDescent="0.2">
      <c r="A1544" s="912" t="s">
        <v>3215</v>
      </c>
      <c r="B1544" s="912" t="s">
        <v>3216</v>
      </c>
      <c r="C1544" s="912" t="s">
        <v>3609</v>
      </c>
      <c r="D1544" s="912"/>
      <c r="E1544" s="914" t="s">
        <v>3610</v>
      </c>
      <c r="F1544" s="914">
        <v>46421976</v>
      </c>
      <c r="G1544" s="912" t="s">
        <v>3664</v>
      </c>
      <c r="H1544" s="912" t="s">
        <v>1175</v>
      </c>
      <c r="I1544" s="912"/>
      <c r="J1544" s="912" t="s">
        <v>940</v>
      </c>
      <c r="K1544" s="946"/>
      <c r="L1544" s="914">
        <v>6</v>
      </c>
      <c r="M1544" s="947" t="s">
        <v>3665</v>
      </c>
      <c r="N1544" s="946"/>
      <c r="O1544" s="914"/>
      <c r="P1544" s="947" t="s">
        <v>3543</v>
      </c>
    </row>
    <row r="1545" spans="1:16" x14ac:dyDescent="0.2">
      <c r="A1545" s="912" t="s">
        <v>3215</v>
      </c>
      <c r="B1545" s="912" t="s">
        <v>3216</v>
      </c>
      <c r="C1545" s="912" t="s">
        <v>3609</v>
      </c>
      <c r="D1545" s="912"/>
      <c r="E1545" s="914" t="s">
        <v>3610</v>
      </c>
      <c r="F1545" s="914">
        <v>43851813</v>
      </c>
      <c r="G1545" s="912" t="s">
        <v>3666</v>
      </c>
      <c r="H1545" s="912" t="s">
        <v>1175</v>
      </c>
      <c r="I1545" s="912"/>
      <c r="J1545" s="912" t="s">
        <v>940</v>
      </c>
      <c r="K1545" s="946"/>
      <c r="L1545" s="914">
        <v>6</v>
      </c>
      <c r="M1545" s="947" t="s">
        <v>3665</v>
      </c>
      <c r="N1545" s="946"/>
      <c r="O1545" s="914"/>
      <c r="P1545" s="947" t="s">
        <v>3543</v>
      </c>
    </row>
    <row r="1546" spans="1:16" x14ac:dyDescent="0.2">
      <c r="A1546" s="912" t="s">
        <v>3215</v>
      </c>
      <c r="B1546" s="912" t="s">
        <v>3216</v>
      </c>
      <c r="C1546" s="912" t="s">
        <v>3609</v>
      </c>
      <c r="D1546" s="912"/>
      <c r="E1546" s="914" t="s">
        <v>3613</v>
      </c>
      <c r="F1546" s="914">
        <v>46550841</v>
      </c>
      <c r="G1546" s="912" t="s">
        <v>3667</v>
      </c>
      <c r="H1546" s="912" t="s">
        <v>1594</v>
      </c>
      <c r="I1546" s="912"/>
      <c r="J1546" s="912" t="s">
        <v>940</v>
      </c>
      <c r="K1546" s="946"/>
      <c r="L1546" s="914">
        <v>2</v>
      </c>
      <c r="M1546" s="947" t="s">
        <v>3610</v>
      </c>
      <c r="N1546" s="946"/>
      <c r="O1546" s="914"/>
      <c r="P1546" s="947" t="s">
        <v>3543</v>
      </c>
    </row>
    <row r="1547" spans="1:16" x14ac:dyDescent="0.2">
      <c r="A1547" s="912"/>
      <c r="B1547" s="912"/>
      <c r="C1547" s="912"/>
      <c r="D1547" s="912"/>
      <c r="E1547" s="912"/>
      <c r="F1547" s="912"/>
      <c r="G1547" s="912"/>
      <c r="H1547" s="912"/>
      <c r="I1547" s="912"/>
      <c r="J1547" s="912"/>
      <c r="K1547" s="946"/>
      <c r="L1547" s="912"/>
      <c r="M1547" s="912"/>
      <c r="N1547" s="946"/>
      <c r="O1547" s="912"/>
      <c r="P1547" s="912"/>
    </row>
    <row r="1548" spans="1:16" x14ac:dyDescent="0.2">
      <c r="A1548" s="912"/>
      <c r="B1548" s="912"/>
      <c r="C1548" s="912"/>
      <c r="D1548" s="912"/>
      <c r="E1548" s="912"/>
      <c r="F1548" s="912"/>
      <c r="G1548" s="912"/>
      <c r="H1548" s="912"/>
      <c r="I1548" s="912"/>
      <c r="J1548" s="912"/>
      <c r="K1548" s="946"/>
      <c r="L1548" s="912"/>
      <c r="M1548" s="912"/>
      <c r="N1548" s="946"/>
      <c r="O1548" s="912"/>
      <c r="P1548" s="912"/>
    </row>
    <row r="1549" spans="1:16" x14ac:dyDescent="0.2">
      <c r="A1549" s="912" t="s">
        <v>3215</v>
      </c>
      <c r="B1549" s="912" t="s">
        <v>3216</v>
      </c>
      <c r="C1549" s="912" t="s">
        <v>3609</v>
      </c>
      <c r="D1549" s="912"/>
      <c r="E1549" s="914" t="s">
        <v>3474</v>
      </c>
      <c r="F1549" s="914">
        <v>42273798</v>
      </c>
      <c r="G1549" s="912" t="s">
        <v>3611</v>
      </c>
      <c r="H1549" s="912" t="s">
        <v>1175</v>
      </c>
      <c r="I1549" s="912"/>
      <c r="J1549" s="912" t="s">
        <v>940</v>
      </c>
      <c r="K1549" s="946"/>
      <c r="L1549" s="914"/>
      <c r="M1549" s="947" t="s">
        <v>3543</v>
      </c>
      <c r="N1549" s="914" t="s">
        <v>3668</v>
      </c>
      <c r="O1549" s="914">
        <v>6</v>
      </c>
      <c r="P1549" s="947" t="s">
        <v>3477</v>
      </c>
    </row>
    <row r="1550" spans="1:16" x14ac:dyDescent="0.2">
      <c r="A1550" s="912" t="s">
        <v>3215</v>
      </c>
      <c r="B1550" s="912" t="s">
        <v>3216</v>
      </c>
      <c r="C1550" s="912" t="s">
        <v>3609</v>
      </c>
      <c r="D1550" s="912"/>
      <c r="E1550" s="914" t="s">
        <v>3468</v>
      </c>
      <c r="F1550" s="914">
        <v>44404122</v>
      </c>
      <c r="G1550" s="912" t="s">
        <v>3614</v>
      </c>
      <c r="H1550" s="912" t="s">
        <v>1594</v>
      </c>
      <c r="I1550" s="912"/>
      <c r="J1550" s="912" t="s">
        <v>940</v>
      </c>
      <c r="K1550" s="946"/>
      <c r="L1550" s="914"/>
      <c r="M1550" s="947" t="s">
        <v>3543</v>
      </c>
      <c r="N1550" s="914" t="s">
        <v>3669</v>
      </c>
      <c r="O1550" s="914">
        <v>6</v>
      </c>
      <c r="P1550" s="947" t="s">
        <v>3471</v>
      </c>
    </row>
    <row r="1551" spans="1:16" x14ac:dyDescent="0.2">
      <c r="A1551" s="912" t="s">
        <v>3215</v>
      </c>
      <c r="B1551" s="912" t="s">
        <v>3216</v>
      </c>
      <c r="C1551" s="912" t="s">
        <v>3609</v>
      </c>
      <c r="D1551" s="912"/>
      <c r="E1551" s="914" t="s">
        <v>3468</v>
      </c>
      <c r="F1551" s="914">
        <v>43517427</v>
      </c>
      <c r="G1551" s="912" t="s">
        <v>3616</v>
      </c>
      <c r="H1551" s="912" t="s">
        <v>1594</v>
      </c>
      <c r="I1551" s="912"/>
      <c r="J1551" s="912" t="s">
        <v>940</v>
      </c>
      <c r="K1551" s="946"/>
      <c r="L1551" s="914"/>
      <c r="M1551" s="947" t="s">
        <v>3543</v>
      </c>
      <c r="N1551" s="914" t="s">
        <v>3670</v>
      </c>
      <c r="O1551" s="914">
        <v>6</v>
      </c>
      <c r="P1551" s="947" t="s">
        <v>3471</v>
      </c>
    </row>
    <row r="1552" spans="1:16" x14ac:dyDescent="0.2">
      <c r="A1552" s="912" t="s">
        <v>3215</v>
      </c>
      <c r="B1552" s="912" t="s">
        <v>3216</v>
      </c>
      <c r="C1552" s="912" t="s">
        <v>3609</v>
      </c>
      <c r="D1552" s="912"/>
      <c r="E1552" s="914" t="s">
        <v>3474</v>
      </c>
      <c r="F1552" s="914">
        <v>44936064</v>
      </c>
      <c r="G1552" s="912" t="s">
        <v>3617</v>
      </c>
      <c r="H1552" s="912" t="s">
        <v>1175</v>
      </c>
      <c r="I1552" s="912"/>
      <c r="J1552" s="912" t="s">
        <v>940</v>
      </c>
      <c r="K1552" s="946"/>
      <c r="L1552" s="914"/>
      <c r="M1552" s="947" t="s">
        <v>3543</v>
      </c>
      <c r="N1552" s="914" t="s">
        <v>3671</v>
      </c>
      <c r="O1552" s="914">
        <v>6</v>
      </c>
      <c r="P1552" s="947" t="s">
        <v>3477</v>
      </c>
    </row>
    <row r="1553" spans="1:16" x14ac:dyDescent="0.2">
      <c r="A1553" s="912" t="s">
        <v>3215</v>
      </c>
      <c r="B1553" s="912" t="s">
        <v>3216</v>
      </c>
      <c r="C1553" s="912" t="s">
        <v>3609</v>
      </c>
      <c r="D1553" s="912"/>
      <c r="E1553" s="914" t="s">
        <v>3474</v>
      </c>
      <c r="F1553" s="914">
        <v>43512577</v>
      </c>
      <c r="G1553" s="912" t="s">
        <v>3618</v>
      </c>
      <c r="H1553" s="912" t="s">
        <v>1175</v>
      </c>
      <c r="I1553" s="912"/>
      <c r="J1553" s="912" t="s">
        <v>940</v>
      </c>
      <c r="K1553" s="946"/>
      <c r="L1553" s="914"/>
      <c r="M1553" s="947" t="s">
        <v>3543</v>
      </c>
      <c r="N1553" s="914" t="s">
        <v>3672</v>
      </c>
      <c r="O1553" s="914">
        <v>6</v>
      </c>
      <c r="P1553" s="947" t="s">
        <v>3477</v>
      </c>
    </row>
    <row r="1554" spans="1:16" x14ac:dyDescent="0.2">
      <c r="A1554" s="912" t="s">
        <v>3215</v>
      </c>
      <c r="B1554" s="912" t="s">
        <v>3216</v>
      </c>
      <c r="C1554" s="912" t="s">
        <v>3609</v>
      </c>
      <c r="D1554" s="912"/>
      <c r="E1554" s="914" t="s">
        <v>3474</v>
      </c>
      <c r="F1554" s="914">
        <v>40320348</v>
      </c>
      <c r="G1554" s="912" t="s">
        <v>3619</v>
      </c>
      <c r="H1554" s="912" t="s">
        <v>1175</v>
      </c>
      <c r="I1554" s="912"/>
      <c r="J1554" s="912" t="s">
        <v>940</v>
      </c>
      <c r="K1554" s="946"/>
      <c r="L1554" s="914"/>
      <c r="M1554" s="947" t="s">
        <v>3543</v>
      </c>
      <c r="N1554" s="914" t="s">
        <v>3673</v>
      </c>
      <c r="O1554" s="914">
        <v>6</v>
      </c>
      <c r="P1554" s="947" t="s">
        <v>3477</v>
      </c>
    </row>
    <row r="1555" spans="1:16" x14ac:dyDescent="0.2">
      <c r="A1555" s="912" t="s">
        <v>3215</v>
      </c>
      <c r="B1555" s="912" t="s">
        <v>3216</v>
      </c>
      <c r="C1555" s="912" t="s">
        <v>3609</v>
      </c>
      <c r="D1555" s="912"/>
      <c r="E1555" s="914" t="s">
        <v>3568</v>
      </c>
      <c r="F1555" s="914">
        <v>42088630</v>
      </c>
      <c r="G1555" s="912" t="s">
        <v>3621</v>
      </c>
      <c r="H1555" s="912" t="s">
        <v>1052</v>
      </c>
      <c r="I1555" s="912"/>
      <c r="J1555" s="912" t="s">
        <v>1412</v>
      </c>
      <c r="K1555" s="946"/>
      <c r="L1555" s="914"/>
      <c r="M1555" s="947" t="s">
        <v>3543</v>
      </c>
      <c r="N1555" s="914" t="s">
        <v>3674</v>
      </c>
      <c r="O1555" s="914">
        <v>6</v>
      </c>
      <c r="P1555" s="947" t="s">
        <v>3567</v>
      </c>
    </row>
    <row r="1556" spans="1:16" x14ac:dyDescent="0.2">
      <c r="A1556" s="912" t="s">
        <v>3215</v>
      </c>
      <c r="B1556" s="912" t="s">
        <v>3216</v>
      </c>
      <c r="C1556" s="912" t="s">
        <v>3609</v>
      </c>
      <c r="D1556" s="912"/>
      <c r="E1556" s="914" t="s">
        <v>3568</v>
      </c>
      <c r="F1556" s="914">
        <v>45887686</v>
      </c>
      <c r="G1556" s="912" t="s">
        <v>3624</v>
      </c>
      <c r="H1556" s="912" t="s">
        <v>1028</v>
      </c>
      <c r="I1556" s="912"/>
      <c r="J1556" s="912" t="s">
        <v>1412</v>
      </c>
      <c r="K1556" s="946"/>
      <c r="L1556" s="914"/>
      <c r="M1556" s="947" t="s">
        <v>3543</v>
      </c>
      <c r="N1556" s="914" t="s">
        <v>3675</v>
      </c>
      <c r="O1556" s="914">
        <v>6</v>
      </c>
      <c r="P1556" s="947" t="s">
        <v>3567</v>
      </c>
    </row>
    <row r="1557" spans="1:16" x14ac:dyDescent="0.2">
      <c r="A1557" s="912" t="s">
        <v>3215</v>
      </c>
      <c r="B1557" s="912" t="s">
        <v>3216</v>
      </c>
      <c r="C1557" s="912" t="s">
        <v>3609</v>
      </c>
      <c r="D1557" s="912"/>
      <c r="E1557" s="914" t="s">
        <v>3568</v>
      </c>
      <c r="F1557" s="914">
        <v>30589327</v>
      </c>
      <c r="G1557" s="912" t="s">
        <v>3626</v>
      </c>
      <c r="H1557" s="912" t="s">
        <v>1052</v>
      </c>
      <c r="I1557" s="912"/>
      <c r="J1557" s="912" t="s">
        <v>1412</v>
      </c>
      <c r="K1557" s="946"/>
      <c r="L1557" s="914"/>
      <c r="M1557" s="947" t="s">
        <v>3543</v>
      </c>
      <c r="N1557" s="914" t="s">
        <v>3676</v>
      </c>
      <c r="O1557" s="914">
        <v>6</v>
      </c>
      <c r="P1557" s="947" t="s">
        <v>3567</v>
      </c>
    </row>
    <row r="1558" spans="1:16" x14ac:dyDescent="0.2">
      <c r="A1558" s="912" t="s">
        <v>3215</v>
      </c>
      <c r="B1558" s="912" t="s">
        <v>3216</v>
      </c>
      <c r="C1558" s="912" t="s">
        <v>3609</v>
      </c>
      <c r="D1558" s="912"/>
      <c r="E1558" s="914" t="s">
        <v>3568</v>
      </c>
      <c r="F1558" s="914">
        <v>47253652</v>
      </c>
      <c r="G1558" s="912" t="s">
        <v>3627</v>
      </c>
      <c r="H1558" s="912" t="s">
        <v>1028</v>
      </c>
      <c r="I1558" s="912"/>
      <c r="J1558" s="912" t="s">
        <v>1412</v>
      </c>
      <c r="K1558" s="946"/>
      <c r="L1558" s="914"/>
      <c r="M1558" s="947" t="s">
        <v>3543</v>
      </c>
      <c r="N1558" s="914" t="s">
        <v>3677</v>
      </c>
      <c r="O1558" s="914">
        <v>6</v>
      </c>
      <c r="P1558" s="947" t="s">
        <v>3567</v>
      </c>
    </row>
    <row r="1559" spans="1:16" x14ac:dyDescent="0.2">
      <c r="A1559" s="912" t="s">
        <v>3215</v>
      </c>
      <c r="B1559" s="912" t="s">
        <v>3216</v>
      </c>
      <c r="C1559" s="912" t="s">
        <v>3609</v>
      </c>
      <c r="D1559" s="912"/>
      <c r="E1559" s="914" t="s">
        <v>3568</v>
      </c>
      <c r="F1559" s="914">
        <v>40460425</v>
      </c>
      <c r="G1559" s="912" t="s">
        <v>3628</v>
      </c>
      <c r="H1559" s="912" t="s">
        <v>1028</v>
      </c>
      <c r="I1559" s="912"/>
      <c r="J1559" s="912" t="s">
        <v>1412</v>
      </c>
      <c r="K1559" s="946"/>
      <c r="L1559" s="914"/>
      <c r="M1559" s="947" t="s">
        <v>3543</v>
      </c>
      <c r="N1559" s="914" t="s">
        <v>3678</v>
      </c>
      <c r="O1559" s="914">
        <v>6</v>
      </c>
      <c r="P1559" s="947" t="s">
        <v>3567</v>
      </c>
    </row>
    <row r="1560" spans="1:16" x14ac:dyDescent="0.2">
      <c r="A1560" s="912" t="s">
        <v>3215</v>
      </c>
      <c r="B1560" s="912" t="s">
        <v>3216</v>
      </c>
      <c r="C1560" s="912" t="s">
        <v>3609</v>
      </c>
      <c r="D1560" s="912"/>
      <c r="E1560" s="914" t="s">
        <v>3568</v>
      </c>
      <c r="F1560" s="914">
        <v>48559171</v>
      </c>
      <c r="G1560" s="912" t="s">
        <v>3629</v>
      </c>
      <c r="H1560" s="912" t="s">
        <v>1028</v>
      </c>
      <c r="I1560" s="912"/>
      <c r="J1560" s="912" t="s">
        <v>1412</v>
      </c>
      <c r="K1560" s="946"/>
      <c r="L1560" s="914"/>
      <c r="M1560" s="947" t="s">
        <v>3543</v>
      </c>
      <c r="N1560" s="914" t="s">
        <v>3679</v>
      </c>
      <c r="O1560" s="914">
        <v>6</v>
      </c>
      <c r="P1560" s="947" t="s">
        <v>3567</v>
      </c>
    </row>
    <row r="1561" spans="1:16" x14ac:dyDescent="0.2">
      <c r="A1561" s="912" t="s">
        <v>3215</v>
      </c>
      <c r="B1561" s="912" t="s">
        <v>3216</v>
      </c>
      <c r="C1561" s="912" t="s">
        <v>3609</v>
      </c>
      <c r="D1561" s="912"/>
      <c r="E1561" s="914" t="s">
        <v>3568</v>
      </c>
      <c r="F1561" s="914">
        <v>30571887</v>
      </c>
      <c r="G1561" s="912" t="s">
        <v>3630</v>
      </c>
      <c r="H1561" s="912" t="s">
        <v>1052</v>
      </c>
      <c r="I1561" s="912"/>
      <c r="J1561" s="912" t="s">
        <v>1412</v>
      </c>
      <c r="K1561" s="946"/>
      <c r="L1561" s="914"/>
      <c r="M1561" s="947" t="s">
        <v>3543</v>
      </c>
      <c r="N1561" s="914" t="s">
        <v>3680</v>
      </c>
      <c r="O1561" s="914">
        <v>6</v>
      </c>
      <c r="P1561" s="947" t="s">
        <v>3567</v>
      </c>
    </row>
    <row r="1562" spans="1:16" x14ac:dyDescent="0.2">
      <c r="A1562" s="912" t="s">
        <v>3215</v>
      </c>
      <c r="B1562" s="912" t="s">
        <v>3216</v>
      </c>
      <c r="C1562" s="912" t="s">
        <v>3609</v>
      </c>
      <c r="D1562" s="912"/>
      <c r="E1562" s="914" t="s">
        <v>3568</v>
      </c>
      <c r="F1562" s="914">
        <v>43182863</v>
      </c>
      <c r="G1562" s="912" t="s">
        <v>3631</v>
      </c>
      <c r="H1562" s="912" t="s">
        <v>1028</v>
      </c>
      <c r="I1562" s="912"/>
      <c r="J1562" s="912" t="s">
        <v>1412</v>
      </c>
      <c r="K1562" s="946"/>
      <c r="L1562" s="914"/>
      <c r="M1562" s="947" t="s">
        <v>3543</v>
      </c>
      <c r="N1562" s="914" t="s">
        <v>3681</v>
      </c>
      <c r="O1562" s="914">
        <v>6</v>
      </c>
      <c r="P1562" s="947" t="s">
        <v>3567</v>
      </c>
    </row>
    <row r="1563" spans="1:16" x14ac:dyDescent="0.2">
      <c r="A1563" s="912" t="s">
        <v>3215</v>
      </c>
      <c r="B1563" s="912" t="s">
        <v>3216</v>
      </c>
      <c r="C1563" s="912" t="s">
        <v>3609</v>
      </c>
      <c r="D1563" s="912"/>
      <c r="E1563" s="914" t="s">
        <v>3568</v>
      </c>
      <c r="F1563" s="914">
        <v>40441291</v>
      </c>
      <c r="G1563" s="912" t="s">
        <v>3632</v>
      </c>
      <c r="H1563" s="912" t="s">
        <v>1052</v>
      </c>
      <c r="I1563" s="912"/>
      <c r="J1563" s="912" t="s">
        <v>1412</v>
      </c>
      <c r="K1563" s="946"/>
      <c r="L1563" s="914"/>
      <c r="M1563" s="947" t="s">
        <v>3543</v>
      </c>
      <c r="N1563" s="914" t="s">
        <v>3682</v>
      </c>
      <c r="O1563" s="914">
        <v>6</v>
      </c>
      <c r="P1563" s="947" t="s">
        <v>3567</v>
      </c>
    </row>
    <row r="1564" spans="1:16" x14ac:dyDescent="0.2">
      <c r="A1564" s="912" t="s">
        <v>3215</v>
      </c>
      <c r="B1564" s="912" t="s">
        <v>3216</v>
      </c>
      <c r="C1564" s="912" t="s">
        <v>3609</v>
      </c>
      <c r="D1564" s="912"/>
      <c r="E1564" s="914" t="s">
        <v>3592</v>
      </c>
      <c r="F1564" s="914">
        <v>76244660</v>
      </c>
      <c r="G1564" s="912" t="s">
        <v>3633</v>
      </c>
      <c r="H1564" s="912" t="s">
        <v>1979</v>
      </c>
      <c r="I1564" s="912"/>
      <c r="J1564" s="912" t="s">
        <v>1412</v>
      </c>
      <c r="K1564" s="946"/>
      <c r="L1564" s="914"/>
      <c r="M1564" s="947" t="s">
        <v>3543</v>
      </c>
      <c r="N1564" s="914" t="s">
        <v>3683</v>
      </c>
      <c r="O1564" s="914">
        <v>6</v>
      </c>
      <c r="P1564" s="947" t="s">
        <v>3684</v>
      </c>
    </row>
    <row r="1565" spans="1:16" x14ac:dyDescent="0.2">
      <c r="A1565" s="912" t="s">
        <v>3215</v>
      </c>
      <c r="B1565" s="912" t="s">
        <v>3216</v>
      </c>
      <c r="C1565" s="912" t="s">
        <v>3609</v>
      </c>
      <c r="D1565" s="912"/>
      <c r="E1565" s="914" t="s">
        <v>3592</v>
      </c>
      <c r="F1565" s="914">
        <v>42691360</v>
      </c>
      <c r="G1565" s="912" t="s">
        <v>3634</v>
      </c>
      <c r="H1565" s="912" t="s">
        <v>1979</v>
      </c>
      <c r="I1565" s="912"/>
      <c r="J1565" s="912" t="s">
        <v>1412</v>
      </c>
      <c r="K1565" s="946"/>
      <c r="L1565" s="914"/>
      <c r="M1565" s="947" t="s">
        <v>3543</v>
      </c>
      <c r="N1565" s="914" t="s">
        <v>3685</v>
      </c>
      <c r="O1565" s="914">
        <v>6</v>
      </c>
      <c r="P1565" s="947" t="s">
        <v>3684</v>
      </c>
    </row>
    <row r="1566" spans="1:16" x14ac:dyDescent="0.2">
      <c r="A1566" s="912" t="s">
        <v>3215</v>
      </c>
      <c r="B1566" s="912" t="s">
        <v>3216</v>
      </c>
      <c r="C1566" s="912" t="s">
        <v>3609</v>
      </c>
      <c r="D1566" s="912"/>
      <c r="E1566" s="914" t="s">
        <v>3568</v>
      </c>
      <c r="F1566" s="914">
        <v>77134887</v>
      </c>
      <c r="G1566" s="912" t="s">
        <v>3635</v>
      </c>
      <c r="H1566" s="912" t="s">
        <v>1028</v>
      </c>
      <c r="I1566" s="912"/>
      <c r="J1566" s="912" t="s">
        <v>1412</v>
      </c>
      <c r="K1566" s="946"/>
      <c r="L1566" s="914"/>
      <c r="M1566" s="947" t="s">
        <v>3543</v>
      </c>
      <c r="N1566" s="914" t="s">
        <v>3686</v>
      </c>
      <c r="O1566" s="914">
        <v>6</v>
      </c>
      <c r="P1566" s="947" t="s">
        <v>3567</v>
      </c>
    </row>
    <row r="1567" spans="1:16" x14ac:dyDescent="0.2">
      <c r="A1567" s="912" t="s">
        <v>3215</v>
      </c>
      <c r="B1567" s="912" t="s">
        <v>3216</v>
      </c>
      <c r="C1567" s="912" t="s">
        <v>3609</v>
      </c>
      <c r="D1567" s="912"/>
      <c r="E1567" s="914" t="s">
        <v>3468</v>
      </c>
      <c r="F1567" s="914">
        <v>44143206</v>
      </c>
      <c r="G1567" s="912" t="s">
        <v>3636</v>
      </c>
      <c r="H1567" s="912" t="s">
        <v>1594</v>
      </c>
      <c r="I1567" s="912"/>
      <c r="J1567" s="912" t="s">
        <v>1412</v>
      </c>
      <c r="K1567" s="946"/>
      <c r="L1567" s="914"/>
      <c r="M1567" s="947" t="s">
        <v>3543</v>
      </c>
      <c r="N1567" s="946"/>
      <c r="O1567" s="914">
        <v>6</v>
      </c>
      <c r="P1567" s="947" t="s">
        <v>3471</v>
      </c>
    </row>
    <row r="1568" spans="1:16" x14ac:dyDescent="0.2">
      <c r="A1568" s="912" t="s">
        <v>3215</v>
      </c>
      <c r="B1568" s="912" t="s">
        <v>3216</v>
      </c>
      <c r="C1568" s="912" t="s">
        <v>3609</v>
      </c>
      <c r="D1568" s="912"/>
      <c r="E1568" s="914" t="s">
        <v>3468</v>
      </c>
      <c r="F1568" s="914">
        <v>46923347</v>
      </c>
      <c r="G1568" s="912" t="s">
        <v>3637</v>
      </c>
      <c r="H1568" s="912" t="s">
        <v>2259</v>
      </c>
      <c r="I1568" s="912"/>
      <c r="J1568" s="912" t="s">
        <v>940</v>
      </c>
      <c r="K1568" s="946"/>
      <c r="L1568" s="914"/>
      <c r="M1568" s="947" t="s">
        <v>3543</v>
      </c>
      <c r="N1568" s="946"/>
      <c r="O1568" s="914">
        <v>6</v>
      </c>
      <c r="P1568" s="947" t="s">
        <v>3471</v>
      </c>
    </row>
    <row r="1569" spans="1:16" x14ac:dyDescent="0.2">
      <c r="A1569" s="912" t="s">
        <v>3215</v>
      </c>
      <c r="B1569" s="912" t="s">
        <v>3216</v>
      </c>
      <c r="C1569" s="912" t="s">
        <v>3609</v>
      </c>
      <c r="D1569" s="912"/>
      <c r="E1569" s="914" t="s">
        <v>3474</v>
      </c>
      <c r="F1569" s="914">
        <v>42425481</v>
      </c>
      <c r="G1569" s="912" t="s">
        <v>3638</v>
      </c>
      <c r="H1569" s="912" t="s">
        <v>1175</v>
      </c>
      <c r="I1569" s="912"/>
      <c r="J1569" s="912" t="s">
        <v>940</v>
      </c>
      <c r="K1569" s="946"/>
      <c r="L1569" s="914"/>
      <c r="M1569" s="947" t="s">
        <v>3543</v>
      </c>
      <c r="N1569" s="914" t="s">
        <v>3687</v>
      </c>
      <c r="O1569" s="914">
        <v>6</v>
      </c>
      <c r="P1569" s="947" t="s">
        <v>3477</v>
      </c>
    </row>
    <row r="1570" spans="1:16" x14ac:dyDescent="0.2">
      <c r="A1570" s="912" t="s">
        <v>3215</v>
      </c>
      <c r="B1570" s="912" t="s">
        <v>3216</v>
      </c>
      <c r="C1570" s="912" t="s">
        <v>3609</v>
      </c>
      <c r="D1570" s="912"/>
      <c r="E1570" s="914" t="s">
        <v>3474</v>
      </c>
      <c r="F1570" s="914">
        <v>42337429</v>
      </c>
      <c r="G1570" s="912" t="s">
        <v>3639</v>
      </c>
      <c r="H1570" s="912" t="s">
        <v>1175</v>
      </c>
      <c r="I1570" s="912"/>
      <c r="J1570" s="912" t="s">
        <v>940</v>
      </c>
      <c r="K1570" s="946"/>
      <c r="L1570" s="914"/>
      <c r="M1570" s="947" t="s">
        <v>3543</v>
      </c>
      <c r="N1570" s="946"/>
      <c r="O1570" s="914">
        <v>6</v>
      </c>
      <c r="P1570" s="947" t="s">
        <v>3477</v>
      </c>
    </row>
    <row r="1571" spans="1:16" x14ac:dyDescent="0.2">
      <c r="A1571" s="912" t="s">
        <v>3215</v>
      </c>
      <c r="B1571" s="912" t="s">
        <v>3216</v>
      </c>
      <c r="C1571" s="912" t="s">
        <v>3609</v>
      </c>
      <c r="D1571" s="912"/>
      <c r="E1571" s="914" t="s">
        <v>3468</v>
      </c>
      <c r="F1571" s="914">
        <v>46671335</v>
      </c>
      <c r="G1571" s="912" t="s">
        <v>3640</v>
      </c>
      <c r="H1571" s="912" t="s">
        <v>2259</v>
      </c>
      <c r="I1571" s="912"/>
      <c r="J1571" s="912" t="s">
        <v>940</v>
      </c>
      <c r="K1571" s="946"/>
      <c r="L1571" s="914"/>
      <c r="M1571" s="947" t="s">
        <v>3543</v>
      </c>
      <c r="N1571" s="946"/>
      <c r="O1571" s="914">
        <v>6</v>
      </c>
      <c r="P1571" s="947" t="s">
        <v>3471</v>
      </c>
    </row>
    <row r="1572" spans="1:16" x14ac:dyDescent="0.2">
      <c r="A1572" s="912" t="s">
        <v>3215</v>
      </c>
      <c r="B1572" s="912" t="s">
        <v>3216</v>
      </c>
      <c r="C1572" s="912" t="s">
        <v>3609</v>
      </c>
      <c r="D1572" s="912"/>
      <c r="E1572" s="914" t="s">
        <v>3468</v>
      </c>
      <c r="F1572" s="914">
        <v>41347306</v>
      </c>
      <c r="G1572" s="912" t="s">
        <v>3641</v>
      </c>
      <c r="H1572" s="912" t="s">
        <v>1594</v>
      </c>
      <c r="I1572" s="912"/>
      <c r="J1572" s="912" t="s">
        <v>940</v>
      </c>
      <c r="K1572" s="946"/>
      <c r="L1572" s="949"/>
      <c r="M1572" s="947" t="s">
        <v>3543</v>
      </c>
      <c r="N1572" s="946"/>
      <c r="O1572" s="914">
        <v>1</v>
      </c>
      <c r="P1572" s="947" t="s">
        <v>3468</v>
      </c>
    </row>
    <row r="1573" spans="1:16" x14ac:dyDescent="0.2">
      <c r="A1573" s="912" t="s">
        <v>3215</v>
      </c>
      <c r="B1573" s="912" t="s">
        <v>3216</v>
      </c>
      <c r="C1573" s="912" t="s">
        <v>3609</v>
      </c>
      <c r="D1573" s="912"/>
      <c r="E1573" s="914" t="s">
        <v>3468</v>
      </c>
      <c r="F1573" s="914">
        <v>44401391</v>
      </c>
      <c r="G1573" s="912" t="s">
        <v>3642</v>
      </c>
      <c r="H1573" s="912" t="s">
        <v>2259</v>
      </c>
      <c r="I1573" s="912"/>
      <c r="J1573" s="912" t="s">
        <v>940</v>
      </c>
      <c r="K1573" s="946"/>
      <c r="L1573" s="914"/>
      <c r="M1573" s="947" t="s">
        <v>3543</v>
      </c>
      <c r="N1573" s="914" t="s">
        <v>3688</v>
      </c>
      <c r="O1573" s="914">
        <v>6</v>
      </c>
      <c r="P1573" s="947" t="s">
        <v>3471</v>
      </c>
    </row>
    <row r="1574" spans="1:16" x14ac:dyDescent="0.2">
      <c r="A1574" s="912" t="s">
        <v>3215</v>
      </c>
      <c r="B1574" s="912" t="s">
        <v>3216</v>
      </c>
      <c r="C1574" s="912" t="s">
        <v>3609</v>
      </c>
      <c r="D1574" s="912"/>
      <c r="E1574" s="914" t="s">
        <v>3568</v>
      </c>
      <c r="F1574" s="914">
        <v>80291759</v>
      </c>
      <c r="G1574" s="912" t="s">
        <v>3645</v>
      </c>
      <c r="H1574" s="912" t="s">
        <v>1246</v>
      </c>
      <c r="I1574" s="912"/>
      <c r="J1574" s="912" t="s">
        <v>1412</v>
      </c>
      <c r="K1574" s="946"/>
      <c r="L1574" s="914"/>
      <c r="M1574" s="947" t="s">
        <v>3543</v>
      </c>
      <c r="N1574" s="914" t="s">
        <v>3689</v>
      </c>
      <c r="O1574" s="914">
        <v>6</v>
      </c>
      <c r="P1574" s="947" t="s">
        <v>3567</v>
      </c>
    </row>
    <row r="1575" spans="1:16" x14ac:dyDescent="0.2">
      <c r="A1575" s="912" t="s">
        <v>3215</v>
      </c>
      <c r="B1575" s="912" t="s">
        <v>3216</v>
      </c>
      <c r="C1575" s="912" t="s">
        <v>3609</v>
      </c>
      <c r="D1575" s="912"/>
      <c r="E1575" s="914" t="s">
        <v>3468</v>
      </c>
      <c r="F1575" s="914">
        <v>70791639</v>
      </c>
      <c r="G1575" s="912" t="s">
        <v>3647</v>
      </c>
      <c r="H1575" s="912" t="s">
        <v>2259</v>
      </c>
      <c r="I1575" s="912"/>
      <c r="J1575" s="912" t="s">
        <v>940</v>
      </c>
      <c r="K1575" s="946"/>
      <c r="L1575" s="914"/>
      <c r="M1575" s="947" t="s">
        <v>3543</v>
      </c>
      <c r="N1575" s="914" t="s">
        <v>3690</v>
      </c>
      <c r="O1575" s="914">
        <v>6</v>
      </c>
      <c r="P1575" s="947" t="s">
        <v>3471</v>
      </c>
    </row>
    <row r="1576" spans="1:16" x14ac:dyDescent="0.2">
      <c r="A1576" s="912" t="s">
        <v>3215</v>
      </c>
      <c r="B1576" s="912" t="s">
        <v>3216</v>
      </c>
      <c r="C1576" s="912" t="s">
        <v>3609</v>
      </c>
      <c r="D1576" s="912"/>
      <c r="E1576" s="914" t="s">
        <v>3474</v>
      </c>
      <c r="F1576" s="914">
        <v>43132364</v>
      </c>
      <c r="G1576" s="912" t="s">
        <v>3648</v>
      </c>
      <c r="H1576" s="912" t="s">
        <v>1175</v>
      </c>
      <c r="I1576" s="912"/>
      <c r="J1576" s="912" t="s">
        <v>940</v>
      </c>
      <c r="K1576" s="946"/>
      <c r="L1576" s="914"/>
      <c r="M1576" s="947" t="s">
        <v>3543</v>
      </c>
      <c r="N1576" s="914" t="s">
        <v>3691</v>
      </c>
      <c r="O1576" s="914">
        <v>6</v>
      </c>
      <c r="P1576" s="947" t="s">
        <v>3477</v>
      </c>
    </row>
    <row r="1577" spans="1:16" x14ac:dyDescent="0.2">
      <c r="A1577" s="912" t="s">
        <v>3215</v>
      </c>
      <c r="B1577" s="912" t="s">
        <v>3216</v>
      </c>
      <c r="C1577" s="912" t="s">
        <v>3609</v>
      </c>
      <c r="D1577" s="912"/>
      <c r="E1577" s="914" t="s">
        <v>3468</v>
      </c>
      <c r="F1577" s="914">
        <v>46705200</v>
      </c>
      <c r="G1577" s="912" t="s">
        <v>3649</v>
      </c>
      <c r="H1577" s="912" t="s">
        <v>2259</v>
      </c>
      <c r="I1577" s="912"/>
      <c r="J1577" s="912" t="s">
        <v>940</v>
      </c>
      <c r="K1577" s="946"/>
      <c r="L1577" s="914"/>
      <c r="M1577" s="947" t="s">
        <v>3543</v>
      </c>
      <c r="N1577" s="914" t="s">
        <v>3692</v>
      </c>
      <c r="O1577" s="914">
        <v>6</v>
      </c>
      <c r="P1577" s="947" t="s">
        <v>3471</v>
      </c>
    </row>
    <row r="1578" spans="1:16" x14ac:dyDescent="0.2">
      <c r="A1578" s="912" t="s">
        <v>3215</v>
      </c>
      <c r="B1578" s="912" t="s">
        <v>3216</v>
      </c>
      <c r="C1578" s="912" t="s">
        <v>3609</v>
      </c>
      <c r="D1578" s="912"/>
      <c r="E1578" s="914" t="s">
        <v>3474</v>
      </c>
      <c r="F1578" s="914">
        <v>70434121</v>
      </c>
      <c r="G1578" s="912" t="s">
        <v>3650</v>
      </c>
      <c r="H1578" s="912" t="s">
        <v>1175</v>
      </c>
      <c r="I1578" s="912"/>
      <c r="J1578" s="912" t="s">
        <v>940</v>
      </c>
      <c r="K1578" s="946"/>
      <c r="L1578" s="914"/>
      <c r="M1578" s="947" t="s">
        <v>3543</v>
      </c>
      <c r="N1578" s="914" t="s">
        <v>3693</v>
      </c>
      <c r="O1578" s="914">
        <v>6</v>
      </c>
      <c r="P1578" s="947" t="s">
        <v>3477</v>
      </c>
    </row>
    <row r="1579" spans="1:16" x14ac:dyDescent="0.2">
      <c r="A1579" s="912" t="s">
        <v>3215</v>
      </c>
      <c r="B1579" s="912" t="s">
        <v>3216</v>
      </c>
      <c r="C1579" s="912" t="s">
        <v>3609</v>
      </c>
      <c r="D1579" s="912"/>
      <c r="E1579" s="914" t="s">
        <v>3468</v>
      </c>
      <c r="F1579" s="914">
        <v>73356859</v>
      </c>
      <c r="G1579" s="912" t="s">
        <v>3651</v>
      </c>
      <c r="H1579" s="912" t="s">
        <v>1594</v>
      </c>
      <c r="I1579" s="912"/>
      <c r="J1579" s="912" t="s">
        <v>940</v>
      </c>
      <c r="K1579" s="946"/>
      <c r="L1579" s="914"/>
      <c r="M1579" s="947" t="s">
        <v>3543</v>
      </c>
      <c r="N1579" s="914" t="s">
        <v>3550</v>
      </c>
      <c r="O1579" s="914">
        <v>6</v>
      </c>
      <c r="P1579" s="947" t="s">
        <v>3471</v>
      </c>
    </row>
    <row r="1580" spans="1:16" x14ac:dyDescent="0.2">
      <c r="A1580" s="912" t="s">
        <v>3215</v>
      </c>
      <c r="B1580" s="912" t="s">
        <v>3216</v>
      </c>
      <c r="C1580" s="912" t="s">
        <v>3609</v>
      </c>
      <c r="D1580" s="912"/>
      <c r="E1580" s="914" t="s">
        <v>3468</v>
      </c>
      <c r="F1580" s="914">
        <v>45627053</v>
      </c>
      <c r="G1580" s="912" t="s">
        <v>3652</v>
      </c>
      <c r="H1580" s="912" t="s">
        <v>1594</v>
      </c>
      <c r="I1580" s="912"/>
      <c r="J1580" s="912" t="s">
        <v>940</v>
      </c>
      <c r="K1580" s="946"/>
      <c r="L1580" s="914"/>
      <c r="M1580" s="947" t="s">
        <v>3543</v>
      </c>
      <c r="N1580" s="946"/>
      <c r="O1580" s="914">
        <v>2</v>
      </c>
      <c r="P1580" s="947" t="s">
        <v>3474</v>
      </c>
    </row>
    <row r="1581" spans="1:16" x14ac:dyDescent="0.2">
      <c r="A1581" s="912" t="s">
        <v>3215</v>
      </c>
      <c r="B1581" s="912" t="s">
        <v>3216</v>
      </c>
      <c r="C1581" s="912" t="s">
        <v>3609</v>
      </c>
      <c r="D1581" s="912"/>
      <c r="E1581" s="914" t="s">
        <v>3468</v>
      </c>
      <c r="F1581" s="914">
        <v>72310713</v>
      </c>
      <c r="G1581" s="912" t="s">
        <v>3654</v>
      </c>
      <c r="H1581" s="912" t="s">
        <v>1594</v>
      </c>
      <c r="I1581" s="912"/>
      <c r="J1581" s="912" t="s">
        <v>940</v>
      </c>
      <c r="K1581" s="946"/>
      <c r="L1581" s="914"/>
      <c r="M1581" s="947" t="s">
        <v>3543</v>
      </c>
      <c r="N1581" s="914" t="s">
        <v>3694</v>
      </c>
      <c r="O1581" s="914">
        <v>6</v>
      </c>
      <c r="P1581" s="947" t="s">
        <v>3471</v>
      </c>
    </row>
    <row r="1582" spans="1:16" x14ac:dyDescent="0.2">
      <c r="A1582" s="912" t="s">
        <v>3215</v>
      </c>
      <c r="B1582" s="912" t="s">
        <v>3216</v>
      </c>
      <c r="C1582" s="912" t="s">
        <v>3609</v>
      </c>
      <c r="D1582" s="912"/>
      <c r="E1582" s="914" t="s">
        <v>3468</v>
      </c>
      <c r="F1582" s="914">
        <v>29610277</v>
      </c>
      <c r="G1582" s="912" t="s">
        <v>3655</v>
      </c>
      <c r="H1582" s="912" t="s">
        <v>2259</v>
      </c>
      <c r="I1582" s="912"/>
      <c r="J1582" s="912" t="s">
        <v>940</v>
      </c>
      <c r="K1582" s="946"/>
      <c r="L1582" s="914"/>
      <c r="M1582" s="947" t="s">
        <v>3543</v>
      </c>
      <c r="N1582" s="914" t="s">
        <v>3695</v>
      </c>
      <c r="O1582" s="914">
        <v>6</v>
      </c>
      <c r="P1582" s="947" t="s">
        <v>3471</v>
      </c>
    </row>
    <row r="1583" spans="1:16" x14ac:dyDescent="0.2">
      <c r="A1583" s="912" t="s">
        <v>3215</v>
      </c>
      <c r="B1583" s="912" t="s">
        <v>3216</v>
      </c>
      <c r="C1583" s="912" t="s">
        <v>3609</v>
      </c>
      <c r="D1583" s="912"/>
      <c r="E1583" s="914" t="s">
        <v>3468</v>
      </c>
      <c r="F1583" s="914">
        <v>73333518</v>
      </c>
      <c r="G1583" s="912" t="s">
        <v>3656</v>
      </c>
      <c r="H1583" s="912" t="s">
        <v>1594</v>
      </c>
      <c r="I1583" s="912"/>
      <c r="J1583" s="912" t="s">
        <v>940</v>
      </c>
      <c r="K1583" s="946"/>
      <c r="L1583" s="914"/>
      <c r="M1583" s="947" t="s">
        <v>3543</v>
      </c>
      <c r="N1583" s="914" t="s">
        <v>3696</v>
      </c>
      <c r="O1583" s="914">
        <v>6</v>
      </c>
      <c r="P1583" s="947" t="s">
        <v>3471</v>
      </c>
    </row>
    <row r="1584" spans="1:16" x14ac:dyDescent="0.2">
      <c r="A1584" s="912" t="s">
        <v>3215</v>
      </c>
      <c r="B1584" s="912" t="s">
        <v>3216</v>
      </c>
      <c r="C1584" s="912" t="s">
        <v>3609</v>
      </c>
      <c r="D1584" s="912"/>
      <c r="E1584" s="914" t="s">
        <v>3468</v>
      </c>
      <c r="F1584" s="914">
        <v>45199117</v>
      </c>
      <c r="G1584" s="912" t="s">
        <v>3657</v>
      </c>
      <c r="H1584" s="912" t="s">
        <v>1594</v>
      </c>
      <c r="I1584" s="912"/>
      <c r="J1584" s="912" t="s">
        <v>940</v>
      </c>
      <c r="K1584" s="946"/>
      <c r="L1584" s="914"/>
      <c r="M1584" s="947" t="s">
        <v>3543</v>
      </c>
      <c r="N1584" s="914" t="s">
        <v>3697</v>
      </c>
      <c r="O1584" s="914">
        <v>6</v>
      </c>
      <c r="P1584" s="947" t="s">
        <v>3471</v>
      </c>
    </row>
    <row r="1585" spans="1:16" x14ac:dyDescent="0.2">
      <c r="A1585" s="912" t="s">
        <v>3215</v>
      </c>
      <c r="B1585" s="912" t="s">
        <v>3216</v>
      </c>
      <c r="C1585" s="912" t="s">
        <v>3609</v>
      </c>
      <c r="D1585" s="912"/>
      <c r="E1585" s="914" t="s">
        <v>3468</v>
      </c>
      <c r="F1585" s="914">
        <v>43990302</v>
      </c>
      <c r="G1585" s="912" t="s">
        <v>3658</v>
      </c>
      <c r="H1585" s="912" t="s">
        <v>1594</v>
      </c>
      <c r="I1585" s="912"/>
      <c r="J1585" s="912" t="s">
        <v>940</v>
      </c>
      <c r="K1585" s="946"/>
      <c r="L1585" s="914"/>
      <c r="M1585" s="947" t="s">
        <v>3543</v>
      </c>
      <c r="N1585" s="914" t="s">
        <v>3698</v>
      </c>
      <c r="O1585" s="914">
        <v>6</v>
      </c>
      <c r="P1585" s="947" t="s">
        <v>3471</v>
      </c>
    </row>
    <row r="1586" spans="1:16" x14ac:dyDescent="0.2">
      <c r="A1586" s="912" t="s">
        <v>3215</v>
      </c>
      <c r="B1586" s="912" t="s">
        <v>3216</v>
      </c>
      <c r="C1586" s="912" t="s">
        <v>3609</v>
      </c>
      <c r="D1586" s="912"/>
      <c r="E1586" s="914" t="s">
        <v>3468</v>
      </c>
      <c r="F1586" s="914">
        <v>42425842</v>
      </c>
      <c r="G1586" s="912" t="s">
        <v>3659</v>
      </c>
      <c r="H1586" s="912" t="s">
        <v>2259</v>
      </c>
      <c r="I1586" s="912"/>
      <c r="J1586" s="912" t="s">
        <v>940</v>
      </c>
      <c r="K1586" s="946"/>
      <c r="L1586" s="914"/>
      <c r="M1586" s="947" t="s">
        <v>3543</v>
      </c>
      <c r="N1586" s="914" t="s">
        <v>3699</v>
      </c>
      <c r="O1586" s="914">
        <v>6</v>
      </c>
      <c r="P1586" s="947" t="s">
        <v>3471</v>
      </c>
    </row>
    <row r="1587" spans="1:16" x14ac:dyDescent="0.2">
      <c r="A1587" s="912" t="s">
        <v>3215</v>
      </c>
      <c r="B1587" s="912" t="s">
        <v>3216</v>
      </c>
      <c r="C1587" s="912" t="s">
        <v>3609</v>
      </c>
      <c r="D1587" s="912"/>
      <c r="E1587" s="914" t="s">
        <v>3474</v>
      </c>
      <c r="F1587" s="914">
        <v>71215098</v>
      </c>
      <c r="G1587" s="912" t="s">
        <v>3661</v>
      </c>
      <c r="H1587" s="912" t="s">
        <v>1175</v>
      </c>
      <c r="I1587" s="912"/>
      <c r="J1587" s="912" t="s">
        <v>940</v>
      </c>
      <c r="K1587" s="946"/>
      <c r="L1587" s="914"/>
      <c r="M1587" s="947" t="s">
        <v>3543</v>
      </c>
      <c r="N1587" s="946"/>
      <c r="O1587" s="914"/>
      <c r="P1587" s="947" t="s">
        <v>3543</v>
      </c>
    </row>
    <row r="1588" spans="1:16" x14ac:dyDescent="0.2">
      <c r="A1588" s="912" t="s">
        <v>3215</v>
      </c>
      <c r="B1588" s="912" t="s">
        <v>3216</v>
      </c>
      <c r="C1588" s="912" t="s">
        <v>3609</v>
      </c>
      <c r="D1588" s="912"/>
      <c r="E1588" s="914" t="s">
        <v>3474</v>
      </c>
      <c r="F1588" s="914">
        <v>43851813</v>
      </c>
      <c r="G1588" s="912" t="s">
        <v>3666</v>
      </c>
      <c r="H1588" s="912" t="s">
        <v>1175</v>
      </c>
      <c r="I1588" s="912"/>
      <c r="J1588" s="912" t="s">
        <v>940</v>
      </c>
      <c r="K1588" s="946"/>
      <c r="L1588" s="914"/>
      <c r="M1588" s="947" t="s">
        <v>3543</v>
      </c>
      <c r="N1588" s="946"/>
      <c r="O1588" s="914">
        <v>6</v>
      </c>
      <c r="P1588" s="947" t="s">
        <v>3477</v>
      </c>
    </row>
    <row r="1589" spans="1:16" x14ac:dyDescent="0.2">
      <c r="A1589" s="912"/>
      <c r="B1589" s="912"/>
      <c r="C1589" s="912"/>
      <c r="D1589" s="912"/>
      <c r="E1589" s="912"/>
      <c r="F1589" s="912"/>
      <c r="G1589" s="912"/>
      <c r="H1589" s="912"/>
      <c r="I1589" s="912"/>
      <c r="J1589" s="912"/>
      <c r="K1589" s="946"/>
      <c r="L1589" s="912"/>
      <c r="M1589" s="912"/>
      <c r="N1589" s="946"/>
      <c r="O1589" s="912"/>
      <c r="P1589" s="912"/>
    </row>
    <row r="1590" spans="1:16" x14ac:dyDescent="0.2">
      <c r="A1590" s="912" t="s">
        <v>3215</v>
      </c>
      <c r="B1590" s="912" t="s">
        <v>3216</v>
      </c>
      <c r="C1590" s="912" t="s">
        <v>3609</v>
      </c>
      <c r="D1590" s="912"/>
      <c r="E1590" s="914" t="s">
        <v>3568</v>
      </c>
      <c r="F1590" s="914">
        <v>45039024</v>
      </c>
      <c r="G1590" s="912" t="s">
        <v>3700</v>
      </c>
      <c r="H1590" s="912" t="s">
        <v>2761</v>
      </c>
      <c r="I1590" s="912"/>
      <c r="J1590" s="912"/>
      <c r="K1590" s="946"/>
      <c r="L1590" s="914"/>
      <c r="M1590" s="947" t="s">
        <v>3543</v>
      </c>
      <c r="N1590" s="914" t="s">
        <v>3701</v>
      </c>
      <c r="O1590" s="914">
        <v>6</v>
      </c>
      <c r="P1590" s="947" t="s">
        <v>3567</v>
      </c>
    </row>
    <row r="1591" spans="1:16" x14ac:dyDescent="0.2">
      <c r="A1591" s="912" t="s">
        <v>3215</v>
      </c>
      <c r="B1591" s="912" t="s">
        <v>3216</v>
      </c>
      <c r="C1591" s="912" t="s">
        <v>3609</v>
      </c>
      <c r="D1591" s="912"/>
      <c r="E1591" s="914" t="s">
        <v>3468</v>
      </c>
      <c r="F1591" s="914">
        <v>72158792</v>
      </c>
      <c r="G1591" s="912" t="s">
        <v>3702</v>
      </c>
      <c r="H1591" s="912" t="s">
        <v>1594</v>
      </c>
      <c r="I1591" s="912"/>
      <c r="J1591" s="912" t="s">
        <v>940</v>
      </c>
      <c r="K1591" s="946"/>
      <c r="L1591" s="914"/>
      <c r="M1591" s="947" t="s">
        <v>3543</v>
      </c>
      <c r="N1591" s="914" t="s">
        <v>3703</v>
      </c>
      <c r="O1591" s="914">
        <v>5</v>
      </c>
      <c r="P1591" s="947" t="s">
        <v>3704</v>
      </c>
    </row>
    <row r="1592" spans="1:16" x14ac:dyDescent="0.2">
      <c r="A1592" s="912" t="s">
        <v>3215</v>
      </c>
      <c r="B1592" s="912" t="s">
        <v>3216</v>
      </c>
      <c r="C1592" s="912" t="s">
        <v>2973</v>
      </c>
      <c r="D1592" s="912"/>
      <c r="E1592" s="914" t="s">
        <v>3468</v>
      </c>
      <c r="F1592" s="914">
        <v>41387376</v>
      </c>
      <c r="G1592" s="912" t="s">
        <v>3705</v>
      </c>
      <c r="H1592" s="912" t="s">
        <v>974</v>
      </c>
      <c r="I1592" s="912"/>
      <c r="J1592" s="912" t="s">
        <v>940</v>
      </c>
      <c r="K1592" s="946"/>
      <c r="L1592" s="914"/>
      <c r="M1592" s="947" t="s">
        <v>3543</v>
      </c>
      <c r="N1592" s="946"/>
      <c r="O1592" s="914">
        <v>3</v>
      </c>
      <c r="P1592" s="947" t="s">
        <v>3429</v>
      </c>
    </row>
    <row r="1593" spans="1:16" x14ac:dyDescent="0.2">
      <c r="A1593" s="912" t="s">
        <v>3215</v>
      </c>
      <c r="B1593" s="912" t="s">
        <v>3216</v>
      </c>
      <c r="C1593" s="912" t="s">
        <v>3609</v>
      </c>
      <c r="D1593" s="912"/>
      <c r="E1593" s="914" t="s">
        <v>3537</v>
      </c>
      <c r="F1593" s="914">
        <v>45823786</v>
      </c>
      <c r="G1593" s="912" t="s">
        <v>3706</v>
      </c>
      <c r="H1593" s="912" t="s">
        <v>1175</v>
      </c>
      <c r="I1593" s="912"/>
      <c r="J1593" s="912" t="s">
        <v>940</v>
      </c>
      <c r="K1593" s="946"/>
      <c r="L1593" s="914"/>
      <c r="M1593" s="947" t="s">
        <v>3543</v>
      </c>
      <c r="N1593" s="914" t="s">
        <v>3707</v>
      </c>
      <c r="O1593" s="914">
        <v>1</v>
      </c>
      <c r="P1593" s="947" t="s">
        <v>3537</v>
      </c>
    </row>
    <row r="1594" spans="1:16" x14ac:dyDescent="0.2">
      <c r="A1594" s="912" t="s">
        <v>3215</v>
      </c>
      <c r="B1594" s="912" t="s">
        <v>3216</v>
      </c>
      <c r="C1594" s="912" t="s">
        <v>3609</v>
      </c>
      <c r="D1594" s="912"/>
      <c r="E1594" s="914" t="s">
        <v>3579</v>
      </c>
      <c r="F1594" s="914">
        <v>72682168</v>
      </c>
      <c r="G1594" s="912" t="s">
        <v>3708</v>
      </c>
      <c r="H1594" s="912" t="s">
        <v>1594</v>
      </c>
      <c r="I1594" s="912"/>
      <c r="J1594" s="912" t="s">
        <v>940</v>
      </c>
      <c r="K1594" s="946"/>
      <c r="L1594" s="914"/>
      <c r="M1594" s="947" t="s">
        <v>3543</v>
      </c>
      <c r="N1594" s="914" t="s">
        <v>3709</v>
      </c>
      <c r="O1594" s="914">
        <v>1</v>
      </c>
      <c r="P1594" s="947" t="s">
        <v>3579</v>
      </c>
    </row>
    <row r="1595" spans="1:16" x14ac:dyDescent="0.2">
      <c r="A1595" s="912" t="s">
        <v>3215</v>
      </c>
      <c r="B1595" s="912" t="s">
        <v>3216</v>
      </c>
      <c r="C1595" s="912" t="s">
        <v>3609</v>
      </c>
      <c r="D1595" s="912"/>
      <c r="E1595" s="914" t="s">
        <v>3468</v>
      </c>
      <c r="F1595" s="914">
        <v>72241659</v>
      </c>
      <c r="G1595" s="912" t="s">
        <v>3710</v>
      </c>
      <c r="H1595" s="912" t="s">
        <v>1594</v>
      </c>
      <c r="I1595" s="912"/>
      <c r="J1595" s="912" t="s">
        <v>940</v>
      </c>
      <c r="K1595" s="946"/>
      <c r="L1595" s="914"/>
      <c r="M1595" s="947" t="s">
        <v>3543</v>
      </c>
      <c r="N1595" s="914" t="s">
        <v>3711</v>
      </c>
      <c r="O1595" s="914">
        <v>1</v>
      </c>
      <c r="P1595" s="947" t="s">
        <v>3468</v>
      </c>
    </row>
    <row r="1596" spans="1:16" x14ac:dyDescent="0.2">
      <c r="A1596" s="912"/>
      <c r="B1596" s="912"/>
      <c r="C1596" s="912"/>
      <c r="D1596" s="912"/>
      <c r="E1596" s="914"/>
      <c r="F1596" s="914"/>
      <c r="G1596" s="912"/>
      <c r="H1596" s="912"/>
      <c r="I1596" s="912"/>
      <c r="J1596" s="912"/>
      <c r="K1596" s="946"/>
      <c r="L1596" s="914"/>
      <c r="M1596" s="912"/>
      <c r="N1596" s="946"/>
      <c r="O1596" s="914"/>
      <c r="P1596" s="912"/>
    </row>
    <row r="1597" spans="1:16" x14ac:dyDescent="0.2">
      <c r="A1597" s="912" t="s">
        <v>3215</v>
      </c>
      <c r="B1597" s="912" t="s">
        <v>3216</v>
      </c>
      <c r="C1597" s="912" t="s">
        <v>3712</v>
      </c>
      <c r="D1597" s="912"/>
      <c r="E1597" s="914" t="s">
        <v>3579</v>
      </c>
      <c r="F1597" s="914">
        <v>73150659</v>
      </c>
      <c r="G1597" s="912" t="s">
        <v>3713</v>
      </c>
      <c r="H1597" s="912" t="s">
        <v>1594</v>
      </c>
      <c r="I1597" s="912"/>
      <c r="J1597" s="912" t="s">
        <v>940</v>
      </c>
      <c r="K1597" s="946"/>
      <c r="L1597" s="914"/>
      <c r="M1597" s="947" t="s">
        <v>3543</v>
      </c>
      <c r="N1597" s="914" t="s">
        <v>3714</v>
      </c>
      <c r="O1597" s="914">
        <v>1</v>
      </c>
      <c r="P1597" s="947" t="s">
        <v>3579</v>
      </c>
    </row>
    <row r="1598" spans="1:16" x14ac:dyDescent="0.2">
      <c r="A1598" s="912"/>
      <c r="B1598" s="912"/>
      <c r="C1598" s="912"/>
      <c r="D1598" s="912"/>
      <c r="E1598" s="914"/>
      <c r="F1598" s="914"/>
      <c r="G1598" s="912"/>
      <c r="H1598" s="912"/>
      <c r="I1598" s="912"/>
      <c r="J1598" s="912"/>
      <c r="K1598" s="946"/>
      <c r="L1598" s="914"/>
      <c r="M1598" s="912"/>
      <c r="N1598" s="946"/>
      <c r="O1598" s="914"/>
      <c r="P1598" s="912"/>
    </row>
    <row r="1599" spans="1:16" x14ac:dyDescent="0.2">
      <c r="A1599" s="912" t="s">
        <v>3215</v>
      </c>
      <c r="B1599" s="912" t="s">
        <v>3715</v>
      </c>
      <c r="C1599" s="912" t="s">
        <v>80</v>
      </c>
      <c r="D1599" s="912"/>
      <c r="E1599" s="914" t="s">
        <v>3716</v>
      </c>
      <c r="F1599" s="914">
        <v>40385528</v>
      </c>
      <c r="G1599" s="912" t="s">
        <v>3717</v>
      </c>
      <c r="H1599" s="912" t="s">
        <v>1175</v>
      </c>
      <c r="I1599" s="912"/>
      <c r="J1599" s="912" t="s">
        <v>940</v>
      </c>
      <c r="K1599" s="946"/>
      <c r="L1599" s="914">
        <v>12</v>
      </c>
      <c r="M1599" s="947" t="s">
        <v>3718</v>
      </c>
      <c r="N1599" s="946"/>
      <c r="O1599" s="914">
        <v>4</v>
      </c>
      <c r="P1599" s="947" t="s">
        <v>3719</v>
      </c>
    </row>
    <row r="1600" spans="1:16" x14ac:dyDescent="0.2">
      <c r="A1600" s="912" t="s">
        <v>3215</v>
      </c>
      <c r="B1600" s="912" t="s">
        <v>3715</v>
      </c>
      <c r="C1600" s="912" t="s">
        <v>80</v>
      </c>
      <c r="D1600" s="912"/>
      <c r="E1600" s="914" t="s">
        <v>3217</v>
      </c>
      <c r="F1600" s="914">
        <v>45728330</v>
      </c>
      <c r="G1600" s="912" t="s">
        <v>3720</v>
      </c>
      <c r="H1600" s="912" t="s">
        <v>1641</v>
      </c>
      <c r="I1600" s="912"/>
      <c r="J1600" s="912" t="s">
        <v>940</v>
      </c>
      <c r="K1600" s="946"/>
      <c r="L1600" s="914">
        <v>12</v>
      </c>
      <c r="M1600" s="947" t="s">
        <v>3219</v>
      </c>
      <c r="N1600" s="914" t="s">
        <v>3721</v>
      </c>
      <c r="O1600" s="914">
        <v>6</v>
      </c>
      <c r="P1600" s="947" t="s">
        <v>3221</v>
      </c>
    </row>
    <row r="1601" spans="1:16" x14ac:dyDescent="0.2">
      <c r="A1601" s="912" t="s">
        <v>3215</v>
      </c>
      <c r="B1601" s="912" t="s">
        <v>3715</v>
      </c>
      <c r="C1601" s="912" t="s">
        <v>80</v>
      </c>
      <c r="D1601" s="912"/>
      <c r="E1601" s="914" t="s">
        <v>3722</v>
      </c>
      <c r="F1601" s="914">
        <v>45003898</v>
      </c>
      <c r="G1601" s="912" t="s">
        <v>3723</v>
      </c>
      <c r="H1601" s="912" t="s">
        <v>1175</v>
      </c>
      <c r="I1601" s="912"/>
      <c r="J1601" s="912" t="s">
        <v>940</v>
      </c>
      <c r="K1601" s="946"/>
      <c r="L1601" s="914">
        <v>12</v>
      </c>
      <c r="M1601" s="947" t="s">
        <v>3724</v>
      </c>
      <c r="N1601" s="946"/>
      <c r="O1601" s="914">
        <v>6</v>
      </c>
      <c r="P1601" s="947" t="s">
        <v>3725</v>
      </c>
    </row>
    <row r="1602" spans="1:16" x14ac:dyDescent="0.2">
      <c r="A1602" s="912" t="s">
        <v>3215</v>
      </c>
      <c r="B1602" s="912" t="s">
        <v>3715</v>
      </c>
      <c r="C1602" s="912" t="s">
        <v>80</v>
      </c>
      <c r="D1602" s="912"/>
      <c r="E1602" s="914" t="s">
        <v>3217</v>
      </c>
      <c r="F1602" s="914">
        <v>44379422</v>
      </c>
      <c r="G1602" s="912" t="s">
        <v>3726</v>
      </c>
      <c r="H1602" s="912" t="s">
        <v>1641</v>
      </c>
      <c r="I1602" s="912"/>
      <c r="J1602" s="912" t="s">
        <v>940</v>
      </c>
      <c r="K1602" s="946"/>
      <c r="L1602" s="914">
        <v>12</v>
      </c>
      <c r="M1602" s="947" t="s">
        <v>3219</v>
      </c>
      <c r="N1602" s="914" t="s">
        <v>3727</v>
      </c>
      <c r="O1602" s="914">
        <v>6</v>
      </c>
      <c r="P1602" s="947" t="s">
        <v>3221</v>
      </c>
    </row>
    <row r="1603" spans="1:16" x14ac:dyDescent="0.2">
      <c r="A1603" s="912" t="s">
        <v>3215</v>
      </c>
      <c r="B1603" s="912" t="s">
        <v>3715</v>
      </c>
      <c r="C1603" s="912" t="s">
        <v>80</v>
      </c>
      <c r="D1603" s="912"/>
      <c r="E1603" s="914" t="s">
        <v>3330</v>
      </c>
      <c r="F1603" s="914">
        <v>42695389</v>
      </c>
      <c r="G1603" s="912" t="s">
        <v>3728</v>
      </c>
      <c r="H1603" s="912" t="s">
        <v>1770</v>
      </c>
      <c r="I1603" s="912"/>
      <c r="J1603" s="912" t="s">
        <v>1412</v>
      </c>
      <c r="K1603" s="946"/>
      <c r="L1603" s="914">
        <v>12</v>
      </c>
      <c r="M1603" s="947" t="s">
        <v>3293</v>
      </c>
      <c r="N1603" s="914" t="s">
        <v>3729</v>
      </c>
      <c r="O1603" s="914">
        <v>6</v>
      </c>
      <c r="P1603" s="947" t="s">
        <v>3334</v>
      </c>
    </row>
    <row r="1604" spans="1:16" x14ac:dyDescent="0.2">
      <c r="A1604" s="912" t="s">
        <v>3215</v>
      </c>
      <c r="B1604" s="912" t="s">
        <v>3715</v>
      </c>
      <c r="C1604" s="912" t="s">
        <v>80</v>
      </c>
      <c r="D1604" s="912"/>
      <c r="E1604" s="914" t="s">
        <v>3330</v>
      </c>
      <c r="F1604" s="914">
        <v>30571848</v>
      </c>
      <c r="G1604" s="912" t="s">
        <v>3730</v>
      </c>
      <c r="H1604" s="912" t="s">
        <v>2446</v>
      </c>
      <c r="I1604" s="912"/>
      <c r="J1604" s="912" t="s">
        <v>1412</v>
      </c>
      <c r="K1604" s="946"/>
      <c r="L1604" s="914">
        <v>12</v>
      </c>
      <c r="M1604" s="947" t="s">
        <v>3293</v>
      </c>
      <c r="N1604" s="914" t="s">
        <v>3731</v>
      </c>
      <c r="O1604" s="914">
        <v>6</v>
      </c>
      <c r="P1604" s="947" t="s">
        <v>3334</v>
      </c>
    </row>
    <row r="1605" spans="1:16" x14ac:dyDescent="0.2">
      <c r="A1605" s="912" t="s">
        <v>3215</v>
      </c>
      <c r="B1605" s="912" t="s">
        <v>3715</v>
      </c>
      <c r="C1605" s="912" t="s">
        <v>80</v>
      </c>
      <c r="D1605" s="912"/>
      <c r="E1605" s="914" t="s">
        <v>3330</v>
      </c>
      <c r="F1605" s="914">
        <v>71975945</v>
      </c>
      <c r="G1605" s="912" t="s">
        <v>3732</v>
      </c>
      <c r="H1605" s="912" t="s">
        <v>1663</v>
      </c>
      <c r="I1605" s="912"/>
      <c r="J1605" s="912" t="s">
        <v>1412</v>
      </c>
      <c r="K1605" s="946"/>
      <c r="L1605" s="914">
        <v>12</v>
      </c>
      <c r="M1605" s="947" t="s">
        <v>3293</v>
      </c>
      <c r="N1605" s="914" t="s">
        <v>3733</v>
      </c>
      <c r="O1605" s="914">
        <v>6</v>
      </c>
      <c r="P1605" s="947" t="s">
        <v>3334</v>
      </c>
    </row>
    <row r="1606" spans="1:16" x14ac:dyDescent="0.2">
      <c r="A1606" s="912" t="s">
        <v>3215</v>
      </c>
      <c r="B1606" s="914" t="s">
        <v>3734</v>
      </c>
      <c r="C1606" s="912" t="s">
        <v>81</v>
      </c>
      <c r="D1606" s="912" t="s">
        <v>3735</v>
      </c>
      <c r="E1606" s="930">
        <v>1800</v>
      </c>
      <c r="F1606" s="914" t="s">
        <v>3736</v>
      </c>
      <c r="G1606" s="950" t="s">
        <v>3645</v>
      </c>
      <c r="H1606" s="950" t="s">
        <v>1412</v>
      </c>
      <c r="I1606" s="950" t="s">
        <v>1412</v>
      </c>
      <c r="J1606" s="950" t="s">
        <v>1412</v>
      </c>
      <c r="K1606" s="935"/>
      <c r="L1606" s="935" t="s">
        <v>3737</v>
      </c>
      <c r="M1606" s="930">
        <v>1800</v>
      </c>
      <c r="N1606" s="935"/>
      <c r="O1606" s="935"/>
      <c r="P1606" s="935"/>
    </row>
    <row r="1607" spans="1:16" x14ac:dyDescent="0.2">
      <c r="A1607" s="912" t="s">
        <v>3215</v>
      </c>
      <c r="B1607" s="914" t="s">
        <v>3734</v>
      </c>
      <c r="C1607" s="912" t="s">
        <v>81</v>
      </c>
      <c r="D1607" s="912" t="s">
        <v>3735</v>
      </c>
      <c r="E1607" s="930">
        <v>1800</v>
      </c>
      <c r="F1607" s="914" t="s">
        <v>3738</v>
      </c>
      <c r="G1607" s="950" t="s">
        <v>3739</v>
      </c>
      <c r="H1607" s="950" t="s">
        <v>1412</v>
      </c>
      <c r="I1607" s="950" t="s">
        <v>1412</v>
      </c>
      <c r="J1607" s="950" t="s">
        <v>1412</v>
      </c>
      <c r="K1607" s="935"/>
      <c r="L1607" s="935" t="s">
        <v>3737</v>
      </c>
      <c r="M1607" s="930">
        <v>1800</v>
      </c>
      <c r="N1607" s="935"/>
      <c r="O1607" s="935"/>
      <c r="P1607" s="935"/>
    </row>
    <row r="1608" spans="1:16" x14ac:dyDescent="0.2">
      <c r="A1608" s="912" t="s">
        <v>3215</v>
      </c>
      <c r="B1608" s="914" t="s">
        <v>3734</v>
      </c>
      <c r="C1608" s="912" t="s">
        <v>81</v>
      </c>
      <c r="D1608" s="912" t="s">
        <v>3735</v>
      </c>
      <c r="E1608" s="930">
        <v>1800</v>
      </c>
      <c r="F1608" s="914" t="s">
        <v>3740</v>
      </c>
      <c r="G1608" s="950" t="s">
        <v>3545</v>
      </c>
      <c r="H1608" s="950" t="s">
        <v>1412</v>
      </c>
      <c r="I1608" s="950" t="s">
        <v>1412</v>
      </c>
      <c r="J1608" s="950" t="s">
        <v>1412</v>
      </c>
      <c r="K1608" s="935"/>
      <c r="L1608" s="935" t="s">
        <v>3737</v>
      </c>
      <c r="M1608" s="930">
        <v>1800</v>
      </c>
      <c r="N1608" s="935"/>
      <c r="O1608" s="935"/>
      <c r="P1608" s="935"/>
    </row>
    <row r="1609" spans="1:16" x14ac:dyDescent="0.2">
      <c r="A1609" s="912" t="s">
        <v>3215</v>
      </c>
      <c r="B1609" s="914" t="s">
        <v>3734</v>
      </c>
      <c r="C1609" s="912" t="s">
        <v>81</v>
      </c>
      <c r="D1609" s="912" t="s">
        <v>3735</v>
      </c>
      <c r="E1609" s="930">
        <v>1800</v>
      </c>
      <c r="F1609" s="914" t="s">
        <v>3741</v>
      </c>
      <c r="G1609" s="950" t="s">
        <v>3700</v>
      </c>
      <c r="H1609" s="950" t="s">
        <v>1412</v>
      </c>
      <c r="I1609" s="950" t="s">
        <v>1412</v>
      </c>
      <c r="J1609" s="950" t="s">
        <v>1412</v>
      </c>
      <c r="K1609" s="935"/>
      <c r="L1609" s="935" t="s">
        <v>3737</v>
      </c>
      <c r="M1609" s="930">
        <v>1800</v>
      </c>
      <c r="N1609" s="935"/>
      <c r="O1609" s="935"/>
      <c r="P1609" s="935"/>
    </row>
    <row r="1610" spans="1:16" x14ac:dyDescent="0.2">
      <c r="A1610" s="912" t="s">
        <v>3215</v>
      </c>
      <c r="B1610" s="914" t="s">
        <v>1333</v>
      </c>
      <c r="C1610" s="912" t="s">
        <v>81</v>
      </c>
      <c r="D1610" s="912" t="s">
        <v>3742</v>
      </c>
      <c r="E1610" s="930">
        <v>2239</v>
      </c>
      <c r="F1610" s="914" t="s">
        <v>3743</v>
      </c>
      <c r="G1610" s="950" t="s">
        <v>3744</v>
      </c>
      <c r="H1610" s="939" t="s">
        <v>1641</v>
      </c>
      <c r="I1610" s="939" t="s">
        <v>1641</v>
      </c>
      <c r="J1610" s="939" t="s">
        <v>1641</v>
      </c>
      <c r="K1610" s="935"/>
      <c r="L1610" s="935" t="s">
        <v>3737</v>
      </c>
      <c r="M1610" s="930">
        <v>2239</v>
      </c>
      <c r="N1610" s="935"/>
      <c r="O1610" s="935"/>
      <c r="P1610" s="935"/>
    </row>
    <row r="1611" spans="1:16" x14ac:dyDescent="0.2">
      <c r="A1611" s="912" t="s">
        <v>3215</v>
      </c>
      <c r="B1611" s="914" t="s">
        <v>1333</v>
      </c>
      <c r="C1611" s="912" t="s">
        <v>81</v>
      </c>
      <c r="D1611" s="912" t="s">
        <v>3742</v>
      </c>
      <c r="E1611" s="930">
        <v>2239</v>
      </c>
      <c r="F1611" s="914" t="s">
        <v>3745</v>
      </c>
      <c r="G1611" s="950" t="s">
        <v>3746</v>
      </c>
      <c r="H1611" s="939" t="s">
        <v>1641</v>
      </c>
      <c r="I1611" s="939" t="s">
        <v>1641</v>
      </c>
      <c r="J1611" s="939" t="s">
        <v>1641</v>
      </c>
      <c r="K1611" s="935"/>
      <c r="L1611" s="935" t="s">
        <v>3737</v>
      </c>
      <c r="M1611" s="930">
        <v>2239</v>
      </c>
      <c r="N1611" s="935"/>
      <c r="O1611" s="935"/>
      <c r="P1611" s="935"/>
    </row>
    <row r="1612" spans="1:16" x14ac:dyDescent="0.2">
      <c r="A1612" s="912" t="s">
        <v>3215</v>
      </c>
      <c r="B1612" s="914" t="s">
        <v>3734</v>
      </c>
      <c r="C1612" s="912" t="s">
        <v>81</v>
      </c>
      <c r="D1612" s="912" t="s">
        <v>3747</v>
      </c>
      <c r="E1612" s="930">
        <v>2239</v>
      </c>
      <c r="F1612" s="914" t="s">
        <v>3748</v>
      </c>
      <c r="G1612" s="950" t="s">
        <v>3273</v>
      </c>
      <c r="H1612" s="950" t="s">
        <v>974</v>
      </c>
      <c r="I1612" s="950" t="s">
        <v>974</v>
      </c>
      <c r="J1612" s="950" t="s">
        <v>974</v>
      </c>
      <c r="K1612" s="935"/>
      <c r="L1612" s="935" t="s">
        <v>3737</v>
      </c>
      <c r="M1612" s="930">
        <v>2239</v>
      </c>
      <c r="N1612" s="935"/>
      <c r="O1612" s="935"/>
      <c r="P1612" s="935"/>
    </row>
    <row r="1613" spans="1:16" x14ac:dyDescent="0.2">
      <c r="A1613" s="912" t="s">
        <v>3215</v>
      </c>
      <c r="B1613" s="914" t="s">
        <v>3734</v>
      </c>
      <c r="C1613" s="912" t="s">
        <v>81</v>
      </c>
      <c r="D1613" s="912" t="s">
        <v>3747</v>
      </c>
      <c r="E1613" s="930">
        <v>2239</v>
      </c>
      <c r="F1613" s="914" t="s">
        <v>3749</v>
      </c>
      <c r="G1613" s="950" t="s">
        <v>3750</v>
      </c>
      <c r="H1613" s="950" t="s">
        <v>974</v>
      </c>
      <c r="I1613" s="950" t="s">
        <v>974</v>
      </c>
      <c r="J1613" s="950" t="s">
        <v>974</v>
      </c>
      <c r="K1613" s="935"/>
      <c r="L1613" s="935" t="s">
        <v>3737</v>
      </c>
      <c r="M1613" s="930">
        <v>2239</v>
      </c>
      <c r="N1613" s="935"/>
      <c r="O1613" s="935"/>
      <c r="P1613" s="935"/>
    </row>
    <row r="1614" spans="1:16" x14ac:dyDescent="0.2">
      <c r="A1614" s="912" t="s">
        <v>3215</v>
      </c>
      <c r="B1614" s="914" t="s">
        <v>3734</v>
      </c>
      <c r="C1614" s="912" t="s">
        <v>81</v>
      </c>
      <c r="D1614" s="912" t="s">
        <v>3735</v>
      </c>
      <c r="E1614" s="930">
        <v>1800</v>
      </c>
      <c r="F1614" s="914" t="s">
        <v>3751</v>
      </c>
      <c r="G1614" s="950" t="s">
        <v>3752</v>
      </c>
      <c r="H1614" s="950" t="s">
        <v>1412</v>
      </c>
      <c r="I1614" s="950" t="s">
        <v>1412</v>
      </c>
      <c r="J1614" s="950" t="s">
        <v>1412</v>
      </c>
      <c r="K1614" s="935"/>
      <c r="L1614" s="935" t="s">
        <v>3737</v>
      </c>
      <c r="M1614" s="930">
        <v>1800</v>
      </c>
      <c r="N1614" s="935"/>
      <c r="O1614" s="935"/>
      <c r="P1614" s="935"/>
    </row>
    <row r="1615" spans="1:16" x14ac:dyDescent="0.2">
      <c r="A1615" s="912" t="s">
        <v>3215</v>
      </c>
      <c r="B1615" s="914" t="s">
        <v>3734</v>
      </c>
      <c r="C1615" s="912" t="s">
        <v>81</v>
      </c>
      <c r="D1615" s="912" t="s">
        <v>3735</v>
      </c>
      <c r="E1615" s="930">
        <v>1800</v>
      </c>
      <c r="F1615" s="914" t="s">
        <v>3753</v>
      </c>
      <c r="G1615" s="950" t="s">
        <v>3754</v>
      </c>
      <c r="H1615" s="950" t="s">
        <v>1412</v>
      </c>
      <c r="I1615" s="950" t="s">
        <v>1412</v>
      </c>
      <c r="J1615" s="950" t="s">
        <v>1412</v>
      </c>
      <c r="K1615" s="935"/>
      <c r="L1615" s="935" t="s">
        <v>3737</v>
      </c>
      <c r="M1615" s="930">
        <v>1800</v>
      </c>
      <c r="N1615" s="935"/>
      <c r="O1615" s="935"/>
      <c r="P1615" s="935"/>
    </row>
    <row r="1616" spans="1:16" x14ac:dyDescent="0.2">
      <c r="A1616" s="912" t="s">
        <v>3215</v>
      </c>
      <c r="B1616" s="914" t="s">
        <v>3734</v>
      </c>
      <c r="C1616" s="912" t="s">
        <v>81</v>
      </c>
      <c r="D1616" s="912" t="s">
        <v>3755</v>
      </c>
      <c r="E1616" s="930">
        <v>5500</v>
      </c>
      <c r="F1616" s="914" t="s">
        <v>3756</v>
      </c>
      <c r="G1616" s="950" t="s">
        <v>3757</v>
      </c>
      <c r="H1616" s="950" t="s">
        <v>1175</v>
      </c>
      <c r="I1616" s="950" t="s">
        <v>1175</v>
      </c>
      <c r="J1616" s="950" t="s">
        <v>1175</v>
      </c>
      <c r="K1616" s="935"/>
      <c r="L1616" s="935" t="s">
        <v>3737</v>
      </c>
      <c r="M1616" s="930">
        <v>5500</v>
      </c>
      <c r="N1616" s="935"/>
      <c r="O1616" s="935"/>
      <c r="P1616" s="935"/>
    </row>
    <row r="1617" spans="1:16" x14ac:dyDescent="0.2">
      <c r="A1617" s="912" t="s">
        <v>3215</v>
      </c>
      <c r="B1617" s="914" t="s">
        <v>3734</v>
      </c>
      <c r="C1617" s="912" t="s">
        <v>81</v>
      </c>
      <c r="D1617" s="912" t="s">
        <v>3755</v>
      </c>
      <c r="E1617" s="930">
        <v>1800</v>
      </c>
      <c r="F1617" s="914" t="s">
        <v>3758</v>
      </c>
      <c r="G1617" s="950" t="s">
        <v>3759</v>
      </c>
      <c r="H1617" s="950" t="s">
        <v>3760</v>
      </c>
      <c r="I1617" s="950" t="s">
        <v>3760</v>
      </c>
      <c r="J1617" s="950" t="s">
        <v>3760</v>
      </c>
      <c r="K1617" s="935"/>
      <c r="L1617" s="935" t="s">
        <v>3737</v>
      </c>
      <c r="M1617" s="930">
        <v>1800</v>
      </c>
      <c r="N1617" s="935"/>
      <c r="O1617" s="935"/>
      <c r="P1617" s="935"/>
    </row>
    <row r="1618" spans="1:16" x14ac:dyDescent="0.2">
      <c r="A1618" s="912" t="s">
        <v>3215</v>
      </c>
      <c r="B1618" s="914" t="s">
        <v>3734</v>
      </c>
      <c r="C1618" s="912" t="s">
        <v>81</v>
      </c>
      <c r="D1618" s="912" t="s">
        <v>3755</v>
      </c>
      <c r="E1618" s="930">
        <v>2239</v>
      </c>
      <c r="F1618" s="914" t="s">
        <v>3761</v>
      </c>
      <c r="G1618" s="950" t="s">
        <v>3762</v>
      </c>
      <c r="H1618" s="950" t="s">
        <v>974</v>
      </c>
      <c r="I1618" s="950" t="s">
        <v>974</v>
      </c>
      <c r="J1618" s="950" t="s">
        <v>974</v>
      </c>
      <c r="K1618" s="935"/>
      <c r="L1618" s="935" t="s">
        <v>3737</v>
      </c>
      <c r="M1618" s="930">
        <v>2239</v>
      </c>
      <c r="N1618" s="935"/>
      <c r="O1618" s="935"/>
      <c r="P1618" s="935"/>
    </row>
    <row r="1619" spans="1:16" x14ac:dyDescent="0.2">
      <c r="A1619" s="912" t="s">
        <v>3215</v>
      </c>
      <c r="B1619" s="914" t="s">
        <v>3734</v>
      </c>
      <c r="C1619" s="912" t="s">
        <v>81</v>
      </c>
      <c r="D1619" s="912" t="s">
        <v>3755</v>
      </c>
      <c r="E1619" s="930">
        <v>2239</v>
      </c>
      <c r="F1619" s="914" t="s">
        <v>3763</v>
      </c>
      <c r="G1619" s="950" t="s">
        <v>3764</v>
      </c>
      <c r="H1619" s="950" t="s">
        <v>974</v>
      </c>
      <c r="I1619" s="950" t="s">
        <v>974</v>
      </c>
      <c r="J1619" s="950" t="s">
        <v>974</v>
      </c>
      <c r="K1619" s="935"/>
      <c r="L1619" s="935" t="s">
        <v>3737</v>
      </c>
      <c r="M1619" s="930">
        <v>2239</v>
      </c>
      <c r="N1619" s="935"/>
      <c r="O1619" s="935"/>
      <c r="P1619" s="935"/>
    </row>
    <row r="1620" spans="1:16" x14ac:dyDescent="0.2">
      <c r="A1620" s="912" t="s">
        <v>3215</v>
      </c>
      <c r="B1620" s="914" t="s">
        <v>3734</v>
      </c>
      <c r="C1620" s="912" t="s">
        <v>81</v>
      </c>
      <c r="D1620" s="912" t="s">
        <v>3755</v>
      </c>
      <c r="E1620" s="930">
        <v>1800</v>
      </c>
      <c r="F1620" s="914" t="s">
        <v>3765</v>
      </c>
      <c r="G1620" s="950" t="s">
        <v>3766</v>
      </c>
      <c r="H1620" s="950" t="s">
        <v>3767</v>
      </c>
      <c r="I1620" s="950" t="s">
        <v>3767</v>
      </c>
      <c r="J1620" s="950" t="s">
        <v>3767</v>
      </c>
      <c r="K1620" s="935"/>
      <c r="L1620" s="935" t="s">
        <v>3737</v>
      </c>
      <c r="M1620" s="930">
        <v>1800</v>
      </c>
      <c r="N1620" s="935"/>
      <c r="O1620" s="935"/>
      <c r="P1620" s="935"/>
    </row>
    <row r="1621" spans="1:16" x14ac:dyDescent="0.2">
      <c r="A1621" s="912" t="s">
        <v>3215</v>
      </c>
      <c r="B1621" s="914" t="s">
        <v>3734</v>
      </c>
      <c r="C1621" s="912" t="s">
        <v>81</v>
      </c>
      <c r="D1621" s="912" t="s">
        <v>3755</v>
      </c>
      <c r="E1621" s="930">
        <v>1800</v>
      </c>
      <c r="F1621" s="914" t="s">
        <v>3768</v>
      </c>
      <c r="G1621" s="950" t="s">
        <v>3769</v>
      </c>
      <c r="H1621" s="950" t="s">
        <v>3770</v>
      </c>
      <c r="I1621" s="950" t="s">
        <v>3770</v>
      </c>
      <c r="J1621" s="950" t="s">
        <v>3770</v>
      </c>
      <c r="K1621" s="935"/>
      <c r="L1621" s="935" t="s">
        <v>3737</v>
      </c>
      <c r="M1621" s="930">
        <v>1800</v>
      </c>
      <c r="N1621" s="935"/>
      <c r="O1621" s="935"/>
      <c r="P1621" s="935"/>
    </row>
    <row r="1622" spans="1:16" x14ac:dyDescent="0.2">
      <c r="A1622" s="912" t="s">
        <v>3215</v>
      </c>
      <c r="B1622" s="914" t="s">
        <v>3734</v>
      </c>
      <c r="C1622" s="912" t="s">
        <v>81</v>
      </c>
      <c r="D1622" s="912" t="s">
        <v>3755</v>
      </c>
      <c r="E1622" s="930">
        <v>1800</v>
      </c>
      <c r="F1622" s="914" t="s">
        <v>3771</v>
      </c>
      <c r="G1622" s="950" t="s">
        <v>3772</v>
      </c>
      <c r="H1622" s="950" t="s">
        <v>3773</v>
      </c>
      <c r="I1622" s="950" t="s">
        <v>3773</v>
      </c>
      <c r="J1622" s="950" t="s">
        <v>3773</v>
      </c>
      <c r="K1622" s="935"/>
      <c r="L1622" s="935" t="s">
        <v>3737</v>
      </c>
      <c r="M1622" s="930">
        <v>1800</v>
      </c>
      <c r="N1622" s="935"/>
      <c r="O1622" s="935"/>
      <c r="P1622" s="935"/>
    </row>
    <row r="1623" spans="1:16" x14ac:dyDescent="0.2">
      <c r="A1623" s="912" t="s">
        <v>3215</v>
      </c>
      <c r="B1623" s="914" t="s">
        <v>3734</v>
      </c>
      <c r="C1623" s="912" t="s">
        <v>81</v>
      </c>
      <c r="D1623" s="912" t="s">
        <v>3755</v>
      </c>
      <c r="E1623" s="930">
        <v>1800</v>
      </c>
      <c r="F1623" s="914" t="s">
        <v>3774</v>
      </c>
      <c r="G1623" s="950" t="s">
        <v>3775</v>
      </c>
      <c r="H1623" s="950" t="s">
        <v>3773</v>
      </c>
      <c r="I1623" s="950" t="s">
        <v>3773</v>
      </c>
      <c r="J1623" s="950" t="s">
        <v>3773</v>
      </c>
      <c r="K1623" s="935"/>
      <c r="L1623" s="935" t="s">
        <v>3737</v>
      </c>
      <c r="M1623" s="930">
        <v>1800</v>
      </c>
      <c r="N1623" s="935"/>
      <c r="O1623" s="935"/>
      <c r="P1623" s="935"/>
    </row>
    <row r="1624" spans="1:16" x14ac:dyDescent="0.2">
      <c r="A1624" s="912" t="s">
        <v>3215</v>
      </c>
      <c r="B1624" s="914" t="s">
        <v>3734</v>
      </c>
      <c r="C1624" s="912" t="s">
        <v>81</v>
      </c>
      <c r="D1624" s="912" t="s">
        <v>3776</v>
      </c>
      <c r="E1624" s="930">
        <v>2239</v>
      </c>
      <c r="F1624" s="914" t="s">
        <v>3777</v>
      </c>
      <c r="G1624" s="950" t="s">
        <v>3778</v>
      </c>
      <c r="H1624" s="950" t="s">
        <v>1626</v>
      </c>
      <c r="I1624" s="950" t="s">
        <v>1626</v>
      </c>
      <c r="J1624" s="950" t="s">
        <v>1626</v>
      </c>
      <c r="K1624" s="935"/>
      <c r="L1624" s="935" t="s">
        <v>3737</v>
      </c>
      <c r="M1624" s="930">
        <v>2239</v>
      </c>
      <c r="N1624" s="935"/>
      <c r="O1624" s="935"/>
      <c r="P1624" s="935"/>
    </row>
    <row r="1625" spans="1:16" x14ac:dyDescent="0.2">
      <c r="A1625" s="912" t="s">
        <v>3215</v>
      </c>
      <c r="B1625" s="914" t="s">
        <v>3734</v>
      </c>
      <c r="C1625" s="912" t="s">
        <v>81</v>
      </c>
      <c r="D1625" s="912" t="s">
        <v>3776</v>
      </c>
      <c r="E1625" s="930">
        <v>1800</v>
      </c>
      <c r="F1625" s="914" t="s">
        <v>3779</v>
      </c>
      <c r="G1625" s="950" t="s">
        <v>3780</v>
      </c>
      <c r="H1625" s="950" t="s">
        <v>3781</v>
      </c>
      <c r="I1625" s="950" t="s">
        <v>3781</v>
      </c>
      <c r="J1625" s="950" t="s">
        <v>3781</v>
      </c>
      <c r="K1625" s="935"/>
      <c r="L1625" s="935" t="s">
        <v>3737</v>
      </c>
      <c r="M1625" s="930">
        <v>1800</v>
      </c>
      <c r="N1625" s="935"/>
      <c r="O1625" s="935"/>
      <c r="P1625" s="935"/>
    </row>
    <row r="1626" spans="1:16" x14ac:dyDescent="0.2">
      <c r="A1626" s="912" t="s">
        <v>3215</v>
      </c>
      <c r="B1626" s="914" t="s">
        <v>3734</v>
      </c>
      <c r="C1626" s="912" t="s">
        <v>81</v>
      </c>
      <c r="D1626" s="912" t="s">
        <v>3776</v>
      </c>
      <c r="E1626" s="930">
        <v>2239</v>
      </c>
      <c r="F1626" s="914" t="s">
        <v>3782</v>
      </c>
      <c r="G1626" s="950" t="s">
        <v>3783</v>
      </c>
      <c r="H1626" s="950" t="s">
        <v>974</v>
      </c>
      <c r="I1626" s="950" t="s">
        <v>974</v>
      </c>
      <c r="J1626" s="950" t="s">
        <v>974</v>
      </c>
      <c r="K1626" s="935"/>
      <c r="L1626" s="935" t="s">
        <v>3737</v>
      </c>
      <c r="M1626" s="930">
        <v>2239</v>
      </c>
      <c r="N1626" s="935"/>
      <c r="O1626" s="935"/>
      <c r="P1626" s="935"/>
    </row>
    <row r="1627" spans="1:16" x14ac:dyDescent="0.2">
      <c r="A1627" s="912" t="s">
        <v>3215</v>
      </c>
      <c r="B1627" s="914" t="s">
        <v>3734</v>
      </c>
      <c r="C1627" s="912" t="s">
        <v>81</v>
      </c>
      <c r="D1627" s="912" t="s">
        <v>3747</v>
      </c>
      <c r="E1627" s="930">
        <v>2239</v>
      </c>
      <c r="F1627" s="914" t="s">
        <v>3784</v>
      </c>
      <c r="G1627" s="950" t="s">
        <v>3785</v>
      </c>
      <c r="H1627" s="950" t="s">
        <v>974</v>
      </c>
      <c r="I1627" s="950" t="s">
        <v>974</v>
      </c>
      <c r="J1627" s="950" t="s">
        <v>974</v>
      </c>
      <c r="K1627" s="935"/>
      <c r="L1627" s="935" t="s">
        <v>3737</v>
      </c>
      <c r="M1627" s="930">
        <v>2239</v>
      </c>
      <c r="N1627" s="935"/>
      <c r="O1627" s="935"/>
      <c r="P1627" s="935"/>
    </row>
    <row r="1628" spans="1:16" x14ac:dyDescent="0.2">
      <c r="A1628" s="912" t="s">
        <v>3215</v>
      </c>
      <c r="B1628" s="914" t="s">
        <v>3734</v>
      </c>
      <c r="C1628" s="912" t="s">
        <v>81</v>
      </c>
      <c r="D1628" s="912" t="s">
        <v>3735</v>
      </c>
      <c r="E1628" s="930">
        <v>1800</v>
      </c>
      <c r="F1628" s="914" t="s">
        <v>3786</v>
      </c>
      <c r="G1628" s="950" t="s">
        <v>3642</v>
      </c>
      <c r="H1628" s="950" t="s">
        <v>1412</v>
      </c>
      <c r="I1628" s="950" t="s">
        <v>1412</v>
      </c>
      <c r="J1628" s="950" t="s">
        <v>1412</v>
      </c>
      <c r="K1628" s="935"/>
      <c r="L1628" s="935" t="s">
        <v>3737</v>
      </c>
      <c r="M1628" s="930">
        <v>1800</v>
      </c>
      <c r="N1628" s="935"/>
      <c r="O1628" s="935"/>
      <c r="P1628" s="935"/>
    </row>
    <row r="1629" spans="1:16" x14ac:dyDescent="0.2">
      <c r="A1629" s="912" t="s">
        <v>3215</v>
      </c>
      <c r="B1629" s="914" t="s">
        <v>3734</v>
      </c>
      <c r="C1629" s="912" t="s">
        <v>81</v>
      </c>
      <c r="D1629" s="912" t="s">
        <v>3787</v>
      </c>
      <c r="E1629" s="930">
        <v>2239</v>
      </c>
      <c r="F1629" s="914" t="s">
        <v>3788</v>
      </c>
      <c r="G1629" s="950" t="s">
        <v>3789</v>
      </c>
      <c r="H1629" s="950" t="s">
        <v>1626</v>
      </c>
      <c r="I1629" s="950" t="s">
        <v>1626</v>
      </c>
      <c r="J1629" s="950" t="s">
        <v>1626</v>
      </c>
      <c r="K1629" s="935"/>
      <c r="L1629" s="935" t="s">
        <v>3737</v>
      </c>
      <c r="M1629" s="930">
        <v>2239</v>
      </c>
      <c r="N1629" s="935"/>
      <c r="O1629" s="935"/>
      <c r="P1629" s="935"/>
    </row>
    <row r="1630" spans="1:16" x14ac:dyDescent="0.2">
      <c r="A1630" s="912" t="s">
        <v>3215</v>
      </c>
      <c r="B1630" s="914" t="s">
        <v>3734</v>
      </c>
      <c r="C1630" s="912" t="s">
        <v>81</v>
      </c>
      <c r="D1630" s="912" t="s">
        <v>3787</v>
      </c>
      <c r="E1630" s="930">
        <v>2239</v>
      </c>
      <c r="F1630" s="914" t="s">
        <v>3790</v>
      </c>
      <c r="G1630" s="950" t="s">
        <v>3791</v>
      </c>
      <c r="H1630" s="950" t="s">
        <v>1626</v>
      </c>
      <c r="I1630" s="950" t="s">
        <v>1626</v>
      </c>
      <c r="J1630" s="950" t="s">
        <v>1626</v>
      </c>
      <c r="K1630" s="935"/>
      <c r="L1630" s="935" t="s">
        <v>3737</v>
      </c>
      <c r="M1630" s="930">
        <v>2239</v>
      </c>
      <c r="N1630" s="935"/>
      <c r="O1630" s="935"/>
      <c r="P1630" s="935"/>
    </row>
    <row r="1631" spans="1:16" x14ac:dyDescent="0.2">
      <c r="A1631" s="912" t="s">
        <v>3215</v>
      </c>
      <c r="B1631" s="914" t="s">
        <v>3734</v>
      </c>
      <c r="C1631" s="912" t="s">
        <v>81</v>
      </c>
      <c r="D1631" s="912" t="s">
        <v>3787</v>
      </c>
      <c r="E1631" s="930">
        <v>2239</v>
      </c>
      <c r="F1631" s="914" t="s">
        <v>3792</v>
      </c>
      <c r="G1631" s="950" t="s">
        <v>3793</v>
      </c>
      <c r="H1631" s="950" t="s">
        <v>1626</v>
      </c>
      <c r="I1631" s="950" t="s">
        <v>1626</v>
      </c>
      <c r="J1631" s="950" t="s">
        <v>1626</v>
      </c>
      <c r="K1631" s="935" t="s">
        <v>77</v>
      </c>
      <c r="L1631" s="935" t="s">
        <v>3737</v>
      </c>
      <c r="M1631" s="930">
        <v>2239</v>
      </c>
      <c r="N1631" s="935"/>
      <c r="O1631" s="935"/>
      <c r="P1631" s="935"/>
    </row>
    <row r="1632" spans="1:16" x14ac:dyDescent="0.2">
      <c r="A1632" s="912" t="s">
        <v>3215</v>
      </c>
      <c r="B1632" s="914" t="s">
        <v>3734</v>
      </c>
      <c r="C1632" s="912" t="s">
        <v>81</v>
      </c>
      <c r="D1632" s="912" t="s">
        <v>3787</v>
      </c>
      <c r="E1632" s="930">
        <v>2239</v>
      </c>
      <c r="F1632" s="914" t="s">
        <v>3794</v>
      </c>
      <c r="G1632" s="950" t="s">
        <v>3795</v>
      </c>
      <c r="H1632" s="950" t="s">
        <v>1626</v>
      </c>
      <c r="I1632" s="950" t="s">
        <v>1626</v>
      </c>
      <c r="J1632" s="950" t="s">
        <v>1626</v>
      </c>
      <c r="K1632" s="935" t="s">
        <v>77</v>
      </c>
      <c r="L1632" s="935" t="s">
        <v>3737</v>
      </c>
      <c r="M1632" s="930">
        <v>2239</v>
      </c>
      <c r="N1632" s="935"/>
      <c r="O1632" s="935"/>
      <c r="P1632" s="935"/>
    </row>
    <row r="1633" spans="1:16" x14ac:dyDescent="0.2">
      <c r="A1633" s="912" t="s">
        <v>3215</v>
      </c>
      <c r="B1633" s="914" t="s">
        <v>3734</v>
      </c>
      <c r="C1633" s="912" t="s">
        <v>81</v>
      </c>
      <c r="D1633" s="912" t="s">
        <v>3796</v>
      </c>
      <c r="E1633" s="930">
        <v>2239</v>
      </c>
      <c r="F1633" s="914" t="s">
        <v>3797</v>
      </c>
      <c r="G1633" s="950" t="s">
        <v>3798</v>
      </c>
      <c r="H1633" s="950" t="s">
        <v>1626</v>
      </c>
      <c r="I1633" s="950" t="s">
        <v>1626</v>
      </c>
      <c r="J1633" s="950" t="s">
        <v>1626</v>
      </c>
      <c r="K1633" s="935" t="s">
        <v>77</v>
      </c>
      <c r="L1633" s="935" t="s">
        <v>3737</v>
      </c>
      <c r="M1633" s="930">
        <v>2239</v>
      </c>
      <c r="N1633" s="935"/>
      <c r="O1633" s="935"/>
      <c r="P1633" s="935"/>
    </row>
    <row r="1634" spans="1:16" x14ac:dyDescent="0.2">
      <c r="A1634" s="912" t="s">
        <v>3215</v>
      </c>
      <c r="B1634" s="914" t="s">
        <v>3734</v>
      </c>
      <c r="C1634" s="912" t="s">
        <v>81</v>
      </c>
      <c r="D1634" s="912" t="s">
        <v>3796</v>
      </c>
      <c r="E1634" s="930">
        <v>2239</v>
      </c>
      <c r="F1634" s="914" t="s">
        <v>3799</v>
      </c>
      <c r="G1634" s="950" t="s">
        <v>3800</v>
      </c>
      <c r="H1634" s="950" t="s">
        <v>1626</v>
      </c>
      <c r="I1634" s="950" t="s">
        <v>1626</v>
      </c>
      <c r="J1634" s="950" t="s">
        <v>1626</v>
      </c>
      <c r="K1634" s="935" t="s">
        <v>77</v>
      </c>
      <c r="L1634" s="935" t="s">
        <v>3737</v>
      </c>
      <c r="M1634" s="930">
        <v>2239</v>
      </c>
      <c r="N1634" s="935"/>
      <c r="O1634" s="935"/>
      <c r="P1634" s="935"/>
    </row>
    <row r="1635" spans="1:16" x14ac:dyDescent="0.2">
      <c r="A1635" s="912" t="s">
        <v>3215</v>
      </c>
      <c r="B1635" s="914" t="s">
        <v>3734</v>
      </c>
      <c r="C1635" s="912" t="s">
        <v>81</v>
      </c>
      <c r="D1635" s="912" t="s">
        <v>3801</v>
      </c>
      <c r="E1635" s="930">
        <v>2239</v>
      </c>
      <c r="F1635" s="914" t="s">
        <v>3802</v>
      </c>
      <c r="G1635" s="950" t="s">
        <v>3589</v>
      </c>
      <c r="H1635" s="912" t="s">
        <v>974</v>
      </c>
      <c r="I1635" s="912" t="s">
        <v>974</v>
      </c>
      <c r="J1635" s="912" t="s">
        <v>974</v>
      </c>
      <c r="K1635" s="935" t="s">
        <v>77</v>
      </c>
      <c r="L1635" s="935" t="s">
        <v>3737</v>
      </c>
      <c r="M1635" s="930">
        <v>2239</v>
      </c>
      <c r="N1635" s="935"/>
      <c r="O1635" s="935"/>
      <c r="P1635" s="935"/>
    </row>
    <row r="1636" spans="1:16" x14ac:dyDescent="0.2">
      <c r="A1636" s="912" t="s">
        <v>3215</v>
      </c>
      <c r="B1636" s="914" t="s">
        <v>3734</v>
      </c>
      <c r="C1636" s="912" t="s">
        <v>81</v>
      </c>
      <c r="D1636" s="912" t="s">
        <v>3803</v>
      </c>
      <c r="E1636" s="930">
        <v>1800</v>
      </c>
      <c r="F1636" s="914" t="s">
        <v>3804</v>
      </c>
      <c r="G1636" s="950" t="s">
        <v>3805</v>
      </c>
      <c r="H1636" s="950" t="s">
        <v>3806</v>
      </c>
      <c r="I1636" s="950" t="s">
        <v>3806</v>
      </c>
      <c r="J1636" s="950" t="s">
        <v>3806</v>
      </c>
      <c r="K1636" s="935" t="s">
        <v>77</v>
      </c>
      <c r="L1636" s="935" t="s">
        <v>3737</v>
      </c>
      <c r="M1636" s="930">
        <v>1800</v>
      </c>
      <c r="N1636" s="935"/>
      <c r="O1636" s="935"/>
      <c r="P1636" s="935"/>
    </row>
    <row r="1637" spans="1:16" x14ac:dyDescent="0.2">
      <c r="A1637" s="912" t="s">
        <v>3215</v>
      </c>
      <c r="B1637" s="914" t="s">
        <v>1333</v>
      </c>
      <c r="C1637" s="912" t="s">
        <v>81</v>
      </c>
      <c r="D1637" s="912" t="s">
        <v>3742</v>
      </c>
      <c r="E1637" s="930">
        <v>1800</v>
      </c>
      <c r="F1637" s="914" t="s">
        <v>3807</v>
      </c>
      <c r="G1637" s="950" t="s">
        <v>3808</v>
      </c>
      <c r="H1637" s="950" t="s">
        <v>3809</v>
      </c>
      <c r="I1637" s="950" t="s">
        <v>3809</v>
      </c>
      <c r="J1637" s="950" t="s">
        <v>3809</v>
      </c>
      <c r="K1637" s="935" t="s">
        <v>77</v>
      </c>
      <c r="L1637" s="935" t="s">
        <v>3737</v>
      </c>
      <c r="M1637" s="930">
        <v>1800</v>
      </c>
      <c r="N1637" s="935"/>
      <c r="O1637" s="935"/>
      <c r="P1637" s="935"/>
    </row>
    <row r="1638" spans="1:16" x14ac:dyDescent="0.2">
      <c r="A1638" s="912" t="s">
        <v>3215</v>
      </c>
      <c r="B1638" s="914" t="s">
        <v>3734</v>
      </c>
      <c r="C1638" s="912" t="s">
        <v>81</v>
      </c>
      <c r="D1638" s="912" t="s">
        <v>3796</v>
      </c>
      <c r="E1638" s="930">
        <v>2239</v>
      </c>
      <c r="F1638" s="914" t="s">
        <v>3810</v>
      </c>
      <c r="G1638" s="950" t="s">
        <v>3811</v>
      </c>
      <c r="H1638" s="950" t="s">
        <v>1626</v>
      </c>
      <c r="I1638" s="950" t="s">
        <v>1626</v>
      </c>
      <c r="J1638" s="950" t="s">
        <v>1626</v>
      </c>
      <c r="K1638" s="935" t="s">
        <v>77</v>
      </c>
      <c r="L1638" s="935" t="s">
        <v>3737</v>
      </c>
      <c r="M1638" s="930">
        <v>2239</v>
      </c>
      <c r="N1638" s="935"/>
      <c r="O1638" s="935"/>
      <c r="P1638" s="935"/>
    </row>
    <row r="1639" spans="1:16" x14ac:dyDescent="0.2">
      <c r="A1639" s="912" t="s">
        <v>3215</v>
      </c>
      <c r="B1639" s="914" t="s">
        <v>3734</v>
      </c>
      <c r="C1639" s="912" t="s">
        <v>81</v>
      </c>
      <c r="D1639" s="912" t="s">
        <v>3803</v>
      </c>
      <c r="E1639" s="930">
        <v>1800</v>
      </c>
      <c r="F1639" s="914" t="s">
        <v>3812</v>
      </c>
      <c r="G1639" s="950" t="s">
        <v>3813</v>
      </c>
      <c r="H1639" s="950" t="s">
        <v>3814</v>
      </c>
      <c r="I1639" s="950" t="s">
        <v>3814</v>
      </c>
      <c r="J1639" s="950" t="s">
        <v>3814</v>
      </c>
      <c r="K1639" s="935" t="s">
        <v>77</v>
      </c>
      <c r="L1639" s="935" t="s">
        <v>3737</v>
      </c>
      <c r="M1639" s="930">
        <v>1800</v>
      </c>
      <c r="N1639" s="935"/>
      <c r="O1639" s="935"/>
      <c r="P1639" s="935"/>
    </row>
    <row r="1640" spans="1:16" x14ac:dyDescent="0.2">
      <c r="A1640" s="912" t="s">
        <v>3215</v>
      </c>
      <c r="B1640" s="914" t="s">
        <v>1333</v>
      </c>
      <c r="C1640" s="912" t="s">
        <v>81</v>
      </c>
      <c r="D1640" s="912" t="s">
        <v>3742</v>
      </c>
      <c r="E1640" s="930">
        <v>1800</v>
      </c>
      <c r="F1640" s="914" t="s">
        <v>3815</v>
      </c>
      <c r="G1640" s="950" t="s">
        <v>3816</v>
      </c>
      <c r="H1640" s="950" t="s">
        <v>3809</v>
      </c>
      <c r="I1640" s="950" t="s">
        <v>3809</v>
      </c>
      <c r="J1640" s="950" t="s">
        <v>3809</v>
      </c>
      <c r="K1640" s="935" t="s">
        <v>77</v>
      </c>
      <c r="L1640" s="935" t="s">
        <v>3737</v>
      </c>
      <c r="M1640" s="930">
        <v>1800</v>
      </c>
      <c r="N1640" s="935"/>
      <c r="O1640" s="935"/>
      <c r="P1640" s="935"/>
    </row>
    <row r="1641" spans="1:16" x14ac:dyDescent="0.2">
      <c r="A1641" s="912" t="s">
        <v>3215</v>
      </c>
      <c r="B1641" s="914" t="s">
        <v>3734</v>
      </c>
      <c r="C1641" s="912" t="s">
        <v>81</v>
      </c>
      <c r="D1641" s="912" t="s">
        <v>3796</v>
      </c>
      <c r="E1641" s="930">
        <v>2239</v>
      </c>
      <c r="F1641" s="914" t="s">
        <v>3817</v>
      </c>
      <c r="G1641" s="950" t="s">
        <v>3818</v>
      </c>
      <c r="H1641" s="950" t="s">
        <v>1626</v>
      </c>
      <c r="I1641" s="950" t="s">
        <v>1626</v>
      </c>
      <c r="J1641" s="950" t="s">
        <v>1626</v>
      </c>
      <c r="K1641" s="935" t="s">
        <v>77</v>
      </c>
      <c r="L1641" s="935" t="s">
        <v>3737</v>
      </c>
      <c r="M1641" s="930">
        <v>2239</v>
      </c>
      <c r="N1641" s="935"/>
      <c r="O1641" s="935"/>
      <c r="P1641" s="935"/>
    </row>
    <row r="1642" spans="1:16" x14ac:dyDescent="0.2">
      <c r="A1642" s="912" t="s">
        <v>3215</v>
      </c>
      <c r="B1642" s="914" t="s">
        <v>1333</v>
      </c>
      <c r="C1642" s="912" t="s">
        <v>81</v>
      </c>
      <c r="D1642" s="912" t="s">
        <v>3742</v>
      </c>
      <c r="E1642" s="930">
        <v>2239</v>
      </c>
      <c r="F1642" s="914" t="s">
        <v>3819</v>
      </c>
      <c r="G1642" s="950" t="s">
        <v>3820</v>
      </c>
      <c r="H1642" s="939" t="s">
        <v>1641</v>
      </c>
      <c r="I1642" s="939" t="s">
        <v>1641</v>
      </c>
      <c r="J1642" s="939" t="s">
        <v>1641</v>
      </c>
      <c r="K1642" s="935" t="s">
        <v>77</v>
      </c>
      <c r="L1642" s="935" t="s">
        <v>3737</v>
      </c>
      <c r="M1642" s="930">
        <v>2239</v>
      </c>
      <c r="N1642" s="935"/>
      <c r="O1642" s="935"/>
      <c r="P1642" s="935"/>
    </row>
    <row r="1643" spans="1:16" x14ac:dyDescent="0.2">
      <c r="A1643" s="912" t="s">
        <v>3215</v>
      </c>
      <c r="B1643" s="914" t="s">
        <v>1333</v>
      </c>
      <c r="C1643" s="912" t="s">
        <v>81</v>
      </c>
      <c r="D1643" s="912" t="s">
        <v>3742</v>
      </c>
      <c r="E1643" s="930">
        <v>1800</v>
      </c>
      <c r="F1643" s="914" t="s">
        <v>3821</v>
      </c>
      <c r="G1643" s="950" t="s">
        <v>3822</v>
      </c>
      <c r="H1643" s="950" t="s">
        <v>3809</v>
      </c>
      <c r="I1643" s="950" t="s">
        <v>3809</v>
      </c>
      <c r="J1643" s="950" t="s">
        <v>3809</v>
      </c>
      <c r="K1643" s="935" t="s">
        <v>77</v>
      </c>
      <c r="L1643" s="935" t="s">
        <v>3737</v>
      </c>
      <c r="M1643" s="930">
        <v>1800</v>
      </c>
      <c r="N1643" s="935"/>
      <c r="O1643" s="935"/>
      <c r="P1643" s="935"/>
    </row>
    <row r="1644" spans="1:16" x14ac:dyDescent="0.2">
      <c r="A1644" s="912" t="s">
        <v>3215</v>
      </c>
      <c r="B1644" s="914" t="s">
        <v>3734</v>
      </c>
      <c r="C1644" s="912" t="s">
        <v>81</v>
      </c>
      <c r="D1644" s="912" t="s">
        <v>3823</v>
      </c>
      <c r="E1644" s="930">
        <v>2239</v>
      </c>
      <c r="F1644" s="914" t="s">
        <v>3824</v>
      </c>
      <c r="G1644" s="950" t="s">
        <v>3825</v>
      </c>
      <c r="H1644" s="939" t="s">
        <v>1641</v>
      </c>
      <c r="I1644" s="939" t="s">
        <v>1641</v>
      </c>
      <c r="J1644" s="939" t="s">
        <v>1641</v>
      </c>
      <c r="K1644" s="935" t="s">
        <v>77</v>
      </c>
      <c r="L1644" s="935" t="s">
        <v>3737</v>
      </c>
      <c r="M1644" s="930">
        <v>2239</v>
      </c>
      <c r="N1644" s="935"/>
      <c r="O1644" s="935"/>
      <c r="P1644" s="935"/>
    </row>
    <row r="1645" spans="1:16" x14ac:dyDescent="0.2">
      <c r="A1645" s="912" t="s">
        <v>3215</v>
      </c>
      <c r="B1645" s="914" t="s">
        <v>3734</v>
      </c>
      <c r="C1645" s="912" t="s">
        <v>81</v>
      </c>
      <c r="D1645" s="912" t="s">
        <v>3803</v>
      </c>
      <c r="E1645" s="930">
        <v>1800</v>
      </c>
      <c r="F1645" s="914" t="s">
        <v>3826</v>
      </c>
      <c r="G1645" s="950" t="s">
        <v>3458</v>
      </c>
      <c r="H1645" s="950" t="s">
        <v>3814</v>
      </c>
      <c r="I1645" s="950" t="s">
        <v>3814</v>
      </c>
      <c r="J1645" s="950" t="s">
        <v>3814</v>
      </c>
      <c r="K1645" s="935" t="s">
        <v>77</v>
      </c>
      <c r="L1645" s="935" t="s">
        <v>3737</v>
      </c>
      <c r="M1645" s="930">
        <v>1800</v>
      </c>
      <c r="N1645" s="935"/>
      <c r="O1645" s="935"/>
      <c r="P1645" s="935"/>
    </row>
    <row r="1646" spans="1:16" x14ac:dyDescent="0.2">
      <c r="A1646" s="912" t="s">
        <v>3215</v>
      </c>
      <c r="B1646" s="914" t="s">
        <v>3734</v>
      </c>
      <c r="C1646" s="912" t="s">
        <v>81</v>
      </c>
      <c r="D1646" s="912" t="s">
        <v>3803</v>
      </c>
      <c r="E1646" s="930">
        <v>1800</v>
      </c>
      <c r="F1646" s="914" t="s">
        <v>3827</v>
      </c>
      <c r="G1646" s="950" t="s">
        <v>3828</v>
      </c>
      <c r="H1646" s="950" t="s">
        <v>3814</v>
      </c>
      <c r="I1646" s="950" t="s">
        <v>3814</v>
      </c>
      <c r="J1646" s="950" t="s">
        <v>3814</v>
      </c>
      <c r="K1646" s="935" t="s">
        <v>77</v>
      </c>
      <c r="L1646" s="935" t="s">
        <v>3737</v>
      </c>
      <c r="M1646" s="930">
        <v>1800</v>
      </c>
      <c r="N1646" s="935"/>
      <c r="O1646" s="935"/>
      <c r="P1646" s="935"/>
    </row>
    <row r="1647" spans="1:16" x14ac:dyDescent="0.2">
      <c r="A1647" s="912" t="s">
        <v>3215</v>
      </c>
      <c r="B1647" s="914" t="s">
        <v>3734</v>
      </c>
      <c r="C1647" s="912" t="s">
        <v>81</v>
      </c>
      <c r="D1647" s="912" t="s">
        <v>3829</v>
      </c>
      <c r="E1647" s="930">
        <v>1800</v>
      </c>
      <c r="F1647" s="914" t="s">
        <v>3830</v>
      </c>
      <c r="G1647" s="950" t="s">
        <v>3831</v>
      </c>
      <c r="H1647" s="950" t="s">
        <v>3832</v>
      </c>
      <c r="I1647" s="950" t="s">
        <v>3832</v>
      </c>
      <c r="J1647" s="950" t="s">
        <v>3832</v>
      </c>
      <c r="K1647" s="935" t="s">
        <v>77</v>
      </c>
      <c r="L1647" s="935" t="s">
        <v>3737</v>
      </c>
      <c r="M1647" s="930">
        <v>1800</v>
      </c>
      <c r="N1647" s="935"/>
      <c r="O1647" s="935"/>
      <c r="P1647" s="935"/>
    </row>
    <row r="1648" spans="1:16" x14ac:dyDescent="0.2">
      <c r="A1648" s="912" t="s">
        <v>3215</v>
      </c>
      <c r="B1648" s="914" t="s">
        <v>3734</v>
      </c>
      <c r="C1648" s="912" t="s">
        <v>81</v>
      </c>
      <c r="D1648" s="912" t="s">
        <v>3796</v>
      </c>
      <c r="E1648" s="930">
        <v>2239</v>
      </c>
      <c r="F1648" s="914" t="s">
        <v>3833</v>
      </c>
      <c r="G1648" s="950" t="s">
        <v>3834</v>
      </c>
      <c r="H1648" s="950" t="s">
        <v>1626</v>
      </c>
      <c r="I1648" s="950" t="s">
        <v>1626</v>
      </c>
      <c r="J1648" s="950" t="s">
        <v>1626</v>
      </c>
      <c r="K1648" s="935" t="s">
        <v>77</v>
      </c>
      <c r="L1648" s="935" t="s">
        <v>3737</v>
      </c>
      <c r="M1648" s="930">
        <v>2239</v>
      </c>
      <c r="N1648" s="935"/>
      <c r="O1648" s="935"/>
      <c r="P1648" s="935"/>
    </row>
    <row r="1649" spans="1:16" x14ac:dyDescent="0.2">
      <c r="A1649" s="912" t="s">
        <v>3215</v>
      </c>
      <c r="B1649" s="914" t="s">
        <v>3734</v>
      </c>
      <c r="C1649" s="912" t="s">
        <v>81</v>
      </c>
      <c r="D1649" s="912" t="s">
        <v>3796</v>
      </c>
      <c r="E1649" s="930">
        <v>2239</v>
      </c>
      <c r="F1649" s="914" t="s">
        <v>3835</v>
      </c>
      <c r="G1649" s="950" t="s">
        <v>3836</v>
      </c>
      <c r="H1649" s="950" t="s">
        <v>1626</v>
      </c>
      <c r="I1649" s="950" t="s">
        <v>1626</v>
      </c>
      <c r="J1649" s="950" t="s">
        <v>1626</v>
      </c>
      <c r="K1649" s="935" t="s">
        <v>77</v>
      </c>
      <c r="L1649" s="935" t="s">
        <v>3737</v>
      </c>
      <c r="M1649" s="930">
        <v>2239</v>
      </c>
      <c r="N1649" s="935"/>
      <c r="O1649" s="935"/>
      <c r="P1649" s="935"/>
    </row>
    <row r="1650" spans="1:16" x14ac:dyDescent="0.2">
      <c r="A1650" s="912" t="s">
        <v>3215</v>
      </c>
      <c r="B1650" s="914" t="s">
        <v>3734</v>
      </c>
      <c r="C1650" s="912" t="s">
        <v>81</v>
      </c>
      <c r="D1650" s="912" t="s">
        <v>3823</v>
      </c>
      <c r="E1650" s="930">
        <v>1800</v>
      </c>
      <c r="F1650" s="914" t="s">
        <v>3837</v>
      </c>
      <c r="G1650" s="950" t="s">
        <v>3838</v>
      </c>
      <c r="H1650" s="950" t="s">
        <v>3839</v>
      </c>
      <c r="I1650" s="950" t="s">
        <v>3839</v>
      </c>
      <c r="J1650" s="950" t="s">
        <v>3839</v>
      </c>
      <c r="K1650" s="935" t="s">
        <v>77</v>
      </c>
      <c r="L1650" s="935" t="s">
        <v>3737</v>
      </c>
      <c r="M1650" s="930">
        <v>1800</v>
      </c>
      <c r="N1650" s="935"/>
      <c r="O1650" s="935"/>
      <c r="P1650" s="935"/>
    </row>
    <row r="1651" spans="1:16" x14ac:dyDescent="0.2">
      <c r="A1651" s="912" t="s">
        <v>3215</v>
      </c>
      <c r="B1651" s="914" t="s">
        <v>3734</v>
      </c>
      <c r="C1651" s="912" t="s">
        <v>81</v>
      </c>
      <c r="D1651" s="912" t="s">
        <v>3823</v>
      </c>
      <c r="E1651" s="930">
        <v>2239</v>
      </c>
      <c r="F1651" s="914" t="s">
        <v>3840</v>
      </c>
      <c r="G1651" s="950" t="s">
        <v>3841</v>
      </c>
      <c r="H1651" s="912" t="s">
        <v>974</v>
      </c>
      <c r="I1651" s="912" t="s">
        <v>974</v>
      </c>
      <c r="J1651" s="912" t="s">
        <v>974</v>
      </c>
      <c r="K1651" s="935" t="s">
        <v>77</v>
      </c>
      <c r="L1651" s="935" t="s">
        <v>3737</v>
      </c>
      <c r="M1651" s="930">
        <v>2239</v>
      </c>
      <c r="N1651" s="935"/>
      <c r="O1651" s="935"/>
      <c r="P1651" s="935"/>
    </row>
    <row r="1652" spans="1:16" x14ac:dyDescent="0.2">
      <c r="A1652" s="912" t="s">
        <v>3215</v>
      </c>
      <c r="B1652" s="914" t="s">
        <v>3734</v>
      </c>
      <c r="C1652" s="912" t="s">
        <v>81</v>
      </c>
      <c r="D1652" s="912" t="s">
        <v>3735</v>
      </c>
      <c r="E1652" s="930">
        <v>1800</v>
      </c>
      <c r="F1652" s="914" t="s">
        <v>3842</v>
      </c>
      <c r="G1652" s="950" t="s">
        <v>3843</v>
      </c>
      <c r="H1652" s="950" t="s">
        <v>1412</v>
      </c>
      <c r="I1652" s="950" t="s">
        <v>1412</v>
      </c>
      <c r="J1652" s="950" t="s">
        <v>1412</v>
      </c>
      <c r="K1652" s="935" t="s">
        <v>77</v>
      </c>
      <c r="L1652" s="935" t="s">
        <v>3737</v>
      </c>
      <c r="M1652" s="930">
        <v>1800</v>
      </c>
      <c r="N1652" s="935"/>
      <c r="O1652" s="935"/>
      <c r="P1652" s="935"/>
    </row>
    <row r="1653" spans="1:16" x14ac:dyDescent="0.2">
      <c r="A1653" s="912" t="s">
        <v>3215</v>
      </c>
      <c r="B1653" s="914" t="s">
        <v>3734</v>
      </c>
      <c r="C1653" s="912" t="s">
        <v>81</v>
      </c>
      <c r="D1653" s="912" t="s">
        <v>3735</v>
      </c>
      <c r="E1653" s="930">
        <v>1800</v>
      </c>
      <c r="F1653" s="914" t="s">
        <v>3844</v>
      </c>
      <c r="G1653" s="950" t="s">
        <v>3845</v>
      </c>
      <c r="H1653" s="950" t="s">
        <v>1412</v>
      </c>
      <c r="I1653" s="950" t="s">
        <v>1412</v>
      </c>
      <c r="J1653" s="950" t="s">
        <v>1412</v>
      </c>
      <c r="K1653" s="935"/>
      <c r="L1653" s="935" t="s">
        <v>3737</v>
      </c>
      <c r="M1653" s="930">
        <v>1800</v>
      </c>
      <c r="N1653" s="935"/>
      <c r="O1653" s="935"/>
      <c r="P1653" s="935"/>
    </row>
    <row r="1654" spans="1:16" x14ac:dyDescent="0.2">
      <c r="A1654" s="912" t="s">
        <v>3215</v>
      </c>
      <c r="B1654" s="914" t="s">
        <v>3734</v>
      </c>
      <c r="C1654" s="912" t="s">
        <v>81</v>
      </c>
      <c r="D1654" s="912" t="s">
        <v>3735</v>
      </c>
      <c r="E1654" s="930">
        <v>1800</v>
      </c>
      <c r="F1654" s="914" t="s">
        <v>3846</v>
      </c>
      <c r="G1654" s="950" t="s">
        <v>3847</v>
      </c>
      <c r="H1654" s="950" t="s">
        <v>1412</v>
      </c>
      <c r="I1654" s="950" t="s">
        <v>1412</v>
      </c>
      <c r="J1654" s="950" t="s">
        <v>1412</v>
      </c>
      <c r="K1654" s="935"/>
      <c r="L1654" s="935" t="s">
        <v>3737</v>
      </c>
      <c r="M1654" s="930">
        <v>1800</v>
      </c>
      <c r="N1654" s="935"/>
      <c r="O1654" s="935"/>
      <c r="P1654" s="935"/>
    </row>
    <row r="1655" spans="1:16" x14ac:dyDescent="0.2">
      <c r="A1655" s="912" t="s">
        <v>3215</v>
      </c>
      <c r="B1655" s="914" t="s">
        <v>3734</v>
      </c>
      <c r="C1655" s="912" t="s">
        <v>81</v>
      </c>
      <c r="D1655" s="912" t="s">
        <v>3823</v>
      </c>
      <c r="E1655" s="930">
        <v>2239</v>
      </c>
      <c r="F1655" s="914" t="s">
        <v>3848</v>
      </c>
      <c r="G1655" s="950" t="s">
        <v>3849</v>
      </c>
      <c r="H1655" s="912" t="s">
        <v>974</v>
      </c>
      <c r="I1655" s="912" t="s">
        <v>974</v>
      </c>
      <c r="J1655" s="912" t="s">
        <v>974</v>
      </c>
      <c r="K1655" s="935" t="s">
        <v>77</v>
      </c>
      <c r="L1655" s="935" t="s">
        <v>3737</v>
      </c>
      <c r="M1655" s="930">
        <v>2239</v>
      </c>
      <c r="N1655" s="935"/>
      <c r="O1655" s="935"/>
      <c r="P1655" s="935"/>
    </row>
    <row r="1656" spans="1:16" x14ac:dyDescent="0.2">
      <c r="A1656" s="912" t="s">
        <v>3215</v>
      </c>
      <c r="B1656" s="914" t="s">
        <v>3734</v>
      </c>
      <c r="C1656" s="912" t="s">
        <v>81</v>
      </c>
      <c r="D1656" s="912" t="s">
        <v>3823</v>
      </c>
      <c r="E1656" s="930">
        <v>1800</v>
      </c>
      <c r="F1656" s="914" t="s">
        <v>3850</v>
      </c>
      <c r="G1656" s="950" t="s">
        <v>3851</v>
      </c>
      <c r="H1656" s="950" t="s">
        <v>3852</v>
      </c>
      <c r="I1656" s="950" t="s">
        <v>3852</v>
      </c>
      <c r="J1656" s="950" t="s">
        <v>3852</v>
      </c>
      <c r="K1656" s="935" t="s">
        <v>77</v>
      </c>
      <c r="L1656" s="935" t="s">
        <v>3737</v>
      </c>
      <c r="M1656" s="930">
        <v>1800</v>
      </c>
      <c r="N1656" s="935"/>
      <c r="O1656" s="935"/>
      <c r="P1656" s="935"/>
    </row>
    <row r="1657" spans="1:16" x14ac:dyDescent="0.2">
      <c r="A1657" s="912" t="s">
        <v>3215</v>
      </c>
      <c r="B1657" s="914" t="s">
        <v>3734</v>
      </c>
      <c r="C1657" s="912" t="s">
        <v>81</v>
      </c>
      <c r="D1657" s="912" t="s">
        <v>3823</v>
      </c>
      <c r="E1657" s="930">
        <v>2239</v>
      </c>
      <c r="F1657" s="914" t="s">
        <v>3853</v>
      </c>
      <c r="G1657" s="950" t="s">
        <v>3564</v>
      </c>
      <c r="H1657" s="950" t="s">
        <v>987</v>
      </c>
      <c r="I1657" s="950" t="s">
        <v>987</v>
      </c>
      <c r="J1657" s="950" t="s">
        <v>987</v>
      </c>
      <c r="K1657" s="935" t="s">
        <v>77</v>
      </c>
      <c r="L1657" s="935" t="s">
        <v>3737</v>
      </c>
      <c r="M1657" s="930">
        <v>2239</v>
      </c>
      <c r="N1657" s="935"/>
      <c r="O1657" s="935"/>
      <c r="P1657" s="935"/>
    </row>
    <row r="1658" spans="1:16" x14ac:dyDescent="0.2">
      <c r="A1658" s="912" t="s">
        <v>3215</v>
      </c>
      <c r="B1658" s="914" t="s">
        <v>3734</v>
      </c>
      <c r="C1658" s="912" t="s">
        <v>81</v>
      </c>
      <c r="D1658" s="912" t="s">
        <v>3735</v>
      </c>
      <c r="E1658" s="930">
        <v>1800</v>
      </c>
      <c r="F1658" s="914" t="s">
        <v>3854</v>
      </c>
      <c r="G1658" s="950" t="s">
        <v>3572</v>
      </c>
      <c r="H1658" s="950" t="s">
        <v>1412</v>
      </c>
      <c r="I1658" s="950" t="s">
        <v>1412</v>
      </c>
      <c r="J1658" s="950" t="s">
        <v>1412</v>
      </c>
      <c r="K1658" s="935"/>
      <c r="L1658" s="935" t="s">
        <v>3737</v>
      </c>
      <c r="M1658" s="930">
        <v>1800</v>
      </c>
      <c r="N1658" s="935"/>
      <c r="O1658" s="935"/>
      <c r="P1658" s="935"/>
    </row>
    <row r="1659" spans="1:16" x14ac:dyDescent="0.2">
      <c r="A1659" s="912" t="s">
        <v>3215</v>
      </c>
      <c r="B1659" s="914" t="s">
        <v>3734</v>
      </c>
      <c r="C1659" s="912" t="s">
        <v>81</v>
      </c>
      <c r="D1659" s="912" t="s">
        <v>3735</v>
      </c>
      <c r="E1659" s="930">
        <v>1800</v>
      </c>
      <c r="F1659" s="914" t="s">
        <v>3855</v>
      </c>
      <c r="G1659" s="950" t="s">
        <v>3856</v>
      </c>
      <c r="H1659" s="950" t="s">
        <v>1412</v>
      </c>
      <c r="I1659" s="950" t="s">
        <v>1412</v>
      </c>
      <c r="J1659" s="950" t="s">
        <v>1412</v>
      </c>
      <c r="K1659" s="935"/>
      <c r="L1659" s="935" t="s">
        <v>3737</v>
      </c>
      <c r="M1659" s="930">
        <v>1800</v>
      </c>
      <c r="N1659" s="935"/>
      <c r="O1659" s="935"/>
      <c r="P1659" s="935"/>
    </row>
    <row r="1660" spans="1:16" x14ac:dyDescent="0.2">
      <c r="A1660" s="912" t="s">
        <v>3215</v>
      </c>
      <c r="B1660" s="914" t="s">
        <v>1333</v>
      </c>
      <c r="C1660" s="912" t="s">
        <v>81</v>
      </c>
      <c r="D1660" s="912" t="s">
        <v>3742</v>
      </c>
      <c r="E1660" s="930">
        <v>2239</v>
      </c>
      <c r="F1660" s="914" t="s">
        <v>3857</v>
      </c>
      <c r="G1660" s="950" t="s">
        <v>3561</v>
      </c>
      <c r="H1660" s="939" t="s">
        <v>1641</v>
      </c>
      <c r="I1660" s="939" t="s">
        <v>1641</v>
      </c>
      <c r="J1660" s="939" t="s">
        <v>1641</v>
      </c>
      <c r="K1660" s="935"/>
      <c r="L1660" s="935" t="s">
        <v>3737</v>
      </c>
      <c r="M1660" s="930">
        <v>2239</v>
      </c>
      <c r="N1660" s="935"/>
      <c r="O1660" s="935"/>
      <c r="P1660" s="935"/>
    </row>
    <row r="1661" spans="1:16" x14ac:dyDescent="0.2">
      <c r="A1661" s="912" t="s">
        <v>3215</v>
      </c>
      <c r="B1661" s="914" t="s">
        <v>3734</v>
      </c>
      <c r="C1661" s="912" t="s">
        <v>81</v>
      </c>
      <c r="D1661" s="912" t="s">
        <v>3747</v>
      </c>
      <c r="E1661" s="930">
        <v>5500</v>
      </c>
      <c r="F1661" s="914" t="s">
        <v>3858</v>
      </c>
      <c r="G1661" s="950" t="s">
        <v>3859</v>
      </c>
      <c r="H1661" s="939" t="s">
        <v>1175</v>
      </c>
      <c r="I1661" s="950" t="s">
        <v>1175</v>
      </c>
      <c r="J1661" s="950" t="s">
        <v>1175</v>
      </c>
      <c r="K1661" s="935"/>
      <c r="L1661" s="935" t="s">
        <v>3737</v>
      </c>
      <c r="M1661" s="930">
        <v>5500</v>
      </c>
      <c r="N1661" s="935"/>
      <c r="O1661" s="935"/>
      <c r="P1661" s="935"/>
    </row>
    <row r="1662" spans="1:16" x14ac:dyDescent="0.2">
      <c r="A1662" s="912" t="s">
        <v>3215</v>
      </c>
      <c r="B1662" s="914" t="s">
        <v>3734</v>
      </c>
      <c r="C1662" s="912" t="s">
        <v>81</v>
      </c>
      <c r="D1662" s="912" t="s">
        <v>3735</v>
      </c>
      <c r="E1662" s="930">
        <v>1800</v>
      </c>
      <c r="F1662" s="914" t="s">
        <v>3860</v>
      </c>
      <c r="G1662" s="950" t="s">
        <v>3861</v>
      </c>
      <c r="H1662" s="950" t="s">
        <v>1412</v>
      </c>
      <c r="I1662" s="950" t="s">
        <v>1412</v>
      </c>
      <c r="J1662" s="950" t="s">
        <v>1412</v>
      </c>
      <c r="K1662" s="935"/>
      <c r="L1662" s="935" t="s">
        <v>3737</v>
      </c>
      <c r="M1662" s="930">
        <v>1800</v>
      </c>
      <c r="N1662" s="935"/>
      <c r="O1662" s="935"/>
      <c r="P1662" s="935"/>
    </row>
    <row r="1663" spans="1:16" x14ac:dyDescent="0.2">
      <c r="A1663" s="912" t="s">
        <v>3215</v>
      </c>
      <c r="B1663" s="914" t="s">
        <v>1333</v>
      </c>
      <c r="C1663" s="912" t="s">
        <v>81</v>
      </c>
      <c r="D1663" s="912" t="s">
        <v>3742</v>
      </c>
      <c r="E1663" s="930">
        <v>2239</v>
      </c>
      <c r="F1663" s="914" t="s">
        <v>3862</v>
      </c>
      <c r="G1663" s="950" t="s">
        <v>3863</v>
      </c>
      <c r="H1663" s="939" t="s">
        <v>1641</v>
      </c>
      <c r="I1663" s="939" t="s">
        <v>1641</v>
      </c>
      <c r="J1663" s="939" t="s">
        <v>1641</v>
      </c>
      <c r="K1663" s="935"/>
      <c r="L1663" s="935" t="s">
        <v>3737</v>
      </c>
      <c r="M1663" s="930">
        <v>2239</v>
      </c>
      <c r="N1663" s="935"/>
      <c r="O1663" s="935"/>
      <c r="P1663" s="935"/>
    </row>
    <row r="1664" spans="1:16" x14ac:dyDescent="0.2">
      <c r="A1664" s="912" t="s">
        <v>3215</v>
      </c>
      <c r="B1664" s="914" t="s">
        <v>3734</v>
      </c>
      <c r="C1664" s="912" t="s">
        <v>81</v>
      </c>
      <c r="D1664" s="912" t="s">
        <v>3755</v>
      </c>
      <c r="E1664" s="930">
        <v>2600</v>
      </c>
      <c r="F1664" s="947" t="s">
        <v>3827</v>
      </c>
      <c r="G1664" s="951" t="s">
        <v>3828</v>
      </c>
      <c r="H1664" s="939" t="s">
        <v>3864</v>
      </c>
      <c r="I1664" s="939" t="s">
        <v>3864</v>
      </c>
      <c r="J1664" s="939" t="s">
        <v>3864</v>
      </c>
      <c r="K1664" s="935"/>
      <c r="L1664" s="935"/>
      <c r="M1664" s="930"/>
      <c r="N1664" s="935"/>
      <c r="O1664" s="935" t="s">
        <v>3865</v>
      </c>
      <c r="P1664" s="930">
        <v>2600</v>
      </c>
    </row>
    <row r="1665" spans="1:16" x14ac:dyDescent="0.2">
      <c r="A1665" s="912" t="s">
        <v>3215</v>
      </c>
      <c r="B1665" s="914" t="s">
        <v>3734</v>
      </c>
      <c r="C1665" s="912" t="s">
        <v>81</v>
      </c>
      <c r="D1665" s="912" t="s">
        <v>3755</v>
      </c>
      <c r="E1665" s="930">
        <v>1200</v>
      </c>
      <c r="F1665" s="947" t="s">
        <v>3866</v>
      </c>
      <c r="G1665" s="951" t="s">
        <v>3606</v>
      </c>
      <c r="H1665" s="939" t="s">
        <v>2897</v>
      </c>
      <c r="I1665" s="939" t="s">
        <v>2897</v>
      </c>
      <c r="J1665" s="939" t="s">
        <v>2897</v>
      </c>
      <c r="K1665" s="935" t="s">
        <v>77</v>
      </c>
      <c r="L1665" s="935"/>
      <c r="M1665" s="930"/>
      <c r="N1665" s="935"/>
      <c r="O1665" s="935" t="s">
        <v>3865</v>
      </c>
      <c r="P1665" s="930">
        <v>1200</v>
      </c>
    </row>
    <row r="1666" spans="1:16" x14ac:dyDescent="0.2">
      <c r="A1666" s="912" t="s">
        <v>3215</v>
      </c>
      <c r="B1666" s="914" t="s">
        <v>3734</v>
      </c>
      <c r="C1666" s="912" t="s">
        <v>81</v>
      </c>
      <c r="D1666" s="912" t="s">
        <v>3755</v>
      </c>
      <c r="E1666" s="930">
        <v>1200</v>
      </c>
      <c r="F1666" s="947" t="s">
        <v>3867</v>
      </c>
      <c r="G1666" s="951" t="s">
        <v>3604</v>
      </c>
      <c r="H1666" s="939" t="s">
        <v>3868</v>
      </c>
      <c r="I1666" s="939" t="s">
        <v>3868</v>
      </c>
      <c r="J1666" s="939" t="s">
        <v>3868</v>
      </c>
      <c r="K1666" s="935" t="s">
        <v>77</v>
      </c>
      <c r="L1666" s="935"/>
      <c r="M1666" s="930"/>
      <c r="N1666" s="935"/>
      <c r="O1666" s="935" t="s">
        <v>3865</v>
      </c>
      <c r="P1666" s="930">
        <v>1200</v>
      </c>
    </row>
    <row r="1667" spans="1:16" x14ac:dyDescent="0.2">
      <c r="A1667" s="912" t="s">
        <v>3215</v>
      </c>
      <c r="B1667" s="914" t="s">
        <v>1333</v>
      </c>
      <c r="C1667" s="912" t="s">
        <v>81</v>
      </c>
      <c r="D1667" s="912" t="s">
        <v>3742</v>
      </c>
      <c r="E1667" s="930">
        <v>2240</v>
      </c>
      <c r="F1667" s="947" t="s">
        <v>3862</v>
      </c>
      <c r="G1667" s="951" t="s">
        <v>3863</v>
      </c>
      <c r="H1667" s="939" t="s">
        <v>1641</v>
      </c>
      <c r="I1667" s="939" t="s">
        <v>1641</v>
      </c>
      <c r="J1667" s="939" t="s">
        <v>1641</v>
      </c>
      <c r="K1667" s="935" t="s">
        <v>77</v>
      </c>
      <c r="L1667" s="935"/>
      <c r="M1667" s="930"/>
      <c r="N1667" s="935"/>
      <c r="O1667" s="935" t="s">
        <v>3865</v>
      </c>
      <c r="P1667" s="930">
        <v>2240</v>
      </c>
    </row>
    <row r="1668" spans="1:16" x14ac:dyDescent="0.2">
      <c r="A1668" s="912" t="s">
        <v>3215</v>
      </c>
      <c r="B1668" s="914" t="s">
        <v>1333</v>
      </c>
      <c r="C1668" s="912" t="s">
        <v>81</v>
      </c>
      <c r="D1668" s="912" t="s">
        <v>3742</v>
      </c>
      <c r="E1668" s="930">
        <v>2240</v>
      </c>
      <c r="F1668" s="947" t="s">
        <v>3824</v>
      </c>
      <c r="G1668" s="951" t="s">
        <v>3825</v>
      </c>
      <c r="H1668" s="939" t="s">
        <v>1641</v>
      </c>
      <c r="I1668" s="939" t="s">
        <v>1641</v>
      </c>
      <c r="J1668" s="939" t="s">
        <v>1641</v>
      </c>
      <c r="K1668" s="935" t="s">
        <v>77</v>
      </c>
      <c r="L1668" s="935"/>
      <c r="M1668" s="930"/>
      <c r="N1668" s="935"/>
      <c r="O1668" s="935" t="s">
        <v>3865</v>
      </c>
      <c r="P1668" s="930">
        <v>2240</v>
      </c>
    </row>
    <row r="1669" spans="1:16" x14ac:dyDescent="0.2">
      <c r="A1669" s="912" t="s">
        <v>3215</v>
      </c>
      <c r="B1669" s="914" t="s">
        <v>1333</v>
      </c>
      <c r="C1669" s="912" t="s">
        <v>81</v>
      </c>
      <c r="D1669" s="912" t="s">
        <v>3742</v>
      </c>
      <c r="E1669" s="930">
        <v>1200</v>
      </c>
      <c r="F1669" s="947" t="s">
        <v>3819</v>
      </c>
      <c r="G1669" s="951" t="s">
        <v>3820</v>
      </c>
      <c r="H1669" s="939" t="s">
        <v>3869</v>
      </c>
      <c r="I1669" s="939" t="s">
        <v>3869</v>
      </c>
      <c r="J1669" s="939" t="s">
        <v>3869</v>
      </c>
      <c r="K1669" s="935" t="s">
        <v>77</v>
      </c>
      <c r="L1669" s="935"/>
      <c r="M1669" s="930"/>
      <c r="N1669" s="935"/>
      <c r="O1669" s="935" t="s">
        <v>3865</v>
      </c>
      <c r="P1669" s="930">
        <v>1200</v>
      </c>
    </row>
    <row r="1670" spans="1:16" x14ac:dyDescent="0.2">
      <c r="A1670" s="912" t="s">
        <v>3215</v>
      </c>
      <c r="B1670" s="914" t="s">
        <v>1333</v>
      </c>
      <c r="C1670" s="912" t="s">
        <v>81</v>
      </c>
      <c r="D1670" s="912" t="s">
        <v>3742</v>
      </c>
      <c r="E1670" s="930">
        <v>1300</v>
      </c>
      <c r="F1670" s="947" t="s">
        <v>3771</v>
      </c>
      <c r="G1670" s="951" t="s">
        <v>3772</v>
      </c>
      <c r="H1670" s="939" t="s">
        <v>981</v>
      </c>
      <c r="I1670" s="939" t="s">
        <v>981</v>
      </c>
      <c r="J1670" s="939" t="s">
        <v>981</v>
      </c>
      <c r="K1670" s="935" t="s">
        <v>77</v>
      </c>
      <c r="L1670" s="935"/>
      <c r="M1670" s="930"/>
      <c r="N1670" s="935"/>
      <c r="O1670" s="935" t="s">
        <v>3865</v>
      </c>
      <c r="P1670" s="930">
        <v>1300</v>
      </c>
    </row>
    <row r="1671" spans="1:16" x14ac:dyDescent="0.2">
      <c r="A1671" s="912" t="s">
        <v>3215</v>
      </c>
      <c r="B1671" s="914" t="s">
        <v>935</v>
      </c>
      <c r="C1671" s="912" t="s">
        <v>81</v>
      </c>
      <c r="D1671" s="912" t="s">
        <v>3735</v>
      </c>
      <c r="E1671" s="930">
        <v>1200</v>
      </c>
      <c r="F1671" s="947" t="s">
        <v>3870</v>
      </c>
      <c r="G1671" s="951" t="s">
        <v>3575</v>
      </c>
      <c r="H1671" s="939" t="s">
        <v>2897</v>
      </c>
      <c r="I1671" s="939" t="s">
        <v>2897</v>
      </c>
      <c r="J1671" s="939" t="s">
        <v>2897</v>
      </c>
      <c r="K1671" s="935" t="s">
        <v>77</v>
      </c>
      <c r="L1671" s="935"/>
      <c r="M1671" s="930"/>
      <c r="N1671" s="935"/>
      <c r="O1671" s="935" t="s">
        <v>3865</v>
      </c>
      <c r="P1671" s="930">
        <v>1200</v>
      </c>
    </row>
    <row r="1672" spans="1:16" x14ac:dyDescent="0.2">
      <c r="A1672" s="912" t="s">
        <v>3215</v>
      </c>
      <c r="B1672" s="914" t="s">
        <v>935</v>
      </c>
      <c r="C1672" s="912" t="s">
        <v>81</v>
      </c>
      <c r="D1672" s="912" t="s">
        <v>3755</v>
      </c>
      <c r="E1672" s="930">
        <v>1200</v>
      </c>
      <c r="F1672" s="947" t="s">
        <v>3871</v>
      </c>
      <c r="G1672" s="951" t="s">
        <v>3455</v>
      </c>
      <c r="H1672" s="939" t="s">
        <v>2897</v>
      </c>
      <c r="I1672" s="939" t="s">
        <v>2897</v>
      </c>
      <c r="J1672" s="939" t="s">
        <v>2897</v>
      </c>
      <c r="K1672" s="935" t="s">
        <v>77</v>
      </c>
      <c r="L1672" s="935"/>
      <c r="M1672" s="930"/>
      <c r="N1672" s="935"/>
      <c r="O1672" s="935" t="s">
        <v>3865</v>
      </c>
      <c r="P1672" s="930">
        <v>1200</v>
      </c>
    </row>
    <row r="1673" spans="1:16" x14ac:dyDescent="0.2">
      <c r="A1673" s="912" t="s">
        <v>3215</v>
      </c>
      <c r="B1673" s="914" t="s">
        <v>1333</v>
      </c>
      <c r="C1673" s="912" t="s">
        <v>81</v>
      </c>
      <c r="D1673" s="912" t="s">
        <v>3742</v>
      </c>
      <c r="E1673" s="930">
        <v>1200</v>
      </c>
      <c r="F1673" s="947" t="s">
        <v>3872</v>
      </c>
      <c r="G1673" s="951" t="s">
        <v>3873</v>
      </c>
      <c r="H1673" s="939" t="s">
        <v>3874</v>
      </c>
      <c r="I1673" s="939" t="s">
        <v>3874</v>
      </c>
      <c r="J1673" s="939" t="s">
        <v>3874</v>
      </c>
      <c r="K1673" s="935" t="s">
        <v>77</v>
      </c>
      <c r="L1673" s="935"/>
      <c r="M1673" s="930"/>
      <c r="N1673" s="935"/>
      <c r="O1673" s="935" t="s">
        <v>3865</v>
      </c>
      <c r="P1673" s="930">
        <v>1200</v>
      </c>
    </row>
    <row r="1674" spans="1:16" x14ac:dyDescent="0.2">
      <c r="A1674" s="912" t="s">
        <v>3215</v>
      </c>
      <c r="B1674" s="914" t="s">
        <v>1333</v>
      </c>
      <c r="C1674" s="912" t="s">
        <v>81</v>
      </c>
      <c r="D1674" s="912" t="s">
        <v>3742</v>
      </c>
      <c r="E1674" s="930">
        <v>3000</v>
      </c>
      <c r="F1674" s="947" t="s">
        <v>3875</v>
      </c>
      <c r="G1674" s="951" t="s">
        <v>3876</v>
      </c>
      <c r="H1674" s="939" t="s">
        <v>1269</v>
      </c>
      <c r="I1674" s="939" t="s">
        <v>1269</v>
      </c>
      <c r="J1674" s="939" t="s">
        <v>1269</v>
      </c>
      <c r="K1674" s="935" t="s">
        <v>77</v>
      </c>
      <c r="L1674" s="935"/>
      <c r="M1674" s="930"/>
      <c r="N1674" s="935"/>
      <c r="O1674" s="935" t="s">
        <v>3865</v>
      </c>
      <c r="P1674" s="930">
        <v>3000</v>
      </c>
    </row>
    <row r="1675" spans="1:16" x14ac:dyDescent="0.2">
      <c r="A1675" s="912" t="s">
        <v>3877</v>
      </c>
      <c r="B1675" s="912" t="s">
        <v>875</v>
      </c>
      <c r="C1675" s="912" t="s">
        <v>3878</v>
      </c>
      <c r="D1675" s="912" t="s">
        <v>3879</v>
      </c>
      <c r="E1675" s="912">
        <v>1</v>
      </c>
      <c r="F1675" s="912" t="s">
        <v>3880</v>
      </c>
      <c r="G1675" s="912" t="s">
        <v>3881</v>
      </c>
      <c r="H1675" s="912" t="s">
        <v>1175</v>
      </c>
      <c r="I1675" s="912" t="s">
        <v>3882</v>
      </c>
      <c r="J1675" s="912" t="s">
        <v>1540</v>
      </c>
      <c r="K1675" s="912">
        <v>1</v>
      </c>
      <c r="L1675" s="912">
        <v>12</v>
      </c>
      <c r="M1675" s="912">
        <v>28612.68</v>
      </c>
      <c r="N1675" s="912">
        <v>1</v>
      </c>
      <c r="O1675" s="912">
        <v>12</v>
      </c>
      <c r="P1675" s="912">
        <v>28612.68</v>
      </c>
    </row>
    <row r="1676" spans="1:16" x14ac:dyDescent="0.2">
      <c r="A1676" s="912" t="s">
        <v>3877</v>
      </c>
      <c r="B1676" s="912" t="s">
        <v>875</v>
      </c>
      <c r="C1676" s="912" t="s">
        <v>3878</v>
      </c>
      <c r="D1676" s="912" t="s">
        <v>3879</v>
      </c>
      <c r="E1676" s="912">
        <v>1</v>
      </c>
      <c r="F1676" s="912" t="s">
        <v>3883</v>
      </c>
      <c r="G1676" s="912" t="s">
        <v>3884</v>
      </c>
      <c r="H1676" s="912" t="s">
        <v>1175</v>
      </c>
      <c r="I1676" s="912" t="s">
        <v>3882</v>
      </c>
      <c r="J1676" s="912" t="s">
        <v>1540</v>
      </c>
      <c r="K1676" s="912">
        <v>1</v>
      </c>
      <c r="L1676" s="912">
        <v>12</v>
      </c>
      <c r="M1676" s="912">
        <v>28612.68</v>
      </c>
      <c r="N1676" s="912">
        <v>1</v>
      </c>
      <c r="O1676" s="912">
        <v>12</v>
      </c>
      <c r="P1676" s="912">
        <v>28612.68</v>
      </c>
    </row>
    <row r="1677" spans="1:16" x14ac:dyDescent="0.2">
      <c r="A1677" s="912" t="s">
        <v>3877</v>
      </c>
      <c r="B1677" s="912" t="s">
        <v>875</v>
      </c>
      <c r="C1677" s="912" t="s">
        <v>3878</v>
      </c>
      <c r="D1677" s="912" t="s">
        <v>3879</v>
      </c>
      <c r="E1677" s="912">
        <v>1</v>
      </c>
      <c r="F1677" s="912" t="s">
        <v>3885</v>
      </c>
      <c r="G1677" s="912" t="s">
        <v>3886</v>
      </c>
      <c r="H1677" s="912" t="s">
        <v>1175</v>
      </c>
      <c r="I1677" s="912" t="s">
        <v>3882</v>
      </c>
      <c r="J1677" s="912" t="s">
        <v>1540</v>
      </c>
      <c r="K1677" s="912">
        <v>1</v>
      </c>
      <c r="L1677" s="912">
        <v>12</v>
      </c>
      <c r="M1677" s="912">
        <v>28612.68</v>
      </c>
      <c r="N1677" s="912">
        <v>1</v>
      </c>
      <c r="O1677" s="912">
        <v>12</v>
      </c>
      <c r="P1677" s="912">
        <v>28612.68</v>
      </c>
    </row>
    <row r="1678" spans="1:16" x14ac:dyDescent="0.2">
      <c r="A1678" s="912" t="s">
        <v>3877</v>
      </c>
      <c r="B1678" s="912" t="s">
        <v>875</v>
      </c>
      <c r="C1678" s="912" t="s">
        <v>3878</v>
      </c>
      <c r="D1678" s="912" t="s">
        <v>3879</v>
      </c>
      <c r="E1678" s="912">
        <v>1</v>
      </c>
      <c r="F1678" s="912" t="s">
        <v>3887</v>
      </c>
      <c r="G1678" s="912" t="s">
        <v>3888</v>
      </c>
      <c r="H1678" s="912" t="s">
        <v>1175</v>
      </c>
      <c r="I1678" s="912" t="s">
        <v>3882</v>
      </c>
      <c r="J1678" s="912" t="s">
        <v>1540</v>
      </c>
      <c r="K1678" s="912">
        <v>1</v>
      </c>
      <c r="L1678" s="912">
        <v>12</v>
      </c>
      <c r="M1678" s="912">
        <v>28612.68</v>
      </c>
      <c r="N1678" s="912">
        <v>1</v>
      </c>
      <c r="O1678" s="912">
        <v>12</v>
      </c>
      <c r="P1678" s="912">
        <v>28612.68</v>
      </c>
    </row>
    <row r="1679" spans="1:16" x14ac:dyDescent="0.2">
      <c r="A1679" s="912" t="s">
        <v>3877</v>
      </c>
      <c r="B1679" s="912" t="s">
        <v>875</v>
      </c>
      <c r="C1679" s="912" t="s">
        <v>3878</v>
      </c>
      <c r="D1679" s="912" t="s">
        <v>3879</v>
      </c>
      <c r="E1679" s="912">
        <v>1</v>
      </c>
      <c r="F1679" s="912" t="s">
        <v>3889</v>
      </c>
      <c r="G1679" s="912" t="s">
        <v>3890</v>
      </c>
      <c r="H1679" s="912" t="s">
        <v>1175</v>
      </c>
      <c r="I1679" s="912" t="s">
        <v>3882</v>
      </c>
      <c r="J1679" s="912" t="s">
        <v>1540</v>
      </c>
      <c r="K1679" s="912">
        <v>1</v>
      </c>
      <c r="L1679" s="912">
        <v>12</v>
      </c>
      <c r="M1679" s="912">
        <v>28612.68</v>
      </c>
      <c r="N1679" s="912">
        <v>1</v>
      </c>
      <c r="O1679" s="912">
        <v>12</v>
      </c>
      <c r="P1679" s="912">
        <v>28612.68</v>
      </c>
    </row>
    <row r="1680" spans="1:16" x14ac:dyDescent="0.2">
      <c r="A1680" s="912" t="s">
        <v>3877</v>
      </c>
      <c r="B1680" s="912" t="s">
        <v>875</v>
      </c>
      <c r="C1680" s="912" t="s">
        <v>3878</v>
      </c>
      <c r="D1680" s="912" t="s">
        <v>3879</v>
      </c>
      <c r="E1680" s="912">
        <v>1</v>
      </c>
      <c r="F1680" s="912" t="s">
        <v>3891</v>
      </c>
      <c r="G1680" s="912" t="s">
        <v>3892</v>
      </c>
      <c r="H1680" s="912" t="s">
        <v>1175</v>
      </c>
      <c r="I1680" s="912" t="s">
        <v>3882</v>
      </c>
      <c r="J1680" s="912" t="s">
        <v>1540</v>
      </c>
      <c r="K1680" s="912">
        <v>1</v>
      </c>
      <c r="L1680" s="912">
        <v>12</v>
      </c>
      <c r="M1680" s="912">
        <v>28612.68</v>
      </c>
      <c r="N1680" s="912">
        <v>1</v>
      </c>
      <c r="O1680" s="912">
        <v>12</v>
      </c>
      <c r="P1680" s="912">
        <v>28612.68</v>
      </c>
    </row>
    <row r="1681" spans="1:16" x14ac:dyDescent="0.2">
      <c r="A1681" s="912" t="s">
        <v>3877</v>
      </c>
      <c r="B1681" s="912" t="s">
        <v>875</v>
      </c>
      <c r="C1681" s="912" t="s">
        <v>3878</v>
      </c>
      <c r="D1681" s="912" t="s">
        <v>3879</v>
      </c>
      <c r="E1681" s="912">
        <v>1</v>
      </c>
      <c r="F1681" s="912" t="s">
        <v>3893</v>
      </c>
      <c r="G1681" s="912" t="s">
        <v>3894</v>
      </c>
      <c r="H1681" s="912" t="s">
        <v>1175</v>
      </c>
      <c r="I1681" s="912" t="s">
        <v>3882</v>
      </c>
      <c r="J1681" s="912" t="s">
        <v>1540</v>
      </c>
      <c r="K1681" s="912">
        <v>1</v>
      </c>
      <c r="L1681" s="912">
        <v>12</v>
      </c>
      <c r="M1681" s="912">
        <v>28612.68</v>
      </c>
      <c r="N1681" s="912">
        <v>1</v>
      </c>
      <c r="O1681" s="912">
        <v>12</v>
      </c>
      <c r="P1681" s="912">
        <v>28612.68</v>
      </c>
    </row>
    <row r="1682" spans="1:16" x14ac:dyDescent="0.2">
      <c r="A1682" s="912" t="s">
        <v>3877</v>
      </c>
      <c r="B1682" s="912" t="s">
        <v>875</v>
      </c>
      <c r="C1682" s="912" t="s">
        <v>3878</v>
      </c>
      <c r="D1682" s="912" t="s">
        <v>3879</v>
      </c>
      <c r="E1682" s="912">
        <v>1</v>
      </c>
      <c r="F1682" s="912" t="s">
        <v>3895</v>
      </c>
      <c r="G1682" s="912" t="s">
        <v>3896</v>
      </c>
      <c r="H1682" s="912" t="s">
        <v>1175</v>
      </c>
      <c r="I1682" s="912" t="s">
        <v>3882</v>
      </c>
      <c r="J1682" s="912" t="s">
        <v>1540</v>
      </c>
      <c r="K1682" s="912">
        <v>1</v>
      </c>
      <c r="L1682" s="912">
        <v>12</v>
      </c>
      <c r="M1682" s="912">
        <v>28612.68</v>
      </c>
      <c r="N1682" s="912">
        <v>1</v>
      </c>
      <c r="O1682" s="912">
        <v>12</v>
      </c>
      <c r="P1682" s="912">
        <v>28612.68</v>
      </c>
    </row>
    <row r="1683" spans="1:16" x14ac:dyDescent="0.2">
      <c r="A1683" s="912" t="s">
        <v>3877</v>
      </c>
      <c r="B1683" s="912" t="s">
        <v>875</v>
      </c>
      <c r="C1683" s="912" t="s">
        <v>3878</v>
      </c>
      <c r="D1683" s="912" t="s">
        <v>3879</v>
      </c>
      <c r="E1683" s="912">
        <v>1</v>
      </c>
      <c r="F1683" s="912" t="s">
        <v>3897</v>
      </c>
      <c r="G1683" s="912" t="s">
        <v>3898</v>
      </c>
      <c r="H1683" s="912" t="s">
        <v>1175</v>
      </c>
      <c r="I1683" s="912" t="s">
        <v>3882</v>
      </c>
      <c r="J1683" s="912" t="s">
        <v>1540</v>
      </c>
      <c r="K1683" s="912">
        <v>1</v>
      </c>
      <c r="L1683" s="912">
        <v>12</v>
      </c>
      <c r="M1683" s="912">
        <v>28612.68</v>
      </c>
      <c r="N1683" s="912">
        <v>1</v>
      </c>
      <c r="O1683" s="912">
        <v>12</v>
      </c>
      <c r="P1683" s="912">
        <v>28612.68</v>
      </c>
    </row>
    <row r="1684" spans="1:16" x14ac:dyDescent="0.2">
      <c r="A1684" s="912" t="s">
        <v>3877</v>
      </c>
      <c r="B1684" s="912" t="s">
        <v>875</v>
      </c>
      <c r="C1684" s="912" t="s">
        <v>3878</v>
      </c>
      <c r="D1684" s="912" t="s">
        <v>3879</v>
      </c>
      <c r="E1684" s="912">
        <v>1</v>
      </c>
      <c r="F1684" s="912" t="s">
        <v>3788</v>
      </c>
      <c r="G1684" s="912" t="s">
        <v>3789</v>
      </c>
      <c r="H1684" s="912" t="s">
        <v>1175</v>
      </c>
      <c r="I1684" s="912" t="s">
        <v>3882</v>
      </c>
      <c r="J1684" s="912" t="s">
        <v>1540</v>
      </c>
      <c r="K1684" s="912">
        <v>1</v>
      </c>
      <c r="L1684" s="912">
        <v>12</v>
      </c>
      <c r="M1684" s="912">
        <v>28612.68</v>
      </c>
      <c r="N1684" s="912">
        <v>1</v>
      </c>
      <c r="O1684" s="912">
        <v>12</v>
      </c>
      <c r="P1684" s="912">
        <v>28612.68</v>
      </c>
    </row>
    <row r="1685" spans="1:16" x14ac:dyDescent="0.2">
      <c r="A1685" s="912" t="s">
        <v>3877</v>
      </c>
      <c r="B1685" s="912" t="s">
        <v>875</v>
      </c>
      <c r="C1685" s="912" t="s">
        <v>3878</v>
      </c>
      <c r="D1685" s="912" t="s">
        <v>3879</v>
      </c>
      <c r="E1685" s="912">
        <v>1</v>
      </c>
      <c r="F1685" s="912" t="s">
        <v>3899</v>
      </c>
      <c r="G1685" s="912" t="s">
        <v>3900</v>
      </c>
      <c r="H1685" s="912" t="s">
        <v>1175</v>
      </c>
      <c r="I1685" s="912" t="s">
        <v>3882</v>
      </c>
      <c r="J1685" s="912" t="s">
        <v>1540</v>
      </c>
      <c r="K1685" s="912">
        <v>1</v>
      </c>
      <c r="L1685" s="912">
        <v>12</v>
      </c>
      <c r="M1685" s="912">
        <v>28612.68</v>
      </c>
      <c r="N1685" s="912">
        <v>1</v>
      </c>
      <c r="O1685" s="912">
        <v>12</v>
      </c>
      <c r="P1685" s="912">
        <v>28612.68</v>
      </c>
    </row>
    <row r="1686" spans="1:16" x14ac:dyDescent="0.2">
      <c r="A1686" s="912" t="s">
        <v>3877</v>
      </c>
      <c r="B1686" s="912" t="s">
        <v>875</v>
      </c>
      <c r="C1686" s="912" t="s">
        <v>3878</v>
      </c>
      <c r="D1686" s="912" t="s">
        <v>3879</v>
      </c>
      <c r="E1686" s="912">
        <v>1</v>
      </c>
      <c r="F1686" s="912" t="s">
        <v>3901</v>
      </c>
      <c r="G1686" s="912" t="s">
        <v>3902</v>
      </c>
      <c r="H1686" s="912" t="s">
        <v>1175</v>
      </c>
      <c r="I1686" s="912" t="s">
        <v>3882</v>
      </c>
      <c r="J1686" s="912" t="s">
        <v>1540</v>
      </c>
      <c r="K1686" s="912">
        <v>1</v>
      </c>
      <c r="L1686" s="912">
        <v>12</v>
      </c>
      <c r="M1686" s="912">
        <v>28612.68</v>
      </c>
      <c r="N1686" s="912">
        <v>1</v>
      </c>
      <c r="O1686" s="912">
        <v>12</v>
      </c>
      <c r="P1686" s="912">
        <v>28612.68</v>
      </c>
    </row>
  </sheetData>
  <mergeCells count="4">
    <mergeCell ref="K4:M4"/>
    <mergeCell ref="N4:P4"/>
    <mergeCell ref="A4:E4"/>
    <mergeCell ref="F4:J4"/>
  </mergeCells>
  <conditionalFormatting sqref="B508">
    <cfRule type="duplicateValues" dxfId="3" priority="3"/>
  </conditionalFormatting>
  <conditionalFormatting sqref="G507:G619">
    <cfRule type="duplicateValues" dxfId="2" priority="2"/>
  </conditionalFormatting>
  <conditionalFormatting sqref="G620:G900">
    <cfRule type="duplicateValues" dxfId="1" priority="1"/>
  </conditionalFormatting>
  <conditionalFormatting sqref="G901:G941">
    <cfRule type="duplicateValues" dxfId="0" priority="4"/>
  </conditionalFormatting>
  <printOptions horizontalCentered="1"/>
  <pageMargins left="0.25" right="0.25" top="0.75" bottom="0.75" header="0.3" footer="0.3"/>
  <pageSetup paperSize="9" scale="6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S15"/>
  <sheetViews>
    <sheetView zoomScaleNormal="100" zoomScaleSheetLayoutView="100" zoomScalePageLayoutView="55" workbookViewId="0">
      <selection activeCell="B22" sqref="B22"/>
    </sheetView>
  </sheetViews>
  <sheetFormatPr baseColWidth="10" defaultColWidth="11.42578125" defaultRowHeight="12" x14ac:dyDescent="0.2"/>
  <cols>
    <col min="1" max="6" width="18.7109375" style="85" customWidth="1"/>
    <col min="7" max="8" width="6.7109375" style="29" customWidth="1"/>
    <col min="9" max="9" width="6.7109375" style="85" customWidth="1"/>
    <col min="10" max="12" width="18.7109375" style="85" customWidth="1"/>
    <col min="13" max="13" width="18.28515625" style="85" customWidth="1"/>
    <col min="14" max="14" width="20.42578125" style="85" customWidth="1"/>
    <col min="15" max="16384" width="11.42578125" style="85"/>
  </cols>
  <sheetData>
    <row r="1" spans="1:19" s="70" customFormat="1" x14ac:dyDescent="0.2">
      <c r="A1" s="87" t="s">
        <v>394</v>
      </c>
      <c r="B1" s="87"/>
      <c r="C1" s="87"/>
      <c r="D1" s="87"/>
      <c r="E1" s="87"/>
      <c r="F1" s="87"/>
      <c r="G1" s="87"/>
      <c r="H1" s="87"/>
      <c r="J1" s="87"/>
      <c r="K1" s="87"/>
      <c r="L1" s="87"/>
      <c r="M1" s="87"/>
      <c r="N1" s="87"/>
    </row>
    <row r="2" spans="1:19" s="5" customFormat="1" x14ac:dyDescent="0.2">
      <c r="A2" s="86" t="s">
        <v>313</v>
      </c>
      <c r="B2" s="86"/>
      <c r="C2" s="86"/>
      <c r="D2" s="86"/>
      <c r="E2" s="86"/>
      <c r="F2" s="86"/>
      <c r="G2" s="86"/>
      <c r="H2" s="86"/>
      <c r="I2" s="86"/>
      <c r="J2" s="86"/>
      <c r="K2" s="86"/>
      <c r="L2" s="86"/>
      <c r="M2" s="86"/>
      <c r="N2" s="86"/>
      <c r="O2" s="86"/>
      <c r="P2" s="86"/>
      <c r="Q2" s="86"/>
      <c r="R2" s="86"/>
      <c r="S2" s="86"/>
    </row>
    <row r="3" spans="1:19" ht="12.75" thickBot="1" x14ac:dyDescent="0.25"/>
    <row r="4" spans="1:19" s="36" customFormat="1" ht="12.75" customHeight="1" thickBot="1" x14ac:dyDescent="0.25">
      <c r="A4" s="1452" t="s">
        <v>285</v>
      </c>
      <c r="B4" s="1454"/>
      <c r="C4" s="1453" t="s">
        <v>286</v>
      </c>
      <c r="D4" s="1453"/>
      <c r="E4" s="1455" t="s">
        <v>289</v>
      </c>
      <c r="F4" s="1456"/>
      <c r="G4" s="1456"/>
      <c r="H4" s="1456"/>
      <c r="I4" s="1458"/>
      <c r="J4" s="1453" t="s">
        <v>290</v>
      </c>
      <c r="K4" s="1453"/>
      <c r="L4" s="1454"/>
      <c r="M4" s="1343" t="s">
        <v>429</v>
      </c>
      <c r="N4" s="1461" t="s">
        <v>422</v>
      </c>
    </row>
    <row r="5" spans="1:19" s="37" customFormat="1" ht="86.25" customHeight="1" thickBot="1" x14ac:dyDescent="0.25">
      <c r="A5" s="150" t="s">
        <v>83</v>
      </c>
      <c r="B5" s="158" t="s">
        <v>84</v>
      </c>
      <c r="C5" s="151" t="s">
        <v>288</v>
      </c>
      <c r="D5" s="159" t="s">
        <v>287</v>
      </c>
      <c r="E5" s="150" t="s">
        <v>293</v>
      </c>
      <c r="F5" s="152" t="s">
        <v>294</v>
      </c>
      <c r="G5" s="160" t="s">
        <v>295</v>
      </c>
      <c r="H5" s="160" t="s">
        <v>296</v>
      </c>
      <c r="I5" s="161" t="s">
        <v>22</v>
      </c>
      <c r="J5" s="150" t="s">
        <v>291</v>
      </c>
      <c r="K5" s="151" t="s">
        <v>292</v>
      </c>
      <c r="L5" s="162" t="s">
        <v>297</v>
      </c>
      <c r="M5" s="1344"/>
      <c r="N5" s="1462"/>
    </row>
    <row r="6" spans="1:19" ht="12.75" thickBot="1" x14ac:dyDescent="0.25">
      <c r="A6" s="952">
        <v>443</v>
      </c>
      <c r="B6" s="953" t="s">
        <v>874</v>
      </c>
      <c r="C6" s="954" t="s">
        <v>3903</v>
      </c>
      <c r="D6" s="955">
        <v>29615324</v>
      </c>
      <c r="E6" s="956" t="s">
        <v>3904</v>
      </c>
      <c r="F6" s="957">
        <v>1092216</v>
      </c>
      <c r="G6" s="957">
        <v>350</v>
      </c>
      <c r="H6" s="957" t="s">
        <v>3905</v>
      </c>
      <c r="I6" s="30" t="s">
        <v>3906</v>
      </c>
      <c r="J6" s="956">
        <v>2020</v>
      </c>
      <c r="K6" s="958">
        <v>5280</v>
      </c>
      <c r="L6" s="959" t="s">
        <v>3907</v>
      </c>
      <c r="M6" s="960">
        <v>63360</v>
      </c>
      <c r="N6" s="960">
        <v>63360</v>
      </c>
    </row>
    <row r="7" spans="1:19" ht="108.75" thickBot="1" x14ac:dyDescent="0.25">
      <c r="A7" s="952">
        <v>443</v>
      </c>
      <c r="B7" s="953" t="s">
        <v>874</v>
      </c>
      <c r="C7" s="961" t="s">
        <v>3908</v>
      </c>
      <c r="D7" s="962">
        <v>30830326</v>
      </c>
      <c r="E7" s="963" t="s">
        <v>3909</v>
      </c>
      <c r="F7" s="964" t="s">
        <v>3910</v>
      </c>
      <c r="G7" s="964">
        <v>70</v>
      </c>
      <c r="H7" s="964" t="s">
        <v>3906</v>
      </c>
      <c r="I7" s="965" t="s">
        <v>3911</v>
      </c>
      <c r="J7" s="966" t="s">
        <v>3912</v>
      </c>
      <c r="K7" s="967">
        <v>900</v>
      </c>
      <c r="L7" s="968" t="s">
        <v>3913</v>
      </c>
      <c r="M7" s="969">
        <v>1</v>
      </c>
      <c r="N7" s="969">
        <v>0</v>
      </c>
    </row>
    <row r="8" spans="1:19" ht="108.75" thickBot="1" x14ac:dyDescent="0.25">
      <c r="A8" s="952">
        <v>443</v>
      </c>
      <c r="B8" s="953" t="s">
        <v>3914</v>
      </c>
      <c r="C8" s="970" t="s">
        <v>3915</v>
      </c>
      <c r="D8" s="971">
        <v>20221232039</v>
      </c>
      <c r="E8" s="963" t="s">
        <v>3909</v>
      </c>
      <c r="F8" s="972">
        <v>52860</v>
      </c>
      <c r="G8" s="972">
        <v>70</v>
      </c>
      <c r="H8" s="972" t="s">
        <v>3905</v>
      </c>
      <c r="I8" s="973" t="s">
        <v>3916</v>
      </c>
      <c r="J8" s="966" t="s">
        <v>3912</v>
      </c>
      <c r="K8" s="974">
        <v>800</v>
      </c>
      <c r="L8" s="968" t="s">
        <v>3913</v>
      </c>
      <c r="M8" s="975">
        <v>1</v>
      </c>
      <c r="N8" s="975">
        <v>0</v>
      </c>
    </row>
    <row r="9" spans="1:19" ht="12.75" thickBot="1" x14ac:dyDescent="0.25">
      <c r="A9" s="952">
        <v>443</v>
      </c>
      <c r="B9" s="976" t="s">
        <v>3917</v>
      </c>
      <c r="C9" s="954" t="s">
        <v>3918</v>
      </c>
      <c r="D9" s="977">
        <v>20146122893</v>
      </c>
      <c r="E9" s="978" t="s">
        <v>3904</v>
      </c>
      <c r="F9" s="979" t="s">
        <v>3919</v>
      </c>
      <c r="G9" s="957" t="s">
        <v>3920</v>
      </c>
      <c r="H9" s="979">
        <v>1</v>
      </c>
      <c r="I9" s="30"/>
      <c r="J9" s="956" t="s">
        <v>3921</v>
      </c>
      <c r="K9" s="958">
        <v>7100</v>
      </c>
      <c r="L9" s="980" t="s">
        <v>3907</v>
      </c>
      <c r="M9" s="1459">
        <v>90000</v>
      </c>
      <c r="N9" s="960"/>
    </row>
    <row r="10" spans="1:19" ht="12.75" thickBot="1" x14ac:dyDescent="0.25">
      <c r="A10" s="952">
        <v>443</v>
      </c>
      <c r="B10" s="976" t="s">
        <v>3917</v>
      </c>
      <c r="C10" s="954" t="s">
        <v>3918</v>
      </c>
      <c r="D10" s="977">
        <v>20146122893</v>
      </c>
      <c r="E10" s="978" t="s">
        <v>3904</v>
      </c>
      <c r="F10" s="979" t="s">
        <v>3919</v>
      </c>
      <c r="G10" s="957" t="s">
        <v>3920</v>
      </c>
      <c r="H10" s="979">
        <v>1</v>
      </c>
      <c r="I10" s="30"/>
      <c r="J10" s="956" t="s">
        <v>3922</v>
      </c>
      <c r="K10" s="958">
        <v>7500</v>
      </c>
      <c r="L10" s="980" t="s">
        <v>3907</v>
      </c>
      <c r="M10" s="1460"/>
      <c r="N10" s="960"/>
    </row>
    <row r="11" spans="1:19" ht="12.75" thickBot="1" x14ac:dyDescent="0.25">
      <c r="A11" s="952">
        <v>443</v>
      </c>
      <c r="B11" s="976" t="s">
        <v>3917</v>
      </c>
      <c r="C11" s="954" t="s">
        <v>3918</v>
      </c>
      <c r="D11" s="977">
        <v>20146122893</v>
      </c>
      <c r="E11" s="978" t="s">
        <v>3904</v>
      </c>
      <c r="F11" s="979" t="s">
        <v>3919</v>
      </c>
      <c r="G11" s="957" t="s">
        <v>3920</v>
      </c>
      <c r="H11" s="979">
        <v>1</v>
      </c>
      <c r="I11" s="30"/>
      <c r="J11" s="956" t="s">
        <v>3923</v>
      </c>
      <c r="K11" s="958">
        <v>7800</v>
      </c>
      <c r="L11" s="980" t="s">
        <v>3907</v>
      </c>
      <c r="M11" s="1460"/>
      <c r="N11" s="960"/>
    </row>
    <row r="12" spans="1:19" ht="12.75" thickBot="1" x14ac:dyDescent="0.25">
      <c r="A12" s="952">
        <v>443</v>
      </c>
      <c r="B12" s="976" t="s">
        <v>3917</v>
      </c>
      <c r="C12" s="954" t="s">
        <v>3918</v>
      </c>
      <c r="D12" s="977">
        <v>20146122893</v>
      </c>
      <c r="E12" s="978" t="s">
        <v>3904</v>
      </c>
      <c r="F12" s="979" t="s">
        <v>3919</v>
      </c>
      <c r="G12" s="957" t="s">
        <v>3920</v>
      </c>
      <c r="H12" s="979">
        <v>1</v>
      </c>
      <c r="I12" s="30"/>
      <c r="J12" s="956" t="s">
        <v>3924</v>
      </c>
      <c r="K12" s="958">
        <v>7800</v>
      </c>
      <c r="L12" s="980" t="s">
        <v>3907</v>
      </c>
      <c r="M12" s="960"/>
      <c r="N12" s="1460">
        <v>47800</v>
      </c>
    </row>
    <row r="13" spans="1:19" ht="12.75" thickBot="1" x14ac:dyDescent="0.25">
      <c r="A13" s="952">
        <v>443</v>
      </c>
      <c r="B13" s="976" t="s">
        <v>3917</v>
      </c>
      <c r="C13" s="954" t="s">
        <v>3918</v>
      </c>
      <c r="D13" s="977">
        <v>20146122893</v>
      </c>
      <c r="E13" s="978" t="s">
        <v>3904</v>
      </c>
      <c r="F13" s="979" t="s">
        <v>3919</v>
      </c>
      <c r="G13" s="957" t="s">
        <v>3920</v>
      </c>
      <c r="H13" s="979">
        <v>1</v>
      </c>
      <c r="I13" s="30"/>
      <c r="J13" s="956" t="s">
        <v>3925</v>
      </c>
      <c r="K13" s="958">
        <v>8000</v>
      </c>
      <c r="L13" s="980" t="s">
        <v>3907</v>
      </c>
      <c r="M13" s="960"/>
      <c r="N13" s="1460"/>
    </row>
    <row r="14" spans="1:19" ht="12.75" thickBot="1" x14ac:dyDescent="0.25">
      <c r="A14" s="981"/>
      <c r="B14" s="982"/>
      <c r="C14" s="983"/>
      <c r="D14" s="124"/>
      <c r="E14" s="984"/>
      <c r="F14" s="28"/>
      <c r="G14" s="28"/>
      <c r="H14" s="28"/>
      <c r="I14" s="985"/>
      <c r="J14" s="986"/>
      <c r="K14" s="987">
        <f>SUM(K6:K13)</f>
        <v>45180</v>
      </c>
      <c r="L14" s="988"/>
      <c r="M14" s="988"/>
      <c r="N14" s="988"/>
    </row>
    <row r="15" spans="1:19" ht="21.75" customHeight="1" x14ac:dyDescent="0.2">
      <c r="A15" s="85" t="s">
        <v>395</v>
      </c>
    </row>
  </sheetData>
  <mergeCells count="8">
    <mergeCell ref="A4:B4"/>
    <mergeCell ref="J4:L4"/>
    <mergeCell ref="E4:I4"/>
    <mergeCell ref="M9:M11"/>
    <mergeCell ref="N12:N13"/>
    <mergeCell ref="M4:M5"/>
    <mergeCell ref="N4:N5"/>
    <mergeCell ref="C4:D4"/>
  </mergeCells>
  <printOptions horizontalCentered="1"/>
  <pageMargins left="0.25" right="0.25" top="0.75" bottom="0.75" header="0.3" footer="0.3"/>
  <pageSetup paperSize="9" scale="76"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18"/>
  <sheetViews>
    <sheetView zoomScaleNormal="100" zoomScaleSheetLayoutView="100" workbookViewId="0">
      <selection activeCell="U24" sqref="U24"/>
    </sheetView>
  </sheetViews>
  <sheetFormatPr baseColWidth="10" defaultColWidth="2" defaultRowHeight="11.25" x14ac:dyDescent="0.2"/>
  <cols>
    <col min="1" max="1" width="21.28515625" style="39" customWidth="1"/>
    <col min="2" max="2" width="9.5703125" style="39" customWidth="1"/>
    <col min="3" max="3" width="18.140625" style="39" customWidth="1"/>
    <col min="4" max="4" width="10.7109375" style="39" customWidth="1"/>
    <col min="5" max="5" width="8.140625" style="39" customWidth="1"/>
    <col min="6" max="6" width="9.5703125" style="39" customWidth="1"/>
    <col min="7" max="7" width="10.85546875" style="39" customWidth="1"/>
    <col min="8" max="8" width="11" style="39" customWidth="1"/>
    <col min="9" max="9" width="7.140625" style="39" customWidth="1"/>
    <col min="10" max="10" width="8.5703125" style="39" customWidth="1"/>
    <col min="11" max="11" width="6.85546875" style="39" customWidth="1"/>
    <col min="12" max="12" width="9.7109375" style="39" customWidth="1"/>
    <col min="13" max="14" width="7" style="39" customWidth="1"/>
    <col min="15" max="15" width="8.7109375" style="39" customWidth="1"/>
    <col min="16" max="16384" width="2" style="39"/>
  </cols>
  <sheetData>
    <row r="1" spans="1:14" s="95" customFormat="1" ht="12.75" x14ac:dyDescent="0.2">
      <c r="A1" s="94" t="s">
        <v>357</v>
      </c>
      <c r="B1" s="128"/>
      <c r="C1" s="94"/>
    </row>
    <row r="2" spans="1:14" s="95" customFormat="1" ht="12" thickBot="1" x14ac:dyDescent="0.25">
      <c r="A2" s="96" t="s">
        <v>314</v>
      </c>
      <c r="B2" s="96"/>
      <c r="C2" s="96"/>
    </row>
    <row r="3" spans="1:14" s="38" customFormat="1" ht="22.5" customHeight="1" x14ac:dyDescent="0.2">
      <c r="A3" s="1311" t="s">
        <v>268</v>
      </c>
      <c r="B3" s="1311" t="s">
        <v>271</v>
      </c>
      <c r="C3" s="1311" t="s">
        <v>270</v>
      </c>
      <c r="D3" s="1313" t="s">
        <v>269</v>
      </c>
      <c r="E3" s="1313" t="s">
        <v>246</v>
      </c>
      <c r="F3" s="1313" t="s">
        <v>247</v>
      </c>
      <c r="G3" s="1313" t="s">
        <v>120</v>
      </c>
      <c r="H3" s="1313" t="s">
        <v>248</v>
      </c>
      <c r="I3" s="1309">
        <v>2021</v>
      </c>
      <c r="J3" s="1310"/>
      <c r="K3" s="1309">
        <v>2022</v>
      </c>
      <c r="L3" s="1310"/>
      <c r="M3" s="136">
        <v>2021</v>
      </c>
      <c r="N3" s="136">
        <v>2022</v>
      </c>
    </row>
    <row r="4" spans="1:14" s="38" customFormat="1" ht="22.5" x14ac:dyDescent="0.2">
      <c r="A4" s="1312"/>
      <c r="B4" s="1312"/>
      <c r="C4" s="1312"/>
      <c r="D4" s="1314"/>
      <c r="E4" s="1314"/>
      <c r="F4" s="1314"/>
      <c r="G4" s="1314"/>
      <c r="H4" s="1314"/>
      <c r="I4" s="137" t="s">
        <v>251</v>
      </c>
      <c r="J4" s="137" t="s">
        <v>249</v>
      </c>
      <c r="K4" s="137" t="s">
        <v>251</v>
      </c>
      <c r="L4" s="137" t="s">
        <v>250</v>
      </c>
      <c r="M4" s="137" t="s">
        <v>251</v>
      </c>
      <c r="N4" s="137" t="s">
        <v>251</v>
      </c>
    </row>
    <row r="5" spans="1:14" s="99" customFormat="1" ht="56.25" x14ac:dyDescent="0.2">
      <c r="A5" s="175" t="s">
        <v>430</v>
      </c>
      <c r="B5" s="176" t="s">
        <v>431</v>
      </c>
      <c r="C5" s="97" t="s">
        <v>432</v>
      </c>
      <c r="D5" s="98" t="s">
        <v>433</v>
      </c>
      <c r="E5" s="177">
        <v>0.13350000000000001</v>
      </c>
      <c r="F5" s="177">
        <v>9.9599999999999994E-2</v>
      </c>
      <c r="G5" s="98" t="s">
        <v>434</v>
      </c>
      <c r="H5" s="98" t="s">
        <v>435</v>
      </c>
      <c r="I5" s="177">
        <v>9.9599999999999994E-2</v>
      </c>
      <c r="J5" s="177">
        <v>9.9599999999999994E-2</v>
      </c>
      <c r="K5" s="177">
        <v>9.2200000000000004E-2</v>
      </c>
      <c r="L5" s="177">
        <v>9.2200000000000004E-2</v>
      </c>
      <c r="M5" s="177">
        <v>9.9599999999999994E-2</v>
      </c>
      <c r="N5" s="177">
        <v>9.2200000000000004E-2</v>
      </c>
    </row>
    <row r="6" spans="1:14" s="99" customFormat="1" ht="112.5" x14ac:dyDescent="0.2">
      <c r="A6" s="175" t="s">
        <v>430</v>
      </c>
      <c r="B6" s="176" t="s">
        <v>436</v>
      </c>
      <c r="C6" s="97" t="s">
        <v>437</v>
      </c>
      <c r="D6" s="98" t="s">
        <v>438</v>
      </c>
      <c r="E6" s="177">
        <v>0.625</v>
      </c>
      <c r="F6" s="177">
        <v>0.71199999999999997</v>
      </c>
      <c r="G6" s="98" t="s">
        <v>439</v>
      </c>
      <c r="H6" s="98" t="s">
        <v>440</v>
      </c>
      <c r="I6" s="177">
        <v>0.71199999999999997</v>
      </c>
      <c r="J6" s="177">
        <v>0.71199999999999997</v>
      </c>
      <c r="K6" s="177">
        <v>0.73199999999999998</v>
      </c>
      <c r="L6" s="177">
        <v>0.73199999999999998</v>
      </c>
      <c r="M6" s="177">
        <v>0.71199999999999997</v>
      </c>
      <c r="N6" s="177">
        <v>0.73199999999999998</v>
      </c>
    </row>
    <row r="7" spans="1:14" s="99" customFormat="1" ht="101.25" x14ac:dyDescent="0.2">
      <c r="A7" s="175" t="s">
        <v>430</v>
      </c>
      <c r="B7" s="176" t="s">
        <v>436</v>
      </c>
      <c r="C7" s="97" t="s">
        <v>437</v>
      </c>
      <c r="D7" s="98" t="s">
        <v>441</v>
      </c>
      <c r="E7" s="177">
        <v>0.26</v>
      </c>
      <c r="F7" s="177">
        <v>0.34</v>
      </c>
      <c r="G7" s="98" t="s">
        <v>442</v>
      </c>
      <c r="H7" s="98" t="s">
        <v>440</v>
      </c>
      <c r="I7" s="177">
        <v>0.34</v>
      </c>
      <c r="J7" s="177">
        <v>0.34</v>
      </c>
      <c r="K7" s="177">
        <v>0.38</v>
      </c>
      <c r="L7" s="177">
        <v>0.38</v>
      </c>
      <c r="M7" s="177">
        <v>0.34</v>
      </c>
      <c r="N7" s="177">
        <v>0.38</v>
      </c>
    </row>
    <row r="8" spans="1:14" s="99" customFormat="1" ht="27" customHeight="1" x14ac:dyDescent="0.2">
      <c r="A8" s="175" t="s">
        <v>430</v>
      </c>
      <c r="B8" s="176" t="s">
        <v>443</v>
      </c>
      <c r="C8" s="97" t="s">
        <v>444</v>
      </c>
      <c r="D8" s="98" t="s">
        <v>445</v>
      </c>
      <c r="E8" s="178">
        <v>-3.04</v>
      </c>
      <c r="F8" s="178">
        <v>0.65</v>
      </c>
      <c r="G8" s="98" t="s">
        <v>446</v>
      </c>
      <c r="H8" s="98" t="s">
        <v>435</v>
      </c>
      <c r="I8" s="178">
        <v>0.65</v>
      </c>
      <c r="J8" s="178">
        <v>0.65</v>
      </c>
      <c r="K8" s="178">
        <v>0.66</v>
      </c>
      <c r="L8" s="178">
        <v>0.66</v>
      </c>
      <c r="M8" s="178">
        <v>0.65</v>
      </c>
      <c r="N8" s="178">
        <v>0.66</v>
      </c>
    </row>
    <row r="9" spans="1:14" s="99" customFormat="1" ht="157.5" x14ac:dyDescent="0.2">
      <c r="A9" s="175" t="s">
        <v>430</v>
      </c>
      <c r="B9" s="176" t="s">
        <v>447</v>
      </c>
      <c r="C9" s="97" t="s">
        <v>448</v>
      </c>
      <c r="D9" s="179" t="s">
        <v>449</v>
      </c>
      <c r="E9" s="177">
        <v>0.7</v>
      </c>
      <c r="F9" s="177">
        <v>0.8</v>
      </c>
      <c r="G9" s="98" t="s">
        <v>450</v>
      </c>
      <c r="H9" s="98" t="s">
        <v>451</v>
      </c>
      <c r="I9" s="177">
        <v>0.8</v>
      </c>
      <c r="J9" s="177">
        <v>0.8</v>
      </c>
      <c r="K9" s="177">
        <v>0.85</v>
      </c>
      <c r="L9" s="177">
        <v>0.85</v>
      </c>
      <c r="M9" s="177">
        <v>0.8</v>
      </c>
      <c r="N9" s="177">
        <v>0.85</v>
      </c>
    </row>
    <row r="10" spans="1:14" s="99" customFormat="1" ht="78.75" x14ac:dyDescent="0.2">
      <c r="A10" s="175" t="s">
        <v>430</v>
      </c>
      <c r="B10" s="176" t="s">
        <v>452</v>
      </c>
      <c r="C10" s="97" t="s">
        <v>453</v>
      </c>
      <c r="D10" s="98" t="s">
        <v>454</v>
      </c>
      <c r="E10" s="177">
        <v>0.113</v>
      </c>
      <c r="F10" s="177">
        <v>0.109</v>
      </c>
      <c r="G10" s="98" t="s">
        <v>434</v>
      </c>
      <c r="H10" s="98" t="s">
        <v>455</v>
      </c>
      <c r="I10" s="177">
        <v>0.109</v>
      </c>
      <c r="J10" s="177">
        <v>0.109</v>
      </c>
      <c r="K10" s="177">
        <v>0.108</v>
      </c>
      <c r="L10" s="177">
        <v>0.108</v>
      </c>
      <c r="M10" s="177">
        <v>0.109</v>
      </c>
      <c r="N10" s="177">
        <v>0.108</v>
      </c>
    </row>
    <row r="11" spans="1:14" s="99" customFormat="1" ht="123.75" x14ac:dyDescent="0.2">
      <c r="A11" s="175" t="s">
        <v>430</v>
      </c>
      <c r="B11" s="180" t="s">
        <v>456</v>
      </c>
      <c r="C11" s="97" t="s">
        <v>457</v>
      </c>
      <c r="D11" s="98" t="s">
        <v>458</v>
      </c>
      <c r="E11" s="177">
        <v>0.13700000000000001</v>
      </c>
      <c r="F11" s="177">
        <v>0.1075</v>
      </c>
      <c r="G11" s="98" t="s">
        <v>459</v>
      </c>
      <c r="H11" s="98" t="s">
        <v>460</v>
      </c>
      <c r="I11" s="177">
        <v>0.1075</v>
      </c>
      <c r="J11" s="177">
        <v>0.1075</v>
      </c>
      <c r="K11" s="177">
        <v>0.109</v>
      </c>
      <c r="L11" s="177">
        <v>0.109</v>
      </c>
      <c r="M11" s="177">
        <v>0.1075</v>
      </c>
      <c r="N11" s="177">
        <v>0.109</v>
      </c>
    </row>
    <row r="12" spans="1:14" s="99" customFormat="1" ht="135" x14ac:dyDescent="0.2">
      <c r="A12" s="175" t="s">
        <v>430</v>
      </c>
      <c r="B12" s="180" t="s">
        <v>461</v>
      </c>
      <c r="C12" s="97" t="s">
        <v>462</v>
      </c>
      <c r="D12" s="98" t="s">
        <v>463</v>
      </c>
      <c r="E12" s="177">
        <v>0.6</v>
      </c>
      <c r="F12" s="177">
        <v>0.65600000000000003</v>
      </c>
      <c r="G12" s="98" t="s">
        <v>464</v>
      </c>
      <c r="H12" s="98" t="s">
        <v>465</v>
      </c>
      <c r="I12" s="177">
        <v>0.65600000000000003</v>
      </c>
      <c r="J12" s="177">
        <v>0.65600000000000003</v>
      </c>
      <c r="K12" s="177">
        <v>0.65900000000000003</v>
      </c>
      <c r="L12" s="177">
        <v>0.65900000000000003</v>
      </c>
      <c r="M12" s="177">
        <v>0.65600000000000003</v>
      </c>
      <c r="N12" s="177">
        <v>0.65900000000000003</v>
      </c>
    </row>
    <row r="13" spans="1:14" s="99" customFormat="1" ht="56.25" x14ac:dyDescent="0.2">
      <c r="A13" s="175" t="s">
        <v>430</v>
      </c>
      <c r="B13" s="180" t="s">
        <v>466</v>
      </c>
      <c r="C13" s="97" t="s">
        <v>467</v>
      </c>
      <c r="D13" s="98" t="s">
        <v>468</v>
      </c>
      <c r="E13" s="181">
        <v>6.5</v>
      </c>
      <c r="F13" s="181">
        <v>7.3</v>
      </c>
      <c r="G13" s="98" t="s">
        <v>469</v>
      </c>
      <c r="H13" s="98" t="s">
        <v>470</v>
      </c>
      <c r="I13" s="181">
        <v>7.3</v>
      </c>
      <c r="J13" s="181">
        <v>7.3</v>
      </c>
      <c r="K13" s="181">
        <v>7.6</v>
      </c>
      <c r="L13" s="181">
        <v>7.6</v>
      </c>
      <c r="M13" s="181">
        <v>7.3</v>
      </c>
      <c r="N13" s="181">
        <v>7.6</v>
      </c>
    </row>
    <row r="14" spans="1:14" s="99" customFormat="1" ht="90" x14ac:dyDescent="0.2">
      <c r="A14" s="175" t="s">
        <v>430</v>
      </c>
      <c r="B14" s="180" t="s">
        <v>471</v>
      </c>
      <c r="C14" s="97" t="s">
        <v>472</v>
      </c>
      <c r="D14" s="98" t="s">
        <v>473</v>
      </c>
      <c r="E14" s="177">
        <v>0.30530000000000002</v>
      </c>
      <c r="F14" s="177">
        <v>0.36599999999999999</v>
      </c>
      <c r="G14" s="98" t="s">
        <v>474</v>
      </c>
      <c r="H14" s="98" t="s">
        <v>475</v>
      </c>
      <c r="I14" s="177">
        <v>0.36599999999999999</v>
      </c>
      <c r="J14" s="177">
        <v>0.36599999999999999</v>
      </c>
      <c r="K14" s="177">
        <v>0.38600000000000001</v>
      </c>
      <c r="L14" s="177">
        <v>0.38600000000000001</v>
      </c>
      <c r="M14" s="177">
        <v>0.36599999999999999</v>
      </c>
      <c r="N14" s="177">
        <v>0.38600000000000001</v>
      </c>
    </row>
    <row r="15" spans="1:14" s="99" customFormat="1" ht="123.75" x14ac:dyDescent="0.2">
      <c r="A15" s="175" t="s">
        <v>430</v>
      </c>
      <c r="B15" s="180" t="s">
        <v>476</v>
      </c>
      <c r="C15" s="97" t="s">
        <v>477</v>
      </c>
      <c r="D15" s="98" t="s">
        <v>478</v>
      </c>
      <c r="E15" s="177">
        <v>0</v>
      </c>
      <c r="F15" s="177">
        <v>6.7100000000000007E-2</v>
      </c>
      <c r="G15" s="98" t="s">
        <v>479</v>
      </c>
      <c r="H15" s="98" t="s">
        <v>480</v>
      </c>
      <c r="I15" s="177">
        <v>6.7100000000000007E-2</v>
      </c>
      <c r="J15" s="177">
        <v>6.7100000000000007E-2</v>
      </c>
      <c r="K15" s="177">
        <v>0.17549999999999999</v>
      </c>
      <c r="L15" s="177">
        <v>0.17549999999999999</v>
      </c>
      <c r="M15" s="177">
        <v>6.7100000000000007E-2</v>
      </c>
      <c r="N15" s="177">
        <v>0.17549999999999999</v>
      </c>
    </row>
    <row r="16" spans="1:14" s="99" customFormat="1" x14ac:dyDescent="0.2">
      <c r="A16" s="97"/>
      <c r="B16" s="97"/>
      <c r="C16" s="97"/>
      <c r="D16" s="98"/>
      <c r="E16" s="98"/>
      <c r="F16" s="98"/>
      <c r="G16" s="98"/>
      <c r="H16" s="98"/>
      <c r="I16" s="98"/>
      <c r="J16" s="98"/>
      <c r="K16" s="98"/>
      <c r="L16" s="98"/>
      <c r="M16" s="98"/>
      <c r="N16" s="98"/>
    </row>
    <row r="17" spans="1:14" s="99" customFormat="1" x14ac:dyDescent="0.2">
      <c r="A17" s="97"/>
      <c r="B17" s="97"/>
      <c r="C17" s="97"/>
      <c r="D17" s="98"/>
      <c r="E17" s="98"/>
      <c r="F17" s="98"/>
      <c r="G17" s="98"/>
      <c r="H17" s="98"/>
      <c r="I17" s="98"/>
      <c r="J17" s="98"/>
      <c r="K17" s="98"/>
      <c r="L17" s="98"/>
      <c r="M17" s="98"/>
      <c r="N17" s="98"/>
    </row>
    <row r="18" spans="1:14" s="99" customFormat="1" ht="12" thickBot="1" x14ac:dyDescent="0.25">
      <c r="A18" s="100"/>
      <c r="B18" s="100"/>
      <c r="C18" s="100"/>
      <c r="D18" s="101"/>
      <c r="E18" s="101"/>
      <c r="F18" s="101"/>
      <c r="G18" s="101"/>
      <c r="H18" s="101"/>
      <c r="I18" s="101"/>
      <c r="J18" s="101"/>
      <c r="K18" s="101"/>
      <c r="L18" s="101"/>
      <c r="M18" s="101"/>
      <c r="N18" s="101"/>
    </row>
  </sheetData>
  <mergeCells count="10">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1"/>
  <sheetViews>
    <sheetView zoomScaleNormal="100" workbookViewId="0">
      <selection activeCell="A2" sqref="A2"/>
    </sheetView>
  </sheetViews>
  <sheetFormatPr baseColWidth="10" defaultColWidth="11.28515625" defaultRowHeight="12.75" x14ac:dyDescent="0.2"/>
  <cols>
    <col min="1" max="1" width="62.42578125" customWidth="1"/>
    <col min="2" max="2" width="16.140625" customWidth="1"/>
    <col min="3" max="3" width="16.42578125" customWidth="1"/>
    <col min="4" max="4" width="17.140625" customWidth="1"/>
  </cols>
  <sheetData>
    <row r="1" spans="1:4" x14ac:dyDescent="0.2">
      <c r="A1" s="94" t="s">
        <v>358</v>
      </c>
    </row>
    <row r="2" spans="1:4" x14ac:dyDescent="0.2">
      <c r="A2" s="96" t="s">
        <v>846</v>
      </c>
    </row>
    <row r="3" spans="1:4" s="125" customFormat="1" ht="28.35" customHeight="1" x14ac:dyDescent="0.2">
      <c r="A3" s="134" t="s">
        <v>307</v>
      </c>
      <c r="B3" s="135">
        <v>2020</v>
      </c>
      <c r="C3" s="135">
        <v>2021</v>
      </c>
      <c r="D3" s="135">
        <v>2022</v>
      </c>
    </row>
    <row r="4" spans="1:4" s="128" customFormat="1" x14ac:dyDescent="0.2">
      <c r="A4" s="127" t="s">
        <v>304</v>
      </c>
      <c r="B4" s="187">
        <v>166008640</v>
      </c>
      <c r="C4" s="187">
        <v>117874054</v>
      </c>
      <c r="D4" s="187">
        <v>123091123</v>
      </c>
    </row>
    <row r="5" spans="1:4" s="128" customFormat="1" x14ac:dyDescent="0.2">
      <c r="A5" s="127" t="s">
        <v>305</v>
      </c>
      <c r="B5" s="187">
        <v>558053789</v>
      </c>
      <c r="C5" s="187">
        <v>596627256</v>
      </c>
      <c r="D5" s="187">
        <v>660714057</v>
      </c>
    </row>
    <row r="6" spans="1:4" s="128" customFormat="1" x14ac:dyDescent="0.2">
      <c r="A6" s="127" t="s">
        <v>306</v>
      </c>
      <c r="B6" s="127">
        <v>1280763831</v>
      </c>
      <c r="C6" s="187">
        <v>1319757282</v>
      </c>
      <c r="D6" s="187">
        <v>1332713243</v>
      </c>
    </row>
    <row r="7" spans="1:4" s="132" customFormat="1" ht="28.35" customHeight="1" x14ac:dyDescent="0.2">
      <c r="A7" s="133" t="s">
        <v>298</v>
      </c>
      <c r="B7" s="184">
        <f>SUM(B4:B6)</f>
        <v>2004826260</v>
      </c>
      <c r="C7" s="184">
        <f>SUM(C4:C6)</f>
        <v>2034258592</v>
      </c>
      <c r="D7" s="184">
        <f>SUM(D4:D6)</f>
        <v>2116518423</v>
      </c>
    </row>
    <row r="9" spans="1:4" s="125" customFormat="1" ht="28.35" customHeight="1" x14ac:dyDescent="0.2">
      <c r="A9" s="134" t="s">
        <v>308</v>
      </c>
      <c r="B9" s="135">
        <v>2020</v>
      </c>
      <c r="C9" s="135" t="s">
        <v>359</v>
      </c>
      <c r="D9" s="135" t="s">
        <v>360</v>
      </c>
    </row>
    <row r="10" spans="1:4" s="128" customFormat="1" x14ac:dyDescent="0.2">
      <c r="A10" s="127" t="s">
        <v>304</v>
      </c>
      <c r="B10" s="187">
        <v>237815605</v>
      </c>
      <c r="C10" s="187">
        <v>141320786</v>
      </c>
      <c r="D10" s="187">
        <v>123091123</v>
      </c>
    </row>
    <row r="11" spans="1:4" s="128" customFormat="1" x14ac:dyDescent="0.2">
      <c r="A11" s="127" t="s">
        <v>305</v>
      </c>
      <c r="B11" s="187">
        <v>975377888</v>
      </c>
      <c r="C11" s="187">
        <v>988070800</v>
      </c>
      <c r="D11" s="187">
        <v>660714057</v>
      </c>
    </row>
    <row r="12" spans="1:4" s="128" customFormat="1" x14ac:dyDescent="0.2">
      <c r="A12" s="127" t="s">
        <v>306</v>
      </c>
      <c r="B12" s="187">
        <v>1348976455</v>
      </c>
      <c r="C12" s="187">
        <v>1518858218</v>
      </c>
      <c r="D12" s="187">
        <v>1332713243</v>
      </c>
    </row>
    <row r="13" spans="1:4" s="132" customFormat="1" ht="28.35" customHeight="1" x14ac:dyDescent="0.2">
      <c r="A13" s="133" t="s">
        <v>299</v>
      </c>
      <c r="B13" s="184">
        <f>SUM(B10:B12)</f>
        <v>2562169948</v>
      </c>
      <c r="C13" s="184">
        <f>SUM(C10:C12)</f>
        <v>2648249804</v>
      </c>
      <c r="D13" s="184">
        <f>SUM(D10:D12)</f>
        <v>2116518423</v>
      </c>
    </row>
    <row r="15" spans="1:4" s="125" customFormat="1" ht="28.35" customHeight="1" x14ac:dyDescent="0.2">
      <c r="A15" s="134" t="s">
        <v>309</v>
      </c>
      <c r="B15" s="135">
        <v>2020</v>
      </c>
      <c r="C15" s="135" t="s">
        <v>359</v>
      </c>
      <c r="D15" s="135" t="s">
        <v>360</v>
      </c>
    </row>
    <row r="16" spans="1:4" s="128" customFormat="1" x14ac:dyDescent="0.2">
      <c r="A16" s="127" t="s">
        <v>304</v>
      </c>
      <c r="B16" s="187">
        <v>223298999</v>
      </c>
      <c r="C16" s="187">
        <v>141320786</v>
      </c>
      <c r="D16" s="187">
        <v>123091123</v>
      </c>
    </row>
    <row r="17" spans="1:4" s="128" customFormat="1" x14ac:dyDescent="0.2">
      <c r="A17" s="127" t="s">
        <v>305</v>
      </c>
      <c r="B17" s="187">
        <v>848095089</v>
      </c>
      <c r="C17" s="187">
        <v>988070800</v>
      </c>
      <c r="D17" s="187">
        <v>660714057</v>
      </c>
    </row>
    <row r="18" spans="1:4" s="128" customFormat="1" x14ac:dyDescent="0.2">
      <c r="A18" s="127" t="s">
        <v>306</v>
      </c>
      <c r="B18" s="187">
        <v>1091367202</v>
      </c>
      <c r="C18" s="187">
        <v>1518858218</v>
      </c>
      <c r="D18" s="187">
        <v>1332713243</v>
      </c>
    </row>
    <row r="19" spans="1:4" s="132" customFormat="1" ht="28.35" customHeight="1" x14ac:dyDescent="0.2">
      <c r="A19" s="133" t="s">
        <v>300</v>
      </c>
      <c r="B19" s="184">
        <f>SUM(B16:B18)</f>
        <v>2162761290</v>
      </c>
      <c r="C19" s="184">
        <f>SUM(C16:C18)</f>
        <v>2648249804</v>
      </c>
      <c r="D19" s="184">
        <f>SUM(D16:D18)</f>
        <v>2116518423</v>
      </c>
    </row>
    <row r="20" spans="1:4" x14ac:dyDescent="0.2">
      <c r="A20" s="171" t="s">
        <v>361</v>
      </c>
    </row>
    <row r="21" spans="1:4" x14ac:dyDescent="0.2">
      <c r="A21" s="172" t="s">
        <v>362</v>
      </c>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54"/>
  <sheetViews>
    <sheetView zoomScaleNormal="100" workbookViewId="0">
      <selection activeCell="I21" sqref="I21"/>
    </sheetView>
  </sheetViews>
  <sheetFormatPr baseColWidth="10" defaultColWidth="11.28515625" defaultRowHeight="12.75" x14ac:dyDescent="0.2"/>
  <cols>
    <col min="1" max="1" width="52.140625" customWidth="1"/>
    <col min="2" max="2" width="16.7109375" customWidth="1"/>
    <col min="3" max="3" width="17.7109375" customWidth="1"/>
    <col min="4" max="4" width="16" customWidth="1"/>
  </cols>
  <sheetData>
    <row r="1" spans="1:4" x14ac:dyDescent="0.2">
      <c r="A1" s="94" t="s">
        <v>363</v>
      </c>
    </row>
    <row r="2" spans="1:4" x14ac:dyDescent="0.2">
      <c r="A2" s="96" t="s">
        <v>846</v>
      </c>
    </row>
    <row r="3" spans="1:4" s="125" customFormat="1" ht="28.35" customHeight="1" x14ac:dyDescent="0.2">
      <c r="A3" s="134" t="s">
        <v>303</v>
      </c>
      <c r="B3" s="135">
        <v>2020</v>
      </c>
      <c r="C3" s="135">
        <v>2021</v>
      </c>
      <c r="D3" s="135">
        <v>2022</v>
      </c>
    </row>
    <row r="4" spans="1:4" s="130" customFormat="1" x14ac:dyDescent="0.2">
      <c r="A4" s="129" t="s">
        <v>101</v>
      </c>
      <c r="B4" s="129"/>
      <c r="C4" s="129"/>
      <c r="D4" s="129"/>
    </row>
    <row r="5" spans="1:4" s="128" customFormat="1" x14ac:dyDescent="0.2">
      <c r="A5" s="126" t="s">
        <v>90</v>
      </c>
      <c r="B5" s="182"/>
      <c r="C5" s="182"/>
      <c r="D5" s="182"/>
    </row>
    <row r="6" spans="1:4" s="128" customFormat="1" x14ac:dyDescent="0.2">
      <c r="A6" s="126" t="s">
        <v>91</v>
      </c>
      <c r="B6" s="182">
        <v>901166038</v>
      </c>
      <c r="C6" s="182">
        <v>991702849</v>
      </c>
      <c r="D6" s="189">
        <v>981075696</v>
      </c>
    </row>
    <row r="7" spans="1:4" s="128" customFormat="1" x14ac:dyDescent="0.2">
      <c r="A7" s="126" t="s">
        <v>92</v>
      </c>
      <c r="B7" s="182">
        <v>185354913</v>
      </c>
      <c r="C7" s="182">
        <v>182300505</v>
      </c>
      <c r="D7" s="189">
        <v>152848617</v>
      </c>
    </row>
    <row r="8" spans="1:4" s="128" customFormat="1" x14ac:dyDescent="0.2">
      <c r="A8" s="126" t="s">
        <v>93</v>
      </c>
      <c r="B8" s="182">
        <v>199873889</v>
      </c>
      <c r="C8" s="182">
        <v>152719894</v>
      </c>
      <c r="D8" s="189">
        <v>158515794</v>
      </c>
    </row>
    <row r="9" spans="1:4" s="128" customFormat="1" x14ac:dyDescent="0.2">
      <c r="A9" s="126" t="s">
        <v>122</v>
      </c>
      <c r="C9" s="182"/>
      <c r="D9" s="182"/>
    </row>
    <row r="10" spans="1:4" s="128" customFormat="1" x14ac:dyDescent="0.2">
      <c r="A10" s="126" t="s">
        <v>123</v>
      </c>
      <c r="B10" s="182">
        <v>1961105</v>
      </c>
      <c r="C10" s="182">
        <v>1961105</v>
      </c>
      <c r="D10" s="186">
        <v>6531587</v>
      </c>
    </row>
    <row r="11" spans="1:4" s="128" customFormat="1" x14ac:dyDescent="0.2">
      <c r="A11" s="129" t="s">
        <v>89</v>
      </c>
      <c r="B11" s="183"/>
      <c r="C11" s="183"/>
      <c r="D11" s="183"/>
    </row>
    <row r="12" spans="1:4" s="128" customFormat="1" x14ac:dyDescent="0.2">
      <c r="A12" s="126" t="s">
        <v>121</v>
      </c>
      <c r="B12" s="182"/>
      <c r="C12" s="182"/>
      <c r="D12" s="182"/>
    </row>
    <row r="13" spans="1:4" s="128" customFormat="1" x14ac:dyDescent="0.2">
      <c r="A13" s="126" t="s">
        <v>124</v>
      </c>
      <c r="B13" s="182"/>
      <c r="C13" s="182"/>
      <c r="D13" s="182"/>
    </row>
    <row r="14" spans="1:4" s="128" customFormat="1" x14ac:dyDescent="0.2">
      <c r="A14" s="126" t="s">
        <v>98</v>
      </c>
      <c r="B14" s="182">
        <v>671594176</v>
      </c>
      <c r="C14" s="182">
        <v>661236797</v>
      </c>
      <c r="D14" s="185">
        <v>783006358</v>
      </c>
    </row>
    <row r="15" spans="1:4" s="128" customFormat="1" x14ac:dyDescent="0.2">
      <c r="A15" s="126" t="s">
        <v>99</v>
      </c>
      <c r="B15" s="182"/>
      <c r="C15" s="182"/>
      <c r="D15" s="182"/>
    </row>
    <row r="16" spans="1:4" s="128" customFormat="1" x14ac:dyDescent="0.2">
      <c r="A16" s="129" t="s">
        <v>76</v>
      </c>
      <c r="B16" s="183"/>
      <c r="C16" s="183"/>
      <c r="D16" s="183"/>
    </row>
    <row r="17" spans="1:4" s="128" customFormat="1" x14ac:dyDescent="0.2">
      <c r="A17" s="126" t="s">
        <v>100</v>
      </c>
      <c r="B17" s="182">
        <v>44876139</v>
      </c>
      <c r="C17" s="182">
        <v>44337442</v>
      </c>
      <c r="D17" s="185">
        <v>34540371</v>
      </c>
    </row>
    <row r="18" spans="1:4" s="132" customFormat="1" ht="18" customHeight="1" x14ac:dyDescent="0.2">
      <c r="A18" s="131" t="s">
        <v>298</v>
      </c>
      <c r="B18" s="184">
        <f>SUM(B6:B17)</f>
        <v>2004826260</v>
      </c>
      <c r="C18" s="184">
        <f t="shared" ref="C18:D18" si="0">SUM(C6:C17)</f>
        <v>2034258592</v>
      </c>
      <c r="D18" s="184">
        <f t="shared" si="0"/>
        <v>2116518423</v>
      </c>
    </row>
    <row r="20" spans="1:4" s="125" customFormat="1" ht="28.35" customHeight="1" x14ac:dyDescent="0.2">
      <c r="A20" s="134" t="s">
        <v>302</v>
      </c>
      <c r="B20" s="135">
        <v>2020</v>
      </c>
      <c r="C20" s="135">
        <v>2021</v>
      </c>
      <c r="D20" s="135">
        <v>2022</v>
      </c>
    </row>
    <row r="21" spans="1:4" s="130" customFormat="1" x14ac:dyDescent="0.2">
      <c r="A21" s="129" t="s">
        <v>101</v>
      </c>
      <c r="B21" s="129"/>
      <c r="C21" s="129"/>
      <c r="D21" s="129"/>
    </row>
    <row r="22" spans="1:4" s="128" customFormat="1" x14ac:dyDescent="0.2">
      <c r="A22" s="126" t="s">
        <v>90</v>
      </c>
      <c r="B22" s="127"/>
      <c r="C22" s="127"/>
      <c r="D22" s="127"/>
    </row>
    <row r="23" spans="1:4" s="128" customFormat="1" x14ac:dyDescent="0.2">
      <c r="A23" s="126" t="s">
        <v>91</v>
      </c>
      <c r="B23" s="182">
        <v>1028562715</v>
      </c>
      <c r="C23" s="182">
        <v>1048369450</v>
      </c>
      <c r="D23" s="189">
        <v>981075696</v>
      </c>
    </row>
    <row r="24" spans="1:4" s="128" customFormat="1" x14ac:dyDescent="0.2">
      <c r="A24" s="126" t="s">
        <v>92</v>
      </c>
      <c r="B24" s="182">
        <v>182797829</v>
      </c>
      <c r="C24" s="182">
        <v>187453575</v>
      </c>
      <c r="D24" s="189">
        <v>152848617</v>
      </c>
    </row>
    <row r="25" spans="1:4" s="128" customFormat="1" x14ac:dyDescent="0.2">
      <c r="A25" s="126" t="s">
        <v>93</v>
      </c>
      <c r="B25" s="182">
        <v>342601091</v>
      </c>
      <c r="C25" s="182">
        <v>342520689</v>
      </c>
      <c r="D25" s="189">
        <v>158515794</v>
      </c>
    </row>
    <row r="26" spans="1:4" s="128" customFormat="1" x14ac:dyDescent="0.2">
      <c r="A26" s="126" t="s">
        <v>122</v>
      </c>
      <c r="B26" s="182"/>
      <c r="C26" s="182">
        <v>485598</v>
      </c>
      <c r="D26" s="182"/>
    </row>
    <row r="27" spans="1:4" s="128" customFormat="1" x14ac:dyDescent="0.2">
      <c r="A27" s="126" t="s">
        <v>123</v>
      </c>
      <c r="B27" s="182">
        <v>117047084</v>
      </c>
      <c r="C27" s="182">
        <v>80201063</v>
      </c>
      <c r="D27" s="186">
        <v>6531587</v>
      </c>
    </row>
    <row r="28" spans="1:4" s="128" customFormat="1" x14ac:dyDescent="0.2">
      <c r="A28" s="129" t="s">
        <v>89</v>
      </c>
      <c r="B28" s="129"/>
      <c r="C28" s="129"/>
      <c r="D28" s="129"/>
    </row>
    <row r="29" spans="1:4" s="128" customFormat="1" x14ac:dyDescent="0.2">
      <c r="A29" s="126" t="s">
        <v>121</v>
      </c>
      <c r="B29" s="182">
        <v>111020647</v>
      </c>
      <c r="C29" s="182">
        <v>105584257</v>
      </c>
      <c r="D29" s="127"/>
    </row>
    <row r="30" spans="1:4" s="128" customFormat="1" x14ac:dyDescent="0.2">
      <c r="A30" s="126" t="s">
        <v>124</v>
      </c>
      <c r="B30" s="182"/>
      <c r="C30" s="182"/>
      <c r="D30" s="127"/>
    </row>
    <row r="31" spans="1:4" s="128" customFormat="1" x14ac:dyDescent="0.2">
      <c r="A31" s="126" t="s">
        <v>98</v>
      </c>
      <c r="B31" s="182">
        <v>708236768</v>
      </c>
      <c r="C31" s="182">
        <v>867020254</v>
      </c>
      <c r="D31" s="185">
        <v>783006358</v>
      </c>
    </row>
    <row r="32" spans="1:4" s="128" customFormat="1" x14ac:dyDescent="0.2">
      <c r="A32" s="126" t="s">
        <v>99</v>
      </c>
      <c r="B32" s="182"/>
      <c r="C32" s="182"/>
      <c r="D32" s="182"/>
    </row>
    <row r="33" spans="1:4" s="128" customFormat="1" x14ac:dyDescent="0.2">
      <c r="A33" s="129" t="s">
        <v>76</v>
      </c>
      <c r="B33" s="129"/>
      <c r="C33" s="129"/>
      <c r="D33" s="183"/>
    </row>
    <row r="34" spans="1:4" s="128" customFormat="1" x14ac:dyDescent="0.2">
      <c r="A34" s="126" t="s">
        <v>100</v>
      </c>
      <c r="B34" s="182">
        <v>71903814</v>
      </c>
      <c r="C34" s="182">
        <v>16614918</v>
      </c>
      <c r="D34" s="185">
        <v>34540371</v>
      </c>
    </row>
    <row r="35" spans="1:4" s="132" customFormat="1" ht="18" customHeight="1" x14ac:dyDescent="0.2">
      <c r="A35" s="131" t="s">
        <v>299</v>
      </c>
      <c r="B35" s="184">
        <f>SUM(B23:B34)</f>
        <v>2562169948</v>
      </c>
      <c r="C35" s="184">
        <f t="shared" ref="C35:D35" si="1">SUM(C23:C34)</f>
        <v>2648249804</v>
      </c>
      <c r="D35" s="184">
        <f t="shared" si="1"/>
        <v>2116518423</v>
      </c>
    </row>
    <row r="37" spans="1:4" s="125" customFormat="1" ht="28.35" customHeight="1" x14ac:dyDescent="0.2">
      <c r="A37" s="134" t="s">
        <v>301</v>
      </c>
      <c r="B37" s="135">
        <v>2020</v>
      </c>
      <c r="C37" s="135">
        <v>2021</v>
      </c>
      <c r="D37" s="135">
        <v>2022</v>
      </c>
    </row>
    <row r="38" spans="1:4" s="130" customFormat="1" x14ac:dyDescent="0.2">
      <c r="A38" s="129" t="s">
        <v>101</v>
      </c>
      <c r="B38" s="129"/>
      <c r="C38" s="129"/>
      <c r="D38" s="129"/>
    </row>
    <row r="39" spans="1:4" s="128" customFormat="1" x14ac:dyDescent="0.2">
      <c r="A39" s="126" t="s">
        <v>90</v>
      </c>
      <c r="B39" s="127"/>
      <c r="C39" s="127"/>
      <c r="D39" s="127"/>
    </row>
    <row r="40" spans="1:4" s="128" customFormat="1" x14ac:dyDescent="0.2">
      <c r="A40" s="126" t="s">
        <v>91</v>
      </c>
      <c r="B40" s="182">
        <v>1009628793.84</v>
      </c>
      <c r="C40" s="182">
        <v>752376232.14999998</v>
      </c>
      <c r="D40" s="189">
        <v>981075696</v>
      </c>
    </row>
    <row r="41" spans="1:4" s="128" customFormat="1" x14ac:dyDescent="0.2">
      <c r="A41" s="126" t="s">
        <v>92</v>
      </c>
      <c r="B41" s="182">
        <v>181703022.27000001</v>
      </c>
      <c r="C41" s="182">
        <v>133514412.61</v>
      </c>
      <c r="D41" s="189">
        <v>152848617</v>
      </c>
    </row>
    <row r="42" spans="1:4" s="128" customFormat="1" x14ac:dyDescent="0.2">
      <c r="A42" s="126" t="s">
        <v>93</v>
      </c>
      <c r="B42" s="182">
        <v>294497905.44999999</v>
      </c>
      <c r="C42" s="182">
        <v>212195487.09</v>
      </c>
      <c r="D42" s="189">
        <v>158515794</v>
      </c>
    </row>
    <row r="43" spans="1:4" s="128" customFormat="1" x14ac:dyDescent="0.2">
      <c r="A43" s="126" t="s">
        <v>122</v>
      </c>
      <c r="B43" s="182"/>
      <c r="C43" s="182">
        <v>485597.66</v>
      </c>
      <c r="D43" s="182"/>
    </row>
    <row r="44" spans="1:4" s="128" customFormat="1" x14ac:dyDescent="0.2">
      <c r="A44" s="126" t="s">
        <v>123</v>
      </c>
      <c r="B44" s="182">
        <v>113922556.33</v>
      </c>
      <c r="C44" s="182">
        <v>76044686.469999999</v>
      </c>
      <c r="D44" s="186">
        <v>6531587</v>
      </c>
    </row>
    <row r="45" spans="1:4" s="128" customFormat="1" x14ac:dyDescent="0.2">
      <c r="A45" s="129" t="s">
        <v>89</v>
      </c>
      <c r="B45" s="129"/>
      <c r="C45" s="129"/>
      <c r="D45" s="129"/>
    </row>
    <row r="46" spans="1:4" s="128" customFormat="1" x14ac:dyDescent="0.2">
      <c r="A46" s="126" t="s">
        <v>121</v>
      </c>
      <c r="B46" s="182">
        <v>111020616.04000001</v>
      </c>
      <c r="C46" s="182">
        <v>105584240.59</v>
      </c>
      <c r="D46" s="127"/>
    </row>
    <row r="47" spans="1:4" s="128" customFormat="1" x14ac:dyDescent="0.2">
      <c r="A47" s="126" t="s">
        <v>124</v>
      </c>
      <c r="B47" s="182"/>
      <c r="C47" s="182"/>
      <c r="D47" s="127"/>
    </row>
    <row r="48" spans="1:4" s="128" customFormat="1" x14ac:dyDescent="0.2">
      <c r="A48" s="126" t="s">
        <v>98</v>
      </c>
      <c r="B48" s="182">
        <v>414581245.23000002</v>
      </c>
      <c r="C48" s="182">
        <v>378523792.25</v>
      </c>
      <c r="D48" s="185">
        <v>783006358</v>
      </c>
    </row>
    <row r="49" spans="1:4" s="128" customFormat="1" x14ac:dyDescent="0.2">
      <c r="A49" s="126" t="s">
        <v>99</v>
      </c>
      <c r="B49" s="127"/>
      <c r="C49" s="127"/>
      <c r="D49" s="182"/>
    </row>
    <row r="50" spans="1:4" s="128" customFormat="1" x14ac:dyDescent="0.2">
      <c r="A50" s="129" t="s">
        <v>76</v>
      </c>
      <c r="B50" s="129"/>
      <c r="C50" s="129"/>
      <c r="D50" s="183"/>
    </row>
    <row r="51" spans="1:4" s="128" customFormat="1" x14ac:dyDescent="0.2">
      <c r="A51" s="126" t="s">
        <v>100</v>
      </c>
      <c r="B51" s="182">
        <v>37568922.789999999</v>
      </c>
      <c r="C51" s="182">
        <v>16526423.75</v>
      </c>
      <c r="D51" s="185">
        <v>34540371</v>
      </c>
    </row>
    <row r="52" spans="1:4" s="132" customFormat="1" ht="18" customHeight="1" x14ac:dyDescent="0.2">
      <c r="A52" s="170" t="s">
        <v>300</v>
      </c>
      <c r="B52" s="184">
        <f>SUM(B40:B51)</f>
        <v>2162923061.9500003</v>
      </c>
      <c r="C52" s="184">
        <f t="shared" ref="C52:D52" si="2">SUM(C40:C51)</f>
        <v>1675250872.5699999</v>
      </c>
      <c r="D52" s="184">
        <f t="shared" si="2"/>
        <v>2116518423</v>
      </c>
    </row>
    <row r="53" spans="1:4" x14ac:dyDescent="0.2">
      <c r="A53" s="171"/>
    </row>
    <row r="54" spans="1:4" x14ac:dyDescent="0.2">
      <c r="A54" s="172"/>
    </row>
  </sheetData>
  <pageMargins left="0.70866141732283472" right="0.51181102362204722" top="0.74803149606299213" bottom="0.74803149606299213" header="0.31496062992125984" footer="0.31496062992125984"/>
  <pageSetup paperSize="9"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W33"/>
  <sheetViews>
    <sheetView view="pageLayout" topLeftCell="A40" zoomScaleNormal="100" zoomScaleSheetLayoutView="100" workbookViewId="0">
      <selection activeCell="D12" sqref="D12"/>
    </sheetView>
  </sheetViews>
  <sheetFormatPr baseColWidth="10" defaultColWidth="11.28515625" defaultRowHeight="11.25" x14ac:dyDescent="0.2"/>
  <cols>
    <col min="1" max="1" width="9.85546875" style="992" customWidth="1"/>
    <col min="2" max="2" width="13.5703125" style="992" customWidth="1"/>
    <col min="3" max="3" width="2.85546875" style="992" customWidth="1"/>
    <col min="4" max="4" width="9.7109375" style="992" customWidth="1"/>
    <col min="5" max="5" width="9" style="992" customWidth="1"/>
    <col min="6" max="6" width="8.85546875" style="992" customWidth="1"/>
    <col min="7" max="7" width="3.5703125" style="992" customWidth="1"/>
    <col min="8" max="8" width="7.42578125" style="992" customWidth="1"/>
    <col min="9" max="9" width="10.7109375" style="992" customWidth="1"/>
    <col min="10" max="11" width="5" style="992" customWidth="1"/>
    <col min="12" max="12" width="10.42578125" style="992" customWidth="1"/>
    <col min="13" max="13" width="5" style="992" customWidth="1"/>
    <col min="14" max="14" width="12.140625" style="992" customWidth="1"/>
    <col min="15" max="15" width="9.5703125" style="992" customWidth="1"/>
    <col min="16" max="16" width="8.85546875" style="992" customWidth="1"/>
    <col min="17" max="17" width="10.7109375" style="992" customWidth="1"/>
    <col min="18" max="18" width="3.85546875" style="992" customWidth="1"/>
    <col min="19" max="16384" width="11.28515625" style="992"/>
  </cols>
  <sheetData>
    <row r="1" spans="1:23" x14ac:dyDescent="0.2">
      <c r="A1" s="989" t="s">
        <v>364</v>
      </c>
      <c r="B1" s="989"/>
      <c r="C1" s="990"/>
      <c r="D1" s="990"/>
      <c r="E1" s="990"/>
      <c r="F1" s="990"/>
      <c r="G1" s="990"/>
      <c r="H1" s="991"/>
      <c r="I1" s="991"/>
      <c r="J1" s="991"/>
      <c r="K1" s="991"/>
      <c r="L1" s="991"/>
      <c r="M1" s="991"/>
      <c r="N1" s="991"/>
      <c r="O1" s="991"/>
      <c r="P1" s="991"/>
      <c r="Q1" s="991"/>
      <c r="R1" s="991"/>
    </row>
    <row r="2" spans="1:23" ht="12" thickBot="1" x14ac:dyDescent="0.25">
      <c r="A2" s="989" t="s">
        <v>3926</v>
      </c>
      <c r="B2" s="229"/>
      <c r="C2" s="229"/>
      <c r="D2" s="229"/>
      <c r="E2" s="229"/>
      <c r="F2" s="229"/>
      <c r="G2" s="229"/>
      <c r="H2" s="229"/>
      <c r="I2" s="229"/>
      <c r="J2" s="229"/>
      <c r="K2" s="229"/>
      <c r="L2" s="229"/>
      <c r="M2" s="229"/>
      <c r="N2" s="229"/>
      <c r="O2" s="229"/>
      <c r="P2" s="229"/>
      <c r="Q2" s="229"/>
      <c r="R2" s="229"/>
      <c r="S2" s="230"/>
      <c r="T2" s="230"/>
      <c r="U2" s="230"/>
      <c r="V2" s="230"/>
      <c r="W2" s="230"/>
    </row>
    <row r="3" spans="1:23" s="993" customFormat="1" ht="28.35" customHeight="1" thickBot="1" x14ac:dyDescent="0.25">
      <c r="A3" s="1317" t="s">
        <v>267</v>
      </c>
      <c r="B3" s="1317" t="s">
        <v>252</v>
      </c>
      <c r="C3" s="1315" t="s">
        <v>101</v>
      </c>
      <c r="D3" s="1319"/>
      <c r="E3" s="1319"/>
      <c r="F3" s="1319"/>
      <c r="G3" s="1319"/>
      <c r="H3" s="1319"/>
      <c r="I3" s="1316"/>
      <c r="J3" s="1315" t="s">
        <v>89</v>
      </c>
      <c r="K3" s="1319"/>
      <c r="L3" s="1319"/>
      <c r="M3" s="1319"/>
      <c r="N3" s="1316"/>
      <c r="O3" s="1315" t="s">
        <v>76</v>
      </c>
      <c r="P3" s="1316"/>
      <c r="Q3" s="1315" t="s">
        <v>0</v>
      </c>
      <c r="R3" s="1316"/>
    </row>
    <row r="4" spans="1:23" s="1000" customFormat="1" ht="109.5" customHeight="1" thickBot="1" x14ac:dyDescent="0.25">
      <c r="A4" s="1318"/>
      <c r="B4" s="1318"/>
      <c r="C4" s="994" t="s">
        <v>90</v>
      </c>
      <c r="D4" s="995" t="s">
        <v>91</v>
      </c>
      <c r="E4" s="995" t="s">
        <v>92</v>
      </c>
      <c r="F4" s="995" t="s">
        <v>93</v>
      </c>
      <c r="G4" s="995" t="s">
        <v>94</v>
      </c>
      <c r="H4" s="995" t="s">
        <v>95</v>
      </c>
      <c r="I4" s="996" t="s">
        <v>86</v>
      </c>
      <c r="J4" s="994" t="s">
        <v>96</v>
      </c>
      <c r="K4" s="995" t="s">
        <v>97</v>
      </c>
      <c r="L4" s="995" t="s">
        <v>98</v>
      </c>
      <c r="M4" s="995" t="s">
        <v>99</v>
      </c>
      <c r="N4" s="997" t="s">
        <v>87</v>
      </c>
      <c r="O4" s="994" t="s">
        <v>100</v>
      </c>
      <c r="P4" s="996" t="s">
        <v>88</v>
      </c>
      <c r="Q4" s="998" t="s">
        <v>125</v>
      </c>
      <c r="R4" s="999" t="s">
        <v>74</v>
      </c>
    </row>
    <row r="5" spans="1:23" ht="40.5" customHeight="1" x14ac:dyDescent="0.2">
      <c r="A5" s="1001" t="s">
        <v>482</v>
      </c>
      <c r="B5" s="1002" t="s">
        <v>483</v>
      </c>
      <c r="C5" s="1003"/>
      <c r="D5" s="1004">
        <v>10361327</v>
      </c>
      <c r="E5" s="1004">
        <v>4367649</v>
      </c>
      <c r="F5" s="1004">
        <v>23489847</v>
      </c>
      <c r="G5" s="1005"/>
      <c r="H5" s="1004">
        <v>2691432</v>
      </c>
      <c r="I5" s="1006">
        <f>+D5+E5+F5+H5</f>
        <v>40910255</v>
      </c>
      <c r="J5" s="1007"/>
      <c r="K5" s="1004"/>
      <c r="L5" s="1008">
        <v>548253280</v>
      </c>
      <c r="M5" s="1004"/>
      <c r="N5" s="1009">
        <f>+L5</f>
        <v>548253280</v>
      </c>
      <c r="O5" s="1010">
        <v>34540371</v>
      </c>
      <c r="P5" s="1008">
        <f>+O5</f>
        <v>34540371</v>
      </c>
      <c r="Q5" s="1011">
        <f>+I5+N5+P5</f>
        <v>623703906</v>
      </c>
      <c r="R5" s="1012">
        <f>+(Q5*100)/Q$31</f>
        <v>29.468390127025131</v>
      </c>
    </row>
    <row r="6" spans="1:23" ht="40.5" customHeight="1" x14ac:dyDescent="0.2">
      <c r="A6" s="1013" t="s">
        <v>482</v>
      </c>
      <c r="B6" s="1014" t="s">
        <v>484</v>
      </c>
      <c r="C6" s="1015"/>
      <c r="D6" s="1016">
        <v>1252497</v>
      </c>
      <c r="E6" s="1016">
        <v>710515</v>
      </c>
      <c r="F6" s="1016">
        <v>2690654</v>
      </c>
      <c r="G6" s="1016"/>
      <c r="H6" s="1016"/>
      <c r="I6" s="1006">
        <f>+D6+E6+F6+H6</f>
        <v>4653666</v>
      </c>
      <c r="J6" s="1017"/>
      <c r="K6" s="1016"/>
      <c r="L6" s="1016"/>
      <c r="M6" s="1016"/>
      <c r="N6" s="1009"/>
      <c r="O6" s="1018"/>
      <c r="P6" s="1019"/>
      <c r="Q6" s="1011">
        <f>+I6+N6+P6</f>
        <v>4653666</v>
      </c>
      <c r="R6" s="1012">
        <f t="shared" ref="R6:R30" si="0">+(Q6*100)/Q$31</f>
        <v>0.2198736353735013</v>
      </c>
    </row>
    <row r="7" spans="1:23" ht="40.5" customHeight="1" x14ac:dyDescent="0.2">
      <c r="A7" s="1013" t="s">
        <v>485</v>
      </c>
      <c r="B7" s="1014" t="s">
        <v>486</v>
      </c>
      <c r="C7" s="1015"/>
      <c r="D7" s="1016"/>
      <c r="E7" s="1016"/>
      <c r="F7" s="1016"/>
      <c r="G7" s="1016"/>
      <c r="H7" s="1016"/>
      <c r="I7" s="1006"/>
      <c r="J7" s="1017"/>
      <c r="K7" s="1016"/>
      <c r="L7" s="1016">
        <v>889021</v>
      </c>
      <c r="M7" s="1016"/>
      <c r="N7" s="1009">
        <f t="shared" ref="N7:N23" si="1">+L7</f>
        <v>889021</v>
      </c>
      <c r="O7" s="1018"/>
      <c r="P7" s="1019"/>
      <c r="Q7" s="1011">
        <f t="shared" ref="Q7:Q30" si="2">+I7+N7+P7</f>
        <v>889021</v>
      </c>
      <c r="R7" s="1012">
        <f t="shared" si="0"/>
        <v>4.200393392937643E-2</v>
      </c>
    </row>
    <row r="8" spans="1:23" ht="40.5" customHeight="1" x14ac:dyDescent="0.2">
      <c r="A8" s="1013" t="s">
        <v>487</v>
      </c>
      <c r="B8" s="1014" t="s">
        <v>488</v>
      </c>
      <c r="C8" s="1015"/>
      <c r="D8" s="1016"/>
      <c r="E8" s="1016"/>
      <c r="F8" s="1016"/>
      <c r="G8" s="1016"/>
      <c r="H8" s="1016"/>
      <c r="I8" s="1006"/>
      <c r="J8" s="1017"/>
      <c r="K8" s="1016"/>
      <c r="L8" s="1016">
        <v>220212357</v>
      </c>
      <c r="M8" s="1016"/>
      <c r="N8" s="1009">
        <f t="shared" si="1"/>
        <v>220212357</v>
      </c>
      <c r="O8" s="1018"/>
      <c r="P8" s="1019"/>
      <c r="Q8" s="1011">
        <f t="shared" si="2"/>
        <v>220212357</v>
      </c>
      <c r="R8" s="1012">
        <f t="shared" si="0"/>
        <v>10.404462092414303</v>
      </c>
    </row>
    <row r="9" spans="1:23" ht="40.5" customHeight="1" x14ac:dyDescent="0.2">
      <c r="A9" s="1013" t="s">
        <v>489</v>
      </c>
      <c r="B9" s="1014" t="s">
        <v>490</v>
      </c>
      <c r="C9" s="1015"/>
      <c r="D9" s="1016">
        <v>4192798</v>
      </c>
      <c r="E9" s="1016">
        <v>7513053</v>
      </c>
      <c r="F9" s="1016">
        <v>2378495</v>
      </c>
      <c r="G9" s="1016"/>
      <c r="H9" s="1016"/>
      <c r="I9" s="1006">
        <f t="shared" ref="I9:I30" si="3">+D9+E9+F9+H9</f>
        <v>14084346</v>
      </c>
      <c r="J9" s="1017"/>
      <c r="K9" s="1016"/>
      <c r="L9" s="1016">
        <v>10119924</v>
      </c>
      <c r="M9" s="1016"/>
      <c r="N9" s="1009">
        <f t="shared" si="1"/>
        <v>10119924</v>
      </c>
      <c r="O9" s="1018"/>
      <c r="P9" s="1019"/>
      <c r="Q9" s="1011">
        <f t="shared" si="2"/>
        <v>24204270</v>
      </c>
      <c r="R9" s="1012">
        <f t="shared" si="0"/>
        <v>1.1435889117228819</v>
      </c>
    </row>
    <row r="10" spans="1:23" ht="40.5" customHeight="1" x14ac:dyDescent="0.2">
      <c r="A10" s="1013" t="s">
        <v>491</v>
      </c>
      <c r="B10" s="1014" t="s">
        <v>492</v>
      </c>
      <c r="C10" s="1015"/>
      <c r="D10" s="1016">
        <v>5248183</v>
      </c>
      <c r="E10" s="1016">
        <v>2997030</v>
      </c>
      <c r="F10" s="1016">
        <v>14606877</v>
      </c>
      <c r="G10" s="1016"/>
      <c r="H10" s="1016">
        <v>2276130</v>
      </c>
      <c r="I10" s="1006">
        <f t="shared" si="3"/>
        <v>25128220</v>
      </c>
      <c r="J10" s="1017"/>
      <c r="K10" s="1016"/>
      <c r="L10" s="1016"/>
      <c r="M10" s="1016"/>
      <c r="N10" s="1009">
        <f t="shared" si="1"/>
        <v>0</v>
      </c>
      <c r="O10" s="1018"/>
      <c r="P10" s="1019"/>
      <c r="Q10" s="1011">
        <f t="shared" si="2"/>
        <v>25128220</v>
      </c>
      <c r="R10" s="1012">
        <f t="shared" si="0"/>
        <v>1.1872431502099898</v>
      </c>
    </row>
    <row r="11" spans="1:23" ht="40.5" customHeight="1" x14ac:dyDescent="0.2">
      <c r="A11" s="1013" t="s">
        <v>493</v>
      </c>
      <c r="B11" s="1014" t="s">
        <v>494</v>
      </c>
      <c r="C11" s="1015"/>
      <c r="D11" s="1016">
        <v>33587949</v>
      </c>
      <c r="E11" s="1016">
        <v>15006451</v>
      </c>
      <c r="F11" s="1016">
        <v>6235891</v>
      </c>
      <c r="G11" s="1016"/>
      <c r="H11" s="1016"/>
      <c r="I11" s="1006">
        <f t="shared" si="3"/>
        <v>54830291</v>
      </c>
      <c r="J11" s="1017"/>
      <c r="K11" s="1016"/>
      <c r="L11" s="1016">
        <v>280176</v>
      </c>
      <c r="M11" s="1016"/>
      <c r="N11" s="1009">
        <f t="shared" si="1"/>
        <v>280176</v>
      </c>
      <c r="O11" s="1018"/>
      <c r="P11" s="1019"/>
      <c r="Q11" s="1011">
        <f t="shared" si="2"/>
        <v>55110467</v>
      </c>
      <c r="R11" s="1012">
        <f t="shared" si="0"/>
        <v>2.6038264728111935</v>
      </c>
    </row>
    <row r="12" spans="1:23" ht="40.5" customHeight="1" x14ac:dyDescent="0.2">
      <c r="A12" s="1013" t="s">
        <v>495</v>
      </c>
      <c r="B12" s="1014" t="s">
        <v>496</v>
      </c>
      <c r="C12" s="1015"/>
      <c r="D12" s="1016">
        <v>5386835</v>
      </c>
      <c r="E12" s="1016">
        <v>2000216</v>
      </c>
      <c r="F12" s="1016">
        <v>3857582</v>
      </c>
      <c r="G12" s="1016"/>
      <c r="H12" s="1016"/>
      <c r="I12" s="1020">
        <f t="shared" si="3"/>
        <v>11244633</v>
      </c>
      <c r="J12" s="1017"/>
      <c r="K12" s="1016"/>
      <c r="L12" s="1016">
        <v>54000</v>
      </c>
      <c r="M12" s="1016"/>
      <c r="N12" s="1009">
        <f t="shared" si="1"/>
        <v>54000</v>
      </c>
      <c r="O12" s="1018"/>
      <c r="P12" s="1019"/>
      <c r="Q12" s="1021">
        <f t="shared" si="2"/>
        <v>11298633</v>
      </c>
      <c r="R12" s="1012">
        <f t="shared" si="0"/>
        <v>0.53383107263413598</v>
      </c>
    </row>
    <row r="13" spans="1:23" ht="40.5" customHeight="1" x14ac:dyDescent="0.2">
      <c r="A13" s="1013" t="s">
        <v>497</v>
      </c>
      <c r="B13" s="1022" t="s">
        <v>498</v>
      </c>
      <c r="C13" s="1023"/>
      <c r="D13" s="1024">
        <v>166830514</v>
      </c>
      <c r="E13" s="1024">
        <v>34369431</v>
      </c>
      <c r="F13" s="1024">
        <v>3680223</v>
      </c>
      <c r="G13" s="1024"/>
      <c r="H13" s="1024"/>
      <c r="I13" s="1006">
        <f t="shared" si="3"/>
        <v>204880168</v>
      </c>
      <c r="J13" s="1025"/>
      <c r="K13" s="1024"/>
      <c r="L13" s="1024">
        <v>132000</v>
      </c>
      <c r="M13" s="1024"/>
      <c r="N13" s="1009">
        <f t="shared" si="1"/>
        <v>132000</v>
      </c>
      <c r="O13" s="1026"/>
      <c r="P13" s="1027"/>
      <c r="Q13" s="1011">
        <f t="shared" si="2"/>
        <v>205012168</v>
      </c>
      <c r="R13" s="1012">
        <f t="shared" si="0"/>
        <v>9.6862926290720033</v>
      </c>
    </row>
    <row r="14" spans="1:23" ht="40.5" customHeight="1" x14ac:dyDescent="0.2">
      <c r="A14" s="1013" t="s">
        <v>499</v>
      </c>
      <c r="B14" s="1022" t="s">
        <v>500</v>
      </c>
      <c r="C14" s="1023"/>
      <c r="D14" s="1024">
        <v>187769855</v>
      </c>
      <c r="E14" s="1024">
        <v>54782459</v>
      </c>
      <c r="F14" s="1024">
        <v>4855572</v>
      </c>
      <c r="G14" s="1024"/>
      <c r="H14" s="1024"/>
      <c r="I14" s="1006">
        <f t="shared" si="3"/>
        <v>247407886</v>
      </c>
      <c r="J14" s="1025"/>
      <c r="K14" s="1024"/>
      <c r="L14" s="1024"/>
      <c r="M14" s="1024"/>
      <c r="N14" s="1009">
        <f t="shared" si="1"/>
        <v>0</v>
      </c>
      <c r="O14" s="1026"/>
      <c r="P14" s="1027"/>
      <c r="Q14" s="1011">
        <f t="shared" si="2"/>
        <v>247407886</v>
      </c>
      <c r="R14" s="1012">
        <f t="shared" si="0"/>
        <v>11.689380225158569</v>
      </c>
    </row>
    <row r="15" spans="1:23" ht="40.5" customHeight="1" x14ac:dyDescent="0.2">
      <c r="A15" s="1013" t="s">
        <v>501</v>
      </c>
      <c r="B15" s="1022" t="s">
        <v>502</v>
      </c>
      <c r="C15" s="1023"/>
      <c r="D15" s="1024">
        <v>34871945</v>
      </c>
      <c r="E15" s="1024">
        <v>3529587</v>
      </c>
      <c r="F15" s="1024">
        <v>739534</v>
      </c>
      <c r="G15" s="1024"/>
      <c r="H15" s="1024"/>
      <c r="I15" s="1006">
        <f t="shared" si="3"/>
        <v>39141066</v>
      </c>
      <c r="J15" s="1025"/>
      <c r="K15" s="1024"/>
      <c r="L15" s="1024">
        <v>50000</v>
      </c>
      <c r="M15" s="1024"/>
      <c r="N15" s="1009">
        <f t="shared" si="1"/>
        <v>50000</v>
      </c>
      <c r="O15" s="1026"/>
      <c r="P15" s="1027"/>
      <c r="Q15" s="1011">
        <f t="shared" si="2"/>
        <v>39191066</v>
      </c>
      <c r="R15" s="1012">
        <f t="shared" si="0"/>
        <v>1.8516761098847283</v>
      </c>
    </row>
    <row r="16" spans="1:23" ht="40.5" customHeight="1" x14ac:dyDescent="0.2">
      <c r="A16" s="1013" t="s">
        <v>503</v>
      </c>
      <c r="B16" s="1022" t="s">
        <v>504</v>
      </c>
      <c r="C16" s="1023"/>
      <c r="D16" s="1024">
        <v>24850058</v>
      </c>
      <c r="E16" s="1024">
        <v>835935</v>
      </c>
      <c r="F16" s="1024">
        <v>672029</v>
      </c>
      <c r="G16" s="1024"/>
      <c r="H16" s="1024"/>
      <c r="I16" s="1006">
        <f t="shared" si="3"/>
        <v>26358022</v>
      </c>
      <c r="J16" s="1025"/>
      <c r="K16" s="1024"/>
      <c r="L16" s="1024">
        <v>50000</v>
      </c>
      <c r="M16" s="1024"/>
      <c r="N16" s="1009">
        <f t="shared" si="1"/>
        <v>50000</v>
      </c>
      <c r="O16" s="1026"/>
      <c r="P16" s="1027"/>
      <c r="Q16" s="1011">
        <f t="shared" si="2"/>
        <v>26408022</v>
      </c>
      <c r="R16" s="1012">
        <f t="shared" si="0"/>
        <v>1.2477104717363474</v>
      </c>
    </row>
    <row r="17" spans="1:18" ht="40.5" customHeight="1" x14ac:dyDescent="0.2">
      <c r="A17" s="1013" t="s">
        <v>505</v>
      </c>
      <c r="B17" s="1022" t="s">
        <v>506</v>
      </c>
      <c r="C17" s="1023"/>
      <c r="D17" s="1024">
        <v>27999033</v>
      </c>
      <c r="E17" s="1024">
        <v>989868</v>
      </c>
      <c r="F17" s="1024">
        <v>673963</v>
      </c>
      <c r="G17" s="1024"/>
      <c r="H17" s="1024"/>
      <c r="I17" s="1006">
        <f t="shared" si="3"/>
        <v>29662864</v>
      </c>
      <c r="J17" s="1025"/>
      <c r="K17" s="1024"/>
      <c r="L17" s="1024">
        <v>85700</v>
      </c>
      <c r="M17" s="1024"/>
      <c r="N17" s="1009">
        <f t="shared" si="1"/>
        <v>85700</v>
      </c>
      <c r="O17" s="1026"/>
      <c r="P17" s="1027"/>
      <c r="Q17" s="1011">
        <f t="shared" si="2"/>
        <v>29748564</v>
      </c>
      <c r="R17" s="1012">
        <f t="shared" si="0"/>
        <v>1.4055424076032246</v>
      </c>
    </row>
    <row r="18" spans="1:18" ht="40.5" customHeight="1" x14ac:dyDescent="0.2">
      <c r="A18" s="1013" t="s">
        <v>507</v>
      </c>
      <c r="B18" s="1022" t="s">
        <v>508</v>
      </c>
      <c r="C18" s="1023"/>
      <c r="D18" s="1024">
        <v>14754752</v>
      </c>
      <c r="E18" s="1024">
        <v>423253</v>
      </c>
      <c r="F18" s="1024">
        <v>656438</v>
      </c>
      <c r="G18" s="1024"/>
      <c r="H18" s="1024"/>
      <c r="I18" s="1006">
        <f t="shared" si="3"/>
        <v>15834443</v>
      </c>
      <c r="J18" s="1025"/>
      <c r="K18" s="1024"/>
      <c r="L18" s="1024">
        <v>50000</v>
      </c>
      <c r="M18" s="1024"/>
      <c r="N18" s="1009">
        <f t="shared" si="1"/>
        <v>50000</v>
      </c>
      <c r="O18" s="1026"/>
      <c r="P18" s="1027"/>
      <c r="Q18" s="1011">
        <f t="shared" si="2"/>
        <v>15884443</v>
      </c>
      <c r="R18" s="1012">
        <f t="shared" si="0"/>
        <v>0.75049868819403143</v>
      </c>
    </row>
    <row r="19" spans="1:18" ht="40.5" customHeight="1" x14ac:dyDescent="0.2">
      <c r="A19" s="1013" t="s">
        <v>509</v>
      </c>
      <c r="B19" s="1022" t="s">
        <v>510</v>
      </c>
      <c r="C19" s="1023"/>
      <c r="D19" s="1024">
        <v>28804710</v>
      </c>
      <c r="E19" s="1024">
        <v>3088829</v>
      </c>
      <c r="F19" s="1024">
        <v>960228</v>
      </c>
      <c r="G19" s="1024"/>
      <c r="H19" s="1024"/>
      <c r="I19" s="1006">
        <f t="shared" si="3"/>
        <v>32853767</v>
      </c>
      <c r="J19" s="1025"/>
      <c r="K19" s="1024"/>
      <c r="L19" s="1024">
        <v>91700</v>
      </c>
      <c r="M19" s="1024"/>
      <c r="N19" s="1009">
        <f t="shared" si="1"/>
        <v>91700</v>
      </c>
      <c r="O19" s="1026"/>
      <c r="P19" s="1027"/>
      <c r="Q19" s="1011">
        <f t="shared" si="2"/>
        <v>32945467</v>
      </c>
      <c r="R19" s="1012">
        <f t="shared" si="0"/>
        <v>1.5565877736751457</v>
      </c>
    </row>
    <row r="20" spans="1:18" ht="40.5" customHeight="1" x14ac:dyDescent="0.2">
      <c r="A20" s="1013" t="s">
        <v>511</v>
      </c>
      <c r="B20" s="1014" t="s">
        <v>512</v>
      </c>
      <c r="C20" s="1015"/>
      <c r="D20" s="1016">
        <v>16280738</v>
      </c>
      <c r="E20" s="1016">
        <v>670331</v>
      </c>
      <c r="F20" s="1016">
        <v>466403</v>
      </c>
      <c r="G20" s="1016"/>
      <c r="H20" s="1016"/>
      <c r="I20" s="1006">
        <f t="shared" si="3"/>
        <v>17417472</v>
      </c>
      <c r="J20" s="1017"/>
      <c r="K20" s="1016"/>
      <c r="L20" s="1016">
        <v>50000</v>
      </c>
      <c r="M20" s="1016"/>
      <c r="N20" s="1009">
        <f t="shared" si="1"/>
        <v>50000</v>
      </c>
      <c r="O20" s="1018"/>
      <c r="P20" s="1019"/>
      <c r="Q20" s="1011">
        <f t="shared" si="2"/>
        <v>17467472</v>
      </c>
      <c r="R20" s="1012">
        <f t="shared" si="0"/>
        <v>0.82529269814912454</v>
      </c>
    </row>
    <row r="21" spans="1:18" ht="40.5" customHeight="1" x14ac:dyDescent="0.2">
      <c r="A21" s="1013" t="s">
        <v>513</v>
      </c>
      <c r="B21" s="1028" t="s">
        <v>514</v>
      </c>
      <c r="C21" s="1029"/>
      <c r="D21" s="1030">
        <v>29531691</v>
      </c>
      <c r="E21" s="1030">
        <v>240849</v>
      </c>
      <c r="F21" s="1030">
        <v>620743</v>
      </c>
      <c r="G21" s="1030"/>
      <c r="H21" s="1030"/>
      <c r="I21" s="1006">
        <f t="shared" si="3"/>
        <v>30393283</v>
      </c>
      <c r="J21" s="1031"/>
      <c r="K21" s="1030"/>
      <c r="L21" s="1030">
        <v>80000</v>
      </c>
      <c r="M21" s="1030"/>
      <c r="N21" s="1032">
        <f t="shared" si="1"/>
        <v>80000</v>
      </c>
      <c r="O21" s="1033"/>
      <c r="P21" s="1034"/>
      <c r="Q21" s="1011">
        <f t="shared" si="2"/>
        <v>30473283</v>
      </c>
      <c r="R21" s="1012">
        <f t="shared" si="0"/>
        <v>1.4397834986386036</v>
      </c>
    </row>
    <row r="22" spans="1:18" ht="40.5" customHeight="1" x14ac:dyDescent="0.2">
      <c r="A22" s="1013" t="s">
        <v>515</v>
      </c>
      <c r="B22" s="1022" t="s">
        <v>516</v>
      </c>
      <c r="C22" s="1023"/>
      <c r="D22" s="1024">
        <v>51175660</v>
      </c>
      <c r="E22" s="1024">
        <v>584446</v>
      </c>
      <c r="F22" s="1024">
        <v>936618</v>
      </c>
      <c r="G22" s="1024"/>
      <c r="H22" s="1024"/>
      <c r="I22" s="1006">
        <f t="shared" si="3"/>
        <v>52696724</v>
      </c>
      <c r="J22" s="1025"/>
      <c r="K22" s="1024"/>
      <c r="L22" s="1024">
        <v>48000</v>
      </c>
      <c r="M22" s="1024"/>
      <c r="N22" s="1009">
        <f t="shared" si="1"/>
        <v>48000</v>
      </c>
      <c r="O22" s="1026"/>
      <c r="P22" s="1027"/>
      <c r="Q22" s="1011">
        <f t="shared" si="2"/>
        <v>52744724</v>
      </c>
      <c r="R22" s="1012">
        <f t="shared" si="0"/>
        <v>2.4920512586532775</v>
      </c>
    </row>
    <row r="23" spans="1:18" ht="40.5" customHeight="1" x14ac:dyDescent="0.2">
      <c r="A23" s="1013" t="s">
        <v>517</v>
      </c>
      <c r="B23" s="1022" t="s">
        <v>518</v>
      </c>
      <c r="C23" s="1023"/>
      <c r="D23" s="1024">
        <v>26033588</v>
      </c>
      <c r="E23" s="1024">
        <v>6463357</v>
      </c>
      <c r="F23" s="1024">
        <v>7598553</v>
      </c>
      <c r="G23" s="1024"/>
      <c r="H23" s="1024">
        <v>1564025</v>
      </c>
      <c r="I23" s="1006">
        <f t="shared" si="3"/>
        <v>41659523</v>
      </c>
      <c r="J23" s="1025"/>
      <c r="K23" s="1024"/>
      <c r="L23" s="1024">
        <v>2560200</v>
      </c>
      <c r="M23" s="1024"/>
      <c r="N23" s="1009">
        <f t="shared" si="1"/>
        <v>2560200</v>
      </c>
      <c r="O23" s="1026"/>
      <c r="P23" s="1027"/>
      <c r="Q23" s="1011">
        <f t="shared" si="2"/>
        <v>44219723</v>
      </c>
      <c r="R23" s="1012">
        <f t="shared" si="0"/>
        <v>2.0892670963535478</v>
      </c>
    </row>
    <row r="24" spans="1:18" ht="40.5" customHeight="1" x14ac:dyDescent="0.2">
      <c r="A24" s="1013" t="s">
        <v>519</v>
      </c>
      <c r="B24" s="1014" t="s">
        <v>520</v>
      </c>
      <c r="C24" s="1015"/>
      <c r="D24" s="1016">
        <v>34708009</v>
      </c>
      <c r="E24" s="1016">
        <v>4794792</v>
      </c>
      <c r="F24" s="1016">
        <v>10956804</v>
      </c>
      <c r="G24" s="1016"/>
      <c r="H24" s="1016"/>
      <c r="I24" s="1006">
        <f t="shared" si="3"/>
        <v>50459605</v>
      </c>
      <c r="J24" s="1017"/>
      <c r="K24" s="1016"/>
      <c r="L24" s="1016"/>
      <c r="M24" s="1016"/>
      <c r="N24" s="1009"/>
      <c r="O24" s="1018"/>
      <c r="P24" s="1019"/>
      <c r="Q24" s="1011">
        <f t="shared" si="2"/>
        <v>50459605</v>
      </c>
      <c r="R24" s="1012">
        <f t="shared" si="0"/>
        <v>2.3840853191571769</v>
      </c>
    </row>
    <row r="25" spans="1:18" ht="40.5" customHeight="1" x14ac:dyDescent="0.2">
      <c r="A25" s="1013" t="s">
        <v>521</v>
      </c>
      <c r="B25" s="1022" t="s">
        <v>522</v>
      </c>
      <c r="C25" s="1023"/>
      <c r="D25" s="1024">
        <v>81361859</v>
      </c>
      <c r="E25" s="1024">
        <v>7984279</v>
      </c>
      <c r="F25" s="1024">
        <v>23316037</v>
      </c>
      <c r="G25" s="1024"/>
      <c r="H25" s="1024"/>
      <c r="I25" s="1020">
        <f t="shared" si="3"/>
        <v>112662175</v>
      </c>
      <c r="J25" s="1025"/>
      <c r="K25" s="1024"/>
      <c r="L25" s="1024"/>
      <c r="M25" s="1024"/>
      <c r="N25" s="1009"/>
      <c r="O25" s="1026"/>
      <c r="P25" s="1027"/>
      <c r="Q25" s="1021">
        <f t="shared" si="2"/>
        <v>112662175</v>
      </c>
      <c r="R25" s="1035">
        <f t="shared" si="0"/>
        <v>5.3229952442516488</v>
      </c>
    </row>
    <row r="26" spans="1:18" ht="40.5" customHeight="1" x14ac:dyDescent="0.2">
      <c r="A26" s="1013" t="s">
        <v>523</v>
      </c>
      <c r="B26" s="1022" t="s">
        <v>524</v>
      </c>
      <c r="C26" s="1023"/>
      <c r="D26" s="1024">
        <v>32921324</v>
      </c>
      <c r="E26" s="1024">
        <v>771098</v>
      </c>
      <c r="F26" s="1024">
        <v>7814233</v>
      </c>
      <c r="G26" s="1024"/>
      <c r="H26" s="1024"/>
      <c r="I26" s="1006">
        <f t="shared" si="3"/>
        <v>41506655</v>
      </c>
      <c r="J26" s="1025"/>
      <c r="K26" s="1024"/>
      <c r="L26" s="1024"/>
      <c r="M26" s="1024"/>
      <c r="N26" s="1009"/>
      <c r="O26" s="1026"/>
      <c r="P26" s="1027"/>
      <c r="Q26" s="1011">
        <f t="shared" si="2"/>
        <v>41506655</v>
      </c>
      <c r="R26" s="1012">
        <f t="shared" si="0"/>
        <v>1.9610816777662416</v>
      </c>
    </row>
    <row r="27" spans="1:18" ht="40.5" customHeight="1" x14ac:dyDescent="0.2">
      <c r="A27" s="1013" t="s">
        <v>525</v>
      </c>
      <c r="B27" s="1022" t="s">
        <v>526</v>
      </c>
      <c r="C27" s="1023"/>
      <c r="D27" s="1024">
        <v>28024052</v>
      </c>
      <c r="E27" s="1024">
        <v>458591</v>
      </c>
      <c r="F27" s="1024">
        <v>5622626</v>
      </c>
      <c r="G27" s="1024"/>
      <c r="H27" s="1024"/>
      <c r="I27" s="1006">
        <f t="shared" si="3"/>
        <v>34105269</v>
      </c>
      <c r="J27" s="1025"/>
      <c r="K27" s="1024"/>
      <c r="L27" s="1024"/>
      <c r="M27" s="1024"/>
      <c r="N27" s="1009"/>
      <c r="O27" s="1026"/>
      <c r="P27" s="1027"/>
      <c r="Q27" s="1011">
        <f t="shared" si="2"/>
        <v>34105269</v>
      </c>
      <c r="R27" s="1012">
        <f t="shared" si="0"/>
        <v>1.611385406778479</v>
      </c>
    </row>
    <row r="28" spans="1:18" ht="40.5" customHeight="1" x14ac:dyDescent="0.2">
      <c r="A28" s="1013" t="s">
        <v>527</v>
      </c>
      <c r="B28" s="1014" t="s">
        <v>528</v>
      </c>
      <c r="C28" s="1015"/>
      <c r="D28" s="1016">
        <v>121448975</v>
      </c>
      <c r="E28" s="1016">
        <v>266598</v>
      </c>
      <c r="F28" s="1016">
        <v>20704018</v>
      </c>
      <c r="G28" s="1016"/>
      <c r="H28" s="1016"/>
      <c r="I28" s="1006">
        <f t="shared" si="3"/>
        <v>142419591</v>
      </c>
      <c r="J28" s="1017"/>
      <c r="K28" s="1016"/>
      <c r="L28" s="1016"/>
      <c r="M28" s="1016"/>
      <c r="N28" s="1009"/>
      <c r="O28" s="1018"/>
      <c r="P28" s="1019"/>
      <c r="Q28" s="1011">
        <f t="shared" si="2"/>
        <v>142419591</v>
      </c>
      <c r="R28" s="1012">
        <f t="shared" si="0"/>
        <v>6.7289558858708789</v>
      </c>
    </row>
    <row r="29" spans="1:18" ht="40.5" customHeight="1" x14ac:dyDescent="0.2">
      <c r="A29" s="1013" t="s">
        <v>529</v>
      </c>
      <c r="B29" s="1028" t="s">
        <v>530</v>
      </c>
      <c r="C29" s="1029"/>
      <c r="D29" s="1030">
        <v>8551740</v>
      </c>
      <c r="E29" s="1030"/>
      <c r="F29" s="1030">
        <v>6704938</v>
      </c>
      <c r="G29" s="1030"/>
      <c r="H29" s="1030"/>
      <c r="I29" s="1006">
        <f t="shared" si="3"/>
        <v>15256678</v>
      </c>
      <c r="J29" s="1031"/>
      <c r="K29" s="1030"/>
      <c r="L29" s="1030"/>
      <c r="M29" s="1030"/>
      <c r="N29" s="1032"/>
      <c r="O29" s="1033"/>
      <c r="P29" s="1034"/>
      <c r="Q29" s="1011">
        <f t="shared" si="2"/>
        <v>15256678</v>
      </c>
      <c r="R29" s="1012">
        <f t="shared" si="0"/>
        <v>0.72083842192003444</v>
      </c>
    </row>
    <row r="30" spans="1:18" ht="40.5" customHeight="1" thickBot="1" x14ac:dyDescent="0.25">
      <c r="A30" s="1036" t="s">
        <v>531</v>
      </c>
      <c r="B30" s="1037" t="s">
        <v>532</v>
      </c>
      <c r="C30" s="1023"/>
      <c r="D30" s="1024">
        <v>5127604</v>
      </c>
      <c r="E30" s="1024"/>
      <c r="F30" s="1024">
        <v>8277488</v>
      </c>
      <c r="G30" s="1024"/>
      <c r="H30" s="1024"/>
      <c r="I30" s="1006">
        <f t="shared" si="3"/>
        <v>13405092</v>
      </c>
      <c r="J30" s="1025"/>
      <c r="K30" s="1024"/>
      <c r="L30" s="1024"/>
      <c r="M30" s="1024"/>
      <c r="N30" s="1009"/>
      <c r="O30" s="1026"/>
      <c r="P30" s="1027"/>
      <c r="Q30" s="1011">
        <f t="shared" si="2"/>
        <v>13405092</v>
      </c>
      <c r="R30" s="1012">
        <f t="shared" si="0"/>
        <v>0.63335579101642436</v>
      </c>
    </row>
    <row r="31" spans="1:18" ht="12" thickBot="1" x14ac:dyDescent="0.25">
      <c r="A31" s="1038" t="s">
        <v>67</v>
      </c>
      <c r="B31" s="1038" t="s">
        <v>67</v>
      </c>
      <c r="C31" s="1039"/>
      <c r="D31" s="1040">
        <f>SUM(D5:D30)</f>
        <v>981075696</v>
      </c>
      <c r="E31" s="1040">
        <f t="shared" ref="E31:Q31" si="4">SUM(E5:E30)</f>
        <v>152848617</v>
      </c>
      <c r="F31" s="1040">
        <f t="shared" si="4"/>
        <v>158515794</v>
      </c>
      <c r="G31" s="1040">
        <f t="shared" si="4"/>
        <v>0</v>
      </c>
      <c r="H31" s="1040">
        <f t="shared" si="4"/>
        <v>6531587</v>
      </c>
      <c r="I31" s="1040">
        <f t="shared" si="4"/>
        <v>1298971694</v>
      </c>
      <c r="J31" s="1040">
        <f t="shared" si="4"/>
        <v>0</v>
      </c>
      <c r="K31" s="1040">
        <f t="shared" si="4"/>
        <v>0</v>
      </c>
      <c r="L31" s="1040">
        <f t="shared" si="4"/>
        <v>783006358</v>
      </c>
      <c r="M31" s="1040">
        <f t="shared" si="4"/>
        <v>0</v>
      </c>
      <c r="N31" s="1040">
        <f t="shared" si="4"/>
        <v>783006358</v>
      </c>
      <c r="O31" s="1040">
        <f t="shared" si="4"/>
        <v>34540371</v>
      </c>
      <c r="P31" s="1040">
        <f t="shared" si="4"/>
        <v>34540371</v>
      </c>
      <c r="Q31" s="1040">
        <f t="shared" si="4"/>
        <v>2116518423</v>
      </c>
      <c r="R31" s="1041">
        <f>SUM(R5:R30)</f>
        <v>100.00000000000001</v>
      </c>
    </row>
    <row r="32" spans="1:18" x14ac:dyDescent="0.2">
      <c r="A32" s="231"/>
      <c r="B32" s="231"/>
      <c r="C32" s="109"/>
      <c r="D32" s="109"/>
      <c r="E32" s="110"/>
      <c r="F32" s="110"/>
      <c r="G32" s="110"/>
      <c r="H32" s="110"/>
      <c r="I32" s="110"/>
      <c r="J32" s="110"/>
      <c r="K32" s="110"/>
      <c r="L32" s="110"/>
      <c r="M32" s="110"/>
      <c r="N32" s="110"/>
      <c r="O32" s="110"/>
      <c r="P32" s="110"/>
      <c r="Q32" s="110"/>
      <c r="R32" s="110"/>
    </row>
    <row r="33" spans="9:9" x14ac:dyDescent="0.2">
      <c r="I33" s="1042"/>
    </row>
  </sheetData>
  <mergeCells count="6">
    <mergeCell ref="Q3:R3"/>
    <mergeCell ref="A3:A4"/>
    <mergeCell ref="B3:B4"/>
    <mergeCell ref="C3:I3"/>
    <mergeCell ref="J3:N3"/>
    <mergeCell ref="O3:P3"/>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G185"/>
  <sheetViews>
    <sheetView view="pageLayout" topLeftCell="A175" zoomScaleNormal="100" workbookViewId="0">
      <selection activeCell="A181" sqref="A181"/>
    </sheetView>
  </sheetViews>
  <sheetFormatPr baseColWidth="10" defaultColWidth="11.28515625" defaultRowHeight="12.75" x14ac:dyDescent="0.2"/>
  <cols>
    <col min="1" max="1" width="48.85546875" style="898" customWidth="1"/>
    <col min="2" max="2" width="15.7109375" style="898" customWidth="1"/>
    <col min="3" max="3" width="15.42578125" style="898" customWidth="1"/>
    <col min="4" max="4" width="14.42578125" style="898" customWidth="1"/>
    <col min="5" max="5" width="11.28515625" style="898"/>
    <col min="6" max="7" width="15.28515625" style="898" bestFit="1" customWidth="1"/>
    <col min="8" max="16384" width="11.28515625" style="898"/>
  </cols>
  <sheetData>
    <row r="1" spans="1:4" x14ac:dyDescent="0.2">
      <c r="A1" s="989" t="s">
        <v>365</v>
      </c>
    </row>
    <row r="2" spans="1:4" x14ac:dyDescent="0.2">
      <c r="A2" s="229" t="s">
        <v>3926</v>
      </c>
    </row>
    <row r="3" spans="1:4" s="1045" customFormat="1" ht="28.35" customHeight="1" x14ac:dyDescent="0.2">
      <c r="A3" s="1043" t="s">
        <v>310</v>
      </c>
      <c r="B3" s="1044">
        <v>2020</v>
      </c>
      <c r="C3" s="1044">
        <v>2021</v>
      </c>
      <c r="D3" s="1044">
        <v>2022</v>
      </c>
    </row>
    <row r="4" spans="1:4" x14ac:dyDescent="0.2">
      <c r="A4" s="1046" t="s">
        <v>533</v>
      </c>
      <c r="B4" s="1047">
        <v>42988946</v>
      </c>
      <c r="C4" s="1047">
        <v>44396696</v>
      </c>
      <c r="D4" s="1047">
        <v>10931349</v>
      </c>
    </row>
    <row r="5" spans="1:4" x14ac:dyDescent="0.2">
      <c r="A5" s="1046" t="s">
        <v>534</v>
      </c>
      <c r="B5" s="1047">
        <v>34893325</v>
      </c>
      <c r="C5" s="1047">
        <v>44892867</v>
      </c>
      <c r="D5" s="1047">
        <v>42762573</v>
      </c>
    </row>
    <row r="6" spans="1:4" x14ac:dyDescent="0.2">
      <c r="A6" s="1046" t="s">
        <v>535</v>
      </c>
      <c r="B6" s="1047">
        <v>16299108</v>
      </c>
      <c r="C6" s="1047">
        <v>18240966</v>
      </c>
      <c r="D6" s="1047">
        <v>17168422</v>
      </c>
    </row>
    <row r="7" spans="1:4" x14ac:dyDescent="0.2">
      <c r="A7" s="1046" t="s">
        <v>536</v>
      </c>
      <c r="B7" s="1047">
        <v>34948843</v>
      </c>
      <c r="C7" s="1047">
        <v>37642196</v>
      </c>
      <c r="D7" s="1047">
        <v>12362627</v>
      </c>
    </row>
    <row r="8" spans="1:4" x14ac:dyDescent="0.2">
      <c r="A8" s="1046" t="s">
        <v>537</v>
      </c>
      <c r="B8" s="1047">
        <v>24634958</v>
      </c>
      <c r="C8" s="1047">
        <v>26600763</v>
      </c>
      <c r="D8" s="1047">
        <v>25476022</v>
      </c>
    </row>
    <row r="9" spans="1:4" x14ac:dyDescent="0.2">
      <c r="A9" s="1046" t="s">
        <v>538</v>
      </c>
      <c r="B9" s="1047">
        <v>11585451</v>
      </c>
      <c r="C9" s="1047">
        <v>13681263</v>
      </c>
      <c r="D9" s="1047">
        <v>12663373</v>
      </c>
    </row>
    <row r="10" spans="1:4" x14ac:dyDescent="0.2">
      <c r="A10" s="1046" t="s">
        <v>539</v>
      </c>
      <c r="B10" s="1047">
        <v>46600</v>
      </c>
      <c r="C10" s="1047">
        <v>0</v>
      </c>
      <c r="D10" s="1047">
        <v>46200</v>
      </c>
    </row>
    <row r="11" spans="1:4" x14ac:dyDescent="0.2">
      <c r="A11" s="1046" t="s">
        <v>540</v>
      </c>
      <c r="B11" s="1047">
        <v>40100</v>
      </c>
      <c r="C11" s="1047">
        <v>0</v>
      </c>
      <c r="D11" s="1047">
        <v>40100</v>
      </c>
    </row>
    <row r="12" spans="1:4" x14ac:dyDescent="0.2">
      <c r="A12" s="1046" t="s">
        <v>541</v>
      </c>
      <c r="B12" s="1047">
        <v>34100</v>
      </c>
      <c r="C12" s="1047">
        <v>0</v>
      </c>
      <c r="D12" s="1047">
        <v>0</v>
      </c>
    </row>
    <row r="13" spans="1:4" x14ac:dyDescent="0.2">
      <c r="A13" s="1046" t="s">
        <v>542</v>
      </c>
      <c r="B13" s="1047">
        <v>169581618</v>
      </c>
      <c r="C13" s="1047">
        <v>107042202</v>
      </c>
      <c r="D13" s="1047">
        <v>225570170</v>
      </c>
    </row>
    <row r="14" spans="1:4" x14ac:dyDescent="0.2">
      <c r="A14" s="1046" t="s">
        <v>543</v>
      </c>
      <c r="B14" s="1047">
        <v>2062301</v>
      </c>
      <c r="C14" s="1047">
        <v>0</v>
      </c>
      <c r="D14" s="1047">
        <v>2062303</v>
      </c>
    </row>
    <row r="15" spans="1:4" x14ac:dyDescent="0.2">
      <c r="A15" s="1046" t="s">
        <v>544</v>
      </c>
      <c r="B15" s="1047">
        <v>1109094</v>
      </c>
      <c r="C15" s="1047">
        <v>1089956</v>
      </c>
      <c r="D15" s="1047">
        <v>1043338</v>
      </c>
    </row>
    <row r="16" spans="1:4" x14ac:dyDescent="0.2">
      <c r="A16" s="1046" t="s">
        <v>545</v>
      </c>
      <c r="B16" s="1047">
        <v>0</v>
      </c>
      <c r="C16" s="1047">
        <v>22440</v>
      </c>
      <c r="D16" s="1047">
        <v>23920</v>
      </c>
    </row>
    <row r="17" spans="1:4" x14ac:dyDescent="0.2">
      <c r="A17" s="1046" t="s">
        <v>546</v>
      </c>
      <c r="B17" s="1047">
        <v>5191717</v>
      </c>
      <c r="C17" s="1047">
        <v>4493252</v>
      </c>
      <c r="D17" s="1047">
        <v>7012537</v>
      </c>
    </row>
    <row r="18" spans="1:4" x14ac:dyDescent="0.2">
      <c r="A18" s="1046" t="s">
        <v>547</v>
      </c>
      <c r="B18" s="1047">
        <v>7646460</v>
      </c>
      <c r="C18" s="1047">
        <v>15273219</v>
      </c>
      <c r="D18" s="1047">
        <v>35740123</v>
      </c>
    </row>
    <row r="19" spans="1:4" x14ac:dyDescent="0.2">
      <c r="A19" s="1046" t="s">
        <v>548</v>
      </c>
      <c r="B19" s="1047">
        <v>258688</v>
      </c>
      <c r="C19" s="1047">
        <v>9863267</v>
      </c>
      <c r="D19" s="1047">
        <v>27048717</v>
      </c>
    </row>
    <row r="20" spans="1:4" x14ac:dyDescent="0.2">
      <c r="A20" s="1046" t="s">
        <v>549</v>
      </c>
      <c r="B20" s="1047">
        <v>500</v>
      </c>
      <c r="C20" s="1047">
        <v>0</v>
      </c>
      <c r="D20" s="1047"/>
    </row>
    <row r="21" spans="1:4" x14ac:dyDescent="0.2">
      <c r="A21" s="1046" t="s">
        <v>550</v>
      </c>
      <c r="B21" s="1047">
        <v>641639678</v>
      </c>
      <c r="C21" s="1047">
        <v>686213733</v>
      </c>
      <c r="D21" s="1047">
        <v>690478327</v>
      </c>
    </row>
    <row r="22" spans="1:4" x14ac:dyDescent="0.2">
      <c r="A22" s="1046" t="s">
        <v>551</v>
      </c>
      <c r="B22" s="1047">
        <v>0</v>
      </c>
      <c r="C22" s="1047">
        <v>133124</v>
      </c>
      <c r="D22" s="1047">
        <v>103994</v>
      </c>
    </row>
    <row r="23" spans="1:4" x14ac:dyDescent="0.2">
      <c r="A23" s="1046" t="s">
        <v>552</v>
      </c>
      <c r="B23" s="1047">
        <v>0</v>
      </c>
      <c r="C23" s="1047">
        <v>81198</v>
      </c>
      <c r="D23" s="1047">
        <v>92850</v>
      </c>
    </row>
    <row r="24" spans="1:4" x14ac:dyDescent="0.2">
      <c r="A24" s="1046" t="s">
        <v>553</v>
      </c>
      <c r="B24" s="1047">
        <v>0</v>
      </c>
      <c r="C24" s="1047">
        <v>61784</v>
      </c>
      <c r="D24" s="1047">
        <v>58714</v>
      </c>
    </row>
    <row r="25" spans="1:4" x14ac:dyDescent="0.2">
      <c r="A25" s="1046" t="s">
        <v>554</v>
      </c>
      <c r="B25" s="1047">
        <v>286079</v>
      </c>
      <c r="C25" s="1047">
        <v>0</v>
      </c>
      <c r="D25" s="1047">
        <v>6471278</v>
      </c>
    </row>
    <row r="26" spans="1:4" x14ac:dyDescent="0.2">
      <c r="A26" s="1046" t="s">
        <v>555</v>
      </c>
      <c r="B26" s="1047">
        <v>2955274</v>
      </c>
      <c r="C26" s="1047">
        <v>1880769</v>
      </c>
      <c r="D26" s="1047">
        <v>1269095</v>
      </c>
    </row>
    <row r="27" spans="1:4" x14ac:dyDescent="0.2">
      <c r="A27" s="1046" t="s">
        <v>556</v>
      </c>
      <c r="B27" s="1047">
        <v>23243469</v>
      </c>
      <c r="C27" s="1047">
        <v>25508848</v>
      </c>
      <c r="D27" s="1047">
        <v>25106870</v>
      </c>
    </row>
    <row r="28" spans="1:4" x14ac:dyDescent="0.2">
      <c r="A28" s="1046" t="s">
        <v>557</v>
      </c>
      <c r="B28" s="1047">
        <v>9896729</v>
      </c>
      <c r="C28" s="1047">
        <v>11548910</v>
      </c>
      <c r="D28" s="1047">
        <v>10827085</v>
      </c>
    </row>
    <row r="29" spans="1:4" x14ac:dyDescent="0.2">
      <c r="A29" s="1046" t="s">
        <v>558</v>
      </c>
      <c r="B29" s="1047">
        <v>7044797</v>
      </c>
      <c r="C29" s="1047">
        <v>7293300</v>
      </c>
      <c r="D29" s="1047">
        <v>6465576</v>
      </c>
    </row>
    <row r="30" spans="1:4" x14ac:dyDescent="0.2">
      <c r="A30" s="1046" t="s">
        <v>559</v>
      </c>
      <c r="B30" s="1047">
        <v>0</v>
      </c>
      <c r="C30" s="1047">
        <v>37000</v>
      </c>
      <c r="D30" s="1047">
        <v>1066833</v>
      </c>
    </row>
    <row r="31" spans="1:4" x14ac:dyDescent="0.2">
      <c r="A31" s="1046" t="s">
        <v>560</v>
      </c>
      <c r="B31" s="1047">
        <v>857650</v>
      </c>
      <c r="C31" s="1047">
        <v>1207250</v>
      </c>
      <c r="D31" s="1047">
        <v>38700</v>
      </c>
    </row>
    <row r="32" spans="1:4" x14ac:dyDescent="0.2">
      <c r="A32" s="1046" t="s">
        <v>561</v>
      </c>
      <c r="B32" s="1047">
        <v>59178</v>
      </c>
      <c r="C32" s="1047">
        <v>0</v>
      </c>
      <c r="D32" s="1047">
        <v>25513663</v>
      </c>
    </row>
    <row r="33" spans="1:7" x14ac:dyDescent="0.2">
      <c r="A33" s="1046" t="s">
        <v>562</v>
      </c>
      <c r="B33" s="1047">
        <v>31749169</v>
      </c>
      <c r="C33" s="1047">
        <v>41474432</v>
      </c>
      <c r="D33" s="1047">
        <v>4776786</v>
      </c>
    </row>
    <row r="34" spans="1:7" x14ac:dyDescent="0.2">
      <c r="A34" s="1046" t="s">
        <v>563</v>
      </c>
      <c r="B34" s="1047">
        <v>4664765</v>
      </c>
      <c r="C34" s="1047">
        <v>5298924</v>
      </c>
      <c r="D34" s="1047">
        <v>15197857</v>
      </c>
    </row>
    <row r="35" spans="1:7" x14ac:dyDescent="0.2">
      <c r="A35" s="1046" t="s">
        <v>564</v>
      </c>
      <c r="B35" s="1047">
        <v>11429526</v>
      </c>
      <c r="C35" s="1047">
        <v>16898935</v>
      </c>
      <c r="D35" s="1047">
        <v>78450624</v>
      </c>
    </row>
    <row r="36" spans="1:7" x14ac:dyDescent="0.2">
      <c r="A36" s="1046" t="s">
        <v>565</v>
      </c>
      <c r="B36" s="1047">
        <v>135017709</v>
      </c>
      <c r="C36" s="1047">
        <v>121491707</v>
      </c>
      <c r="D36" s="1047">
        <v>1383390</v>
      </c>
    </row>
    <row r="37" spans="1:7" x14ac:dyDescent="0.2">
      <c r="A37" s="1046" t="s">
        <v>566</v>
      </c>
      <c r="B37" s="1047">
        <v>620000</v>
      </c>
      <c r="C37" s="1047">
        <v>356787</v>
      </c>
      <c r="D37" s="1047">
        <v>1298707</v>
      </c>
    </row>
    <row r="38" spans="1:7" x14ac:dyDescent="0.2">
      <c r="A38" s="1046" t="s">
        <v>567</v>
      </c>
      <c r="B38" s="1047">
        <v>0</v>
      </c>
      <c r="C38" s="1047">
        <v>210960</v>
      </c>
      <c r="D38" s="1047">
        <v>1648220</v>
      </c>
    </row>
    <row r="39" spans="1:7" x14ac:dyDescent="0.2">
      <c r="A39" s="1046" t="s">
        <v>568</v>
      </c>
      <c r="B39" s="1047">
        <v>255609</v>
      </c>
      <c r="C39" s="1047">
        <v>482961</v>
      </c>
      <c r="D39" s="1047">
        <v>9490673</v>
      </c>
    </row>
    <row r="40" spans="1:7" x14ac:dyDescent="0.2">
      <c r="A40" s="1046" t="s">
        <v>569</v>
      </c>
      <c r="B40" s="1047">
        <v>59621767</v>
      </c>
      <c r="C40" s="1047">
        <v>74678198</v>
      </c>
      <c r="D40" s="1047">
        <v>123474</v>
      </c>
    </row>
    <row r="41" spans="1:7" x14ac:dyDescent="0.2">
      <c r="A41" s="1046" t="s">
        <v>570</v>
      </c>
      <c r="B41" s="1047">
        <v>100623</v>
      </c>
      <c r="C41" s="1047">
        <v>390414</v>
      </c>
      <c r="D41" s="1047">
        <v>32432464</v>
      </c>
    </row>
    <row r="42" spans="1:7" x14ac:dyDescent="0.2">
      <c r="A42" s="1046" t="s">
        <v>571</v>
      </c>
      <c r="B42" s="1047">
        <v>0</v>
      </c>
      <c r="C42" s="1047">
        <v>1268961</v>
      </c>
      <c r="D42" s="1047">
        <v>466289</v>
      </c>
    </row>
    <row r="43" spans="1:7" x14ac:dyDescent="0.2">
      <c r="A43" s="1046"/>
      <c r="B43" s="1047"/>
      <c r="C43" s="1047"/>
      <c r="D43" s="1047"/>
    </row>
    <row r="44" spans="1:7" s="1050" customFormat="1" ht="22.5" customHeight="1" x14ac:dyDescent="0.2">
      <c r="A44" s="1048" t="s">
        <v>298</v>
      </c>
      <c r="B44" s="1049">
        <f>SUM(B4:B43)</f>
        <v>1280763831</v>
      </c>
      <c r="C44" s="1049">
        <f t="shared" ref="C44:D44" si="0">SUM(C4:C43)</f>
        <v>1319757282</v>
      </c>
      <c r="D44" s="1049">
        <f t="shared" si="0"/>
        <v>1332713243</v>
      </c>
    </row>
    <row r="45" spans="1:7" x14ac:dyDescent="0.2">
      <c r="A45" s="897"/>
      <c r="B45" s="897"/>
      <c r="C45" s="897"/>
      <c r="D45" s="897"/>
      <c r="F45" s="1051"/>
      <c r="G45" s="1051"/>
    </row>
    <row r="46" spans="1:7" x14ac:dyDescent="0.2">
      <c r="A46" s="897"/>
      <c r="B46" s="897"/>
      <c r="C46" s="897"/>
      <c r="D46" s="897"/>
      <c r="F46" s="1051"/>
      <c r="G46" s="1051"/>
    </row>
    <row r="47" spans="1:7" x14ac:dyDescent="0.2">
      <c r="A47" s="897"/>
      <c r="B47" s="897"/>
      <c r="C47" s="897"/>
      <c r="D47" s="897"/>
      <c r="F47" s="1051"/>
      <c r="G47" s="1051"/>
    </row>
    <row r="48" spans="1:7" x14ac:dyDescent="0.2">
      <c r="A48" s="897"/>
      <c r="B48" s="897"/>
      <c r="C48" s="897"/>
      <c r="D48" s="897"/>
      <c r="F48" s="1051"/>
      <c r="G48" s="1051"/>
    </row>
    <row r="49" spans="1:7" x14ac:dyDescent="0.2">
      <c r="A49" s="897"/>
      <c r="B49" s="897"/>
      <c r="C49" s="897"/>
      <c r="D49" s="897"/>
      <c r="F49" s="1051"/>
      <c r="G49" s="1051"/>
    </row>
    <row r="50" spans="1:7" x14ac:dyDescent="0.2">
      <c r="A50" s="897"/>
      <c r="B50" s="897"/>
      <c r="C50" s="897"/>
      <c r="D50" s="897"/>
      <c r="F50" s="1051"/>
      <c r="G50" s="1051"/>
    </row>
    <row r="51" spans="1:7" x14ac:dyDescent="0.2">
      <c r="A51" s="897"/>
      <c r="B51" s="897"/>
      <c r="C51" s="897"/>
      <c r="D51" s="897"/>
      <c r="F51" s="1051"/>
      <c r="G51" s="1051"/>
    </row>
    <row r="52" spans="1:7" x14ac:dyDescent="0.2">
      <c r="A52" s="897"/>
      <c r="B52" s="897"/>
      <c r="C52" s="897"/>
      <c r="D52" s="897"/>
      <c r="F52" s="1051"/>
      <c r="G52" s="1051"/>
    </row>
    <row r="53" spans="1:7" x14ac:dyDescent="0.2">
      <c r="A53" s="897"/>
      <c r="B53" s="897"/>
      <c r="C53" s="897"/>
      <c r="D53" s="897"/>
      <c r="F53" s="1051"/>
      <c r="G53" s="1051"/>
    </row>
    <row r="54" spans="1:7" x14ac:dyDescent="0.2">
      <c r="A54" s="897"/>
      <c r="B54" s="897"/>
      <c r="C54" s="897"/>
      <c r="D54" s="897"/>
      <c r="F54" s="1051"/>
      <c r="G54" s="1051"/>
    </row>
    <row r="55" spans="1:7" x14ac:dyDescent="0.2">
      <c r="A55" s="897"/>
      <c r="B55" s="897"/>
      <c r="C55" s="897"/>
      <c r="D55" s="897"/>
      <c r="F55" s="1051"/>
      <c r="G55" s="1051"/>
    </row>
    <row r="56" spans="1:7" x14ac:dyDescent="0.2">
      <c r="A56" s="897"/>
      <c r="B56" s="897"/>
      <c r="C56" s="897"/>
      <c r="D56" s="897"/>
      <c r="F56" s="1051"/>
      <c r="G56" s="1051"/>
    </row>
    <row r="57" spans="1:7" x14ac:dyDescent="0.2">
      <c r="A57" s="897"/>
      <c r="B57" s="897"/>
      <c r="C57" s="897"/>
      <c r="D57" s="897"/>
      <c r="F57" s="1051"/>
      <c r="G57" s="1051"/>
    </row>
    <row r="58" spans="1:7" s="1045" customFormat="1" ht="28.35" customHeight="1" x14ac:dyDescent="0.2">
      <c r="A58" s="1043" t="s">
        <v>311</v>
      </c>
      <c r="B58" s="1044">
        <v>2020</v>
      </c>
      <c r="C58" s="1044" t="s">
        <v>359</v>
      </c>
      <c r="D58" s="1044" t="s">
        <v>360</v>
      </c>
    </row>
    <row r="59" spans="1:7" x14ac:dyDescent="0.2">
      <c r="A59" s="1052" t="s">
        <v>533</v>
      </c>
      <c r="B59" s="1053">
        <v>59899395</v>
      </c>
      <c r="C59" s="1053">
        <v>53726899</v>
      </c>
      <c r="D59" s="1053">
        <f t="shared" ref="D59:D72" si="1">+D4</f>
        <v>10931349</v>
      </c>
    </row>
    <row r="60" spans="1:7" x14ac:dyDescent="0.2">
      <c r="A60" s="1052" t="s">
        <v>534</v>
      </c>
      <c r="B60" s="1053">
        <v>56106603</v>
      </c>
      <c r="C60" s="1053">
        <v>54293141</v>
      </c>
      <c r="D60" s="1053">
        <f t="shared" si="1"/>
        <v>42762573</v>
      </c>
    </row>
    <row r="61" spans="1:7" x14ac:dyDescent="0.2">
      <c r="A61" s="1052" t="s">
        <v>535</v>
      </c>
      <c r="B61" s="1053">
        <v>20209193</v>
      </c>
      <c r="C61" s="1053">
        <v>19513601</v>
      </c>
      <c r="D61" s="1053">
        <f t="shared" si="1"/>
        <v>17168422</v>
      </c>
    </row>
    <row r="62" spans="1:7" x14ac:dyDescent="0.2">
      <c r="A62" s="1052" t="s">
        <v>536</v>
      </c>
      <c r="B62" s="1053">
        <v>52647314</v>
      </c>
      <c r="C62" s="1053">
        <v>44578107</v>
      </c>
      <c r="D62" s="1053">
        <f t="shared" si="1"/>
        <v>12362627</v>
      </c>
    </row>
    <row r="63" spans="1:7" x14ac:dyDescent="0.2">
      <c r="A63" s="1052" t="s">
        <v>537</v>
      </c>
      <c r="B63" s="1053">
        <v>34661632</v>
      </c>
      <c r="C63" s="1053">
        <v>32258606</v>
      </c>
      <c r="D63" s="1053">
        <f t="shared" si="1"/>
        <v>25476022</v>
      </c>
    </row>
    <row r="64" spans="1:7" x14ac:dyDescent="0.2">
      <c r="A64" s="1052" t="s">
        <v>538</v>
      </c>
      <c r="B64" s="1053">
        <v>19622193</v>
      </c>
      <c r="C64" s="1053">
        <v>20384014</v>
      </c>
      <c r="D64" s="1053">
        <f t="shared" si="1"/>
        <v>12663373</v>
      </c>
    </row>
    <row r="65" spans="1:4" x14ac:dyDescent="0.2">
      <c r="A65" s="1052" t="s">
        <v>539</v>
      </c>
      <c r="B65" s="1053">
        <v>778430</v>
      </c>
      <c r="C65" s="1053">
        <v>2251287</v>
      </c>
      <c r="D65" s="1053">
        <f t="shared" si="1"/>
        <v>46200</v>
      </c>
    </row>
    <row r="66" spans="1:4" ht="18.75" customHeight="1" x14ac:dyDescent="0.2">
      <c r="A66" s="1052" t="s">
        <v>540</v>
      </c>
      <c r="B66" s="1053">
        <v>31210</v>
      </c>
      <c r="C66" s="1053">
        <v>40100</v>
      </c>
      <c r="D66" s="1053">
        <f t="shared" si="1"/>
        <v>40100</v>
      </c>
    </row>
    <row r="67" spans="1:4" x14ac:dyDescent="0.2">
      <c r="A67" s="1052" t="s">
        <v>541</v>
      </c>
      <c r="B67" s="1053">
        <v>18930</v>
      </c>
      <c r="C67" s="1053">
        <v>0</v>
      </c>
      <c r="D67" s="1053">
        <f t="shared" si="1"/>
        <v>0</v>
      </c>
    </row>
    <row r="68" spans="1:4" ht="24" x14ac:dyDescent="0.2">
      <c r="A68" s="1052" t="s">
        <v>542</v>
      </c>
      <c r="B68" s="1053">
        <v>158333874</v>
      </c>
      <c r="C68" s="1053">
        <v>246287869</v>
      </c>
      <c r="D68" s="1053">
        <f t="shared" si="1"/>
        <v>225570170</v>
      </c>
    </row>
    <row r="69" spans="1:4" x14ac:dyDescent="0.2">
      <c r="A69" s="1052" t="s">
        <v>543</v>
      </c>
      <c r="B69" s="1053">
        <v>5000</v>
      </c>
      <c r="C69" s="1053">
        <v>77475</v>
      </c>
      <c r="D69" s="1053">
        <f t="shared" si="1"/>
        <v>2062303</v>
      </c>
    </row>
    <row r="70" spans="1:4" ht="24" x14ac:dyDescent="0.2">
      <c r="A70" s="1052" t="s">
        <v>544</v>
      </c>
      <c r="B70" s="1053">
        <v>955336</v>
      </c>
      <c r="C70" s="1053">
        <v>1089956</v>
      </c>
      <c r="D70" s="1053">
        <f t="shared" si="1"/>
        <v>1043338</v>
      </c>
    </row>
    <row r="71" spans="1:4" ht="36" x14ac:dyDescent="0.2">
      <c r="A71" s="1052" t="s">
        <v>545</v>
      </c>
      <c r="B71" s="1053">
        <v>3312</v>
      </c>
      <c r="C71" s="1053">
        <v>22440</v>
      </c>
      <c r="D71" s="1053">
        <f t="shared" si="1"/>
        <v>23920</v>
      </c>
    </row>
    <row r="72" spans="1:4" ht="24" x14ac:dyDescent="0.2">
      <c r="A72" s="1052" t="s">
        <v>546</v>
      </c>
      <c r="B72" s="1053">
        <v>9876174</v>
      </c>
      <c r="C72" s="1053">
        <v>10317614</v>
      </c>
      <c r="D72" s="1053">
        <f t="shared" si="1"/>
        <v>7012537</v>
      </c>
    </row>
    <row r="73" spans="1:4" x14ac:dyDescent="0.2">
      <c r="A73" s="1052" t="s">
        <v>572</v>
      </c>
      <c r="B73" s="1053">
        <v>4381121</v>
      </c>
      <c r="C73" s="1053">
        <v>0</v>
      </c>
      <c r="D73" s="1053">
        <v>0</v>
      </c>
    </row>
    <row r="74" spans="1:4" ht="15" customHeight="1" x14ac:dyDescent="0.2">
      <c r="A74" s="1052" t="s">
        <v>547</v>
      </c>
      <c r="B74" s="1053">
        <v>5473695</v>
      </c>
      <c r="C74" s="1053">
        <v>7452742</v>
      </c>
      <c r="D74" s="1053">
        <f t="shared" ref="D74:D88" si="2">+D18</f>
        <v>35740123</v>
      </c>
    </row>
    <row r="75" spans="1:4" x14ac:dyDescent="0.2">
      <c r="A75" s="1052" t="s">
        <v>548</v>
      </c>
      <c r="B75" s="1053">
        <v>968225</v>
      </c>
      <c r="C75" s="1053">
        <v>14218882</v>
      </c>
      <c r="D75" s="1053">
        <f t="shared" si="2"/>
        <v>27048717</v>
      </c>
    </row>
    <row r="76" spans="1:4" ht="24" x14ac:dyDescent="0.2">
      <c r="A76" s="1052" t="s">
        <v>549</v>
      </c>
      <c r="B76" s="1053">
        <v>250</v>
      </c>
      <c r="C76" s="1053">
        <v>0</v>
      </c>
      <c r="D76" s="1053">
        <f t="shared" si="2"/>
        <v>0</v>
      </c>
    </row>
    <row r="77" spans="1:4" ht="24" x14ac:dyDescent="0.2">
      <c r="A77" s="1052" t="s">
        <v>550</v>
      </c>
      <c r="B77" s="1053">
        <v>623343004</v>
      </c>
      <c r="C77" s="1053">
        <v>664268602</v>
      </c>
      <c r="D77" s="1053">
        <f t="shared" si="2"/>
        <v>690478327</v>
      </c>
    </row>
    <row r="78" spans="1:4" x14ac:dyDescent="0.2">
      <c r="A78" s="1052" t="s">
        <v>551</v>
      </c>
      <c r="B78" s="1053">
        <v>47408</v>
      </c>
      <c r="C78" s="1053">
        <v>133124</v>
      </c>
      <c r="D78" s="1053">
        <f t="shared" si="2"/>
        <v>103994</v>
      </c>
    </row>
    <row r="79" spans="1:4" ht="24" x14ac:dyDescent="0.2">
      <c r="A79" s="1052" t="s">
        <v>552</v>
      </c>
      <c r="B79" s="1053">
        <v>16000</v>
      </c>
      <c r="C79" s="1053">
        <v>81198</v>
      </c>
      <c r="D79" s="1053">
        <f t="shared" si="2"/>
        <v>92850</v>
      </c>
    </row>
    <row r="80" spans="1:4" x14ac:dyDescent="0.2">
      <c r="A80" s="1052" t="s">
        <v>553</v>
      </c>
      <c r="B80" s="1053">
        <v>36592</v>
      </c>
      <c r="C80" s="1053">
        <v>61784</v>
      </c>
      <c r="D80" s="1053">
        <f t="shared" si="2"/>
        <v>58714</v>
      </c>
    </row>
    <row r="81" spans="1:4" ht="36" x14ac:dyDescent="0.2">
      <c r="A81" s="1052" t="s">
        <v>554</v>
      </c>
      <c r="B81" s="1053">
        <v>115660</v>
      </c>
      <c r="C81" s="1053">
        <v>44800</v>
      </c>
      <c r="D81" s="1053">
        <f t="shared" si="2"/>
        <v>6471278</v>
      </c>
    </row>
    <row r="82" spans="1:4" ht="24" x14ac:dyDescent="0.2">
      <c r="A82" s="1052" t="s">
        <v>555</v>
      </c>
      <c r="B82" s="1053">
        <v>3061026</v>
      </c>
      <c r="C82" s="1053">
        <v>2252028</v>
      </c>
      <c r="D82" s="1053">
        <f t="shared" si="2"/>
        <v>1269095</v>
      </c>
    </row>
    <row r="83" spans="1:4" ht="24" x14ac:dyDescent="0.2">
      <c r="A83" s="1052" t="s">
        <v>556</v>
      </c>
      <c r="B83" s="1053">
        <v>29608836</v>
      </c>
      <c r="C83" s="1053">
        <v>32458298</v>
      </c>
      <c r="D83" s="1053">
        <f t="shared" si="2"/>
        <v>25106870</v>
      </c>
    </row>
    <row r="84" spans="1:4" ht="36" x14ac:dyDescent="0.2">
      <c r="A84" s="1052" t="s">
        <v>557</v>
      </c>
      <c r="B84" s="1053">
        <v>11162138</v>
      </c>
      <c r="C84" s="1053">
        <v>12337759</v>
      </c>
      <c r="D84" s="1053">
        <f t="shared" si="2"/>
        <v>10827085</v>
      </c>
    </row>
    <row r="85" spans="1:4" ht="36" x14ac:dyDescent="0.2">
      <c r="A85" s="1052" t="s">
        <v>573</v>
      </c>
      <c r="B85" s="1053">
        <v>7678564</v>
      </c>
      <c r="C85" s="1053">
        <v>8104397</v>
      </c>
      <c r="D85" s="1053">
        <f t="shared" si="2"/>
        <v>6465576</v>
      </c>
    </row>
    <row r="86" spans="1:4" x14ac:dyDescent="0.2">
      <c r="A86" s="1052" t="s">
        <v>559</v>
      </c>
      <c r="B86" s="1053">
        <v>100000</v>
      </c>
      <c r="C86" s="1053">
        <v>77000</v>
      </c>
      <c r="D86" s="1053">
        <f t="shared" si="2"/>
        <v>1066833</v>
      </c>
    </row>
    <row r="87" spans="1:4" ht="29.25" customHeight="1" x14ac:dyDescent="0.2">
      <c r="A87" s="1052" t="s">
        <v>560</v>
      </c>
      <c r="B87" s="1053">
        <v>1081191</v>
      </c>
      <c r="C87" s="1053">
        <v>1083090</v>
      </c>
      <c r="D87" s="1053">
        <f t="shared" si="2"/>
        <v>38700</v>
      </c>
    </row>
    <row r="88" spans="1:4" ht="24" x14ac:dyDescent="0.2">
      <c r="A88" s="1052" t="s">
        <v>561</v>
      </c>
      <c r="B88" s="1053">
        <v>106104</v>
      </c>
      <c r="C88" s="1053">
        <v>10021</v>
      </c>
      <c r="D88" s="1053">
        <f t="shared" si="2"/>
        <v>25513663</v>
      </c>
    </row>
    <row r="89" spans="1:4" ht="24" x14ac:dyDescent="0.2">
      <c r="A89" s="1052" t="s">
        <v>574</v>
      </c>
      <c r="B89" s="1053">
        <v>407799</v>
      </c>
      <c r="C89" s="1053">
        <v>1264877</v>
      </c>
      <c r="D89" s="1053">
        <v>0</v>
      </c>
    </row>
    <row r="90" spans="1:4" ht="24" x14ac:dyDescent="0.2">
      <c r="A90" s="1052" t="s">
        <v>562</v>
      </c>
      <c r="B90" s="1053">
        <v>655542</v>
      </c>
      <c r="C90" s="1053">
        <v>1614070</v>
      </c>
      <c r="D90" s="1053">
        <f>+D33</f>
        <v>4776786</v>
      </c>
    </row>
    <row r="91" spans="1:4" x14ac:dyDescent="0.2">
      <c r="A91" s="1054"/>
      <c r="B91" s="1055"/>
      <c r="C91" s="1055"/>
      <c r="D91" s="1055"/>
    </row>
    <row r="92" spans="1:4" ht="24" x14ac:dyDescent="0.2">
      <c r="A92" s="1056" t="s">
        <v>311</v>
      </c>
      <c r="B92" s="1057">
        <v>2020</v>
      </c>
      <c r="C92" s="1057" t="s">
        <v>359</v>
      </c>
      <c r="D92" s="1057" t="s">
        <v>360</v>
      </c>
    </row>
    <row r="93" spans="1:4" ht="36" x14ac:dyDescent="0.2">
      <c r="A93" s="1052" t="s">
        <v>563</v>
      </c>
      <c r="B93" s="1053">
        <v>6484268</v>
      </c>
      <c r="C93" s="1053">
        <v>5798279</v>
      </c>
      <c r="D93" s="1053">
        <f>+D34</f>
        <v>15197857</v>
      </c>
    </row>
    <row r="94" spans="1:4" x14ac:dyDescent="0.2">
      <c r="A94" s="1052" t="s">
        <v>564</v>
      </c>
      <c r="B94" s="1053">
        <v>15461424</v>
      </c>
      <c r="C94" s="1053">
        <v>19170063</v>
      </c>
      <c r="D94" s="1053">
        <f>+D35</f>
        <v>78450624</v>
      </c>
    </row>
    <row r="95" spans="1:4" ht="24" x14ac:dyDescent="0.2">
      <c r="A95" s="1052" t="s">
        <v>565</v>
      </c>
      <c r="B95" s="1053">
        <v>139397271</v>
      </c>
      <c r="C95" s="1053">
        <v>159748274</v>
      </c>
      <c r="D95" s="1053">
        <f>+D36</f>
        <v>1383390</v>
      </c>
    </row>
    <row r="96" spans="1:4" ht="24" x14ac:dyDescent="0.2">
      <c r="A96" s="1052" t="s">
        <v>575</v>
      </c>
      <c r="B96" s="1053">
        <v>0</v>
      </c>
      <c r="C96" s="1053">
        <v>59027</v>
      </c>
      <c r="D96" s="1055">
        <v>0</v>
      </c>
    </row>
    <row r="97" spans="1:4" ht="36" x14ac:dyDescent="0.2">
      <c r="A97" s="1052" t="s">
        <v>566</v>
      </c>
      <c r="B97" s="1053">
        <v>311050</v>
      </c>
      <c r="C97" s="1053">
        <v>602538</v>
      </c>
      <c r="D97" s="1053">
        <f t="shared" ref="D97:D102" si="3">+D37</f>
        <v>1298707</v>
      </c>
    </row>
    <row r="98" spans="1:4" ht="24" x14ac:dyDescent="0.2">
      <c r="A98" s="1052" t="s">
        <v>567</v>
      </c>
      <c r="B98" s="1053">
        <v>395444</v>
      </c>
      <c r="C98" s="1053">
        <v>226477</v>
      </c>
      <c r="D98" s="1053">
        <f t="shared" si="3"/>
        <v>1648220</v>
      </c>
    </row>
    <row r="99" spans="1:4" ht="24" x14ac:dyDescent="0.2">
      <c r="A99" s="1052" t="s">
        <v>568</v>
      </c>
      <c r="B99" s="1053">
        <v>516985</v>
      </c>
      <c r="C99" s="1053">
        <v>14694862</v>
      </c>
      <c r="D99" s="1053">
        <f t="shared" si="3"/>
        <v>9490673</v>
      </c>
    </row>
    <row r="100" spans="1:4" ht="24" x14ac:dyDescent="0.2">
      <c r="A100" s="1052" t="s">
        <v>569</v>
      </c>
      <c r="B100" s="1053">
        <v>77274044</v>
      </c>
      <c r="C100" s="1053">
        <v>82742022</v>
      </c>
      <c r="D100" s="1053">
        <f t="shared" si="3"/>
        <v>123474</v>
      </c>
    </row>
    <row r="101" spans="1:4" ht="36" x14ac:dyDescent="0.2">
      <c r="A101" s="1052" t="s">
        <v>570</v>
      </c>
      <c r="B101" s="1053">
        <v>7744218</v>
      </c>
      <c r="C101" s="1053">
        <v>3526566</v>
      </c>
      <c r="D101" s="1053">
        <f t="shared" si="3"/>
        <v>32432464</v>
      </c>
    </row>
    <row r="102" spans="1:4" ht="24" x14ac:dyDescent="0.2">
      <c r="A102" s="1052" t="s">
        <v>571</v>
      </c>
      <c r="B102" s="1053">
        <v>0</v>
      </c>
      <c r="C102" s="1053">
        <v>1986329</v>
      </c>
      <c r="D102" s="1053">
        <f t="shared" si="3"/>
        <v>466289</v>
      </c>
    </row>
    <row r="103" spans="1:4" s="1050" customFormat="1" ht="22.5" customHeight="1" x14ac:dyDescent="0.2">
      <c r="A103" s="1058" t="s">
        <v>298</v>
      </c>
      <c r="B103" s="1049">
        <f>SUM(B59:B102)</f>
        <v>1348978475</v>
      </c>
      <c r="C103" s="1049">
        <f>SUM(C59:C102)</f>
        <v>1518858218</v>
      </c>
      <c r="D103" s="1049">
        <f>SUM(D59:D102)</f>
        <v>1332713243</v>
      </c>
    </row>
    <row r="104" spans="1:4" x14ac:dyDescent="0.2">
      <c r="A104" s="897"/>
      <c r="B104" s="897"/>
      <c r="C104" s="897"/>
      <c r="D104" s="897"/>
    </row>
    <row r="105" spans="1:4" x14ac:dyDescent="0.2">
      <c r="A105" s="897"/>
      <c r="B105" s="897"/>
      <c r="C105" s="897"/>
      <c r="D105" s="897"/>
    </row>
    <row r="106" spans="1:4" x14ac:dyDescent="0.2">
      <c r="A106" s="897"/>
      <c r="B106" s="897"/>
      <c r="C106" s="897"/>
      <c r="D106" s="897"/>
    </row>
    <row r="107" spans="1:4" x14ac:dyDescent="0.2">
      <c r="A107" s="897"/>
      <c r="B107" s="897"/>
      <c r="C107" s="897"/>
      <c r="D107" s="897"/>
    </row>
    <row r="108" spans="1:4" x14ac:dyDescent="0.2">
      <c r="A108" s="897"/>
      <c r="B108" s="897"/>
      <c r="C108" s="897"/>
      <c r="D108" s="897"/>
    </row>
    <row r="109" spans="1:4" x14ac:dyDescent="0.2">
      <c r="A109" s="897"/>
      <c r="B109" s="897"/>
      <c r="C109" s="897"/>
      <c r="D109" s="897"/>
    </row>
    <row r="110" spans="1:4" x14ac:dyDescent="0.2">
      <c r="A110" s="897"/>
      <c r="B110" s="897"/>
      <c r="C110" s="897"/>
      <c r="D110" s="897"/>
    </row>
    <row r="111" spans="1:4" x14ac:dyDescent="0.2">
      <c r="A111" s="897"/>
      <c r="B111" s="897"/>
      <c r="C111" s="897"/>
      <c r="D111" s="897"/>
    </row>
    <row r="112" spans="1:4" x14ac:dyDescent="0.2">
      <c r="A112" s="897"/>
      <c r="B112" s="897"/>
      <c r="C112" s="897"/>
      <c r="D112" s="897"/>
    </row>
    <row r="113" spans="1:4" x14ac:dyDescent="0.2">
      <c r="A113" s="897"/>
      <c r="B113" s="897"/>
      <c r="C113" s="897"/>
      <c r="D113" s="897"/>
    </row>
    <row r="114" spans="1:4" x14ac:dyDescent="0.2">
      <c r="A114" s="897"/>
      <c r="B114" s="897"/>
      <c r="C114" s="897"/>
      <c r="D114" s="897"/>
    </row>
    <row r="115" spans="1:4" x14ac:dyDescent="0.2">
      <c r="A115" s="897"/>
      <c r="B115" s="897"/>
      <c r="C115" s="897"/>
      <c r="D115" s="897"/>
    </row>
    <row r="116" spans="1:4" x14ac:dyDescent="0.2">
      <c r="A116" s="897"/>
      <c r="B116" s="897"/>
      <c r="C116" s="897"/>
      <c r="D116" s="897"/>
    </row>
    <row r="117" spans="1:4" x14ac:dyDescent="0.2">
      <c r="A117" s="897"/>
      <c r="B117" s="897"/>
      <c r="C117" s="897"/>
      <c r="D117" s="897"/>
    </row>
    <row r="118" spans="1:4" x14ac:dyDescent="0.2">
      <c r="A118" s="897"/>
      <c r="B118" s="897"/>
      <c r="C118" s="897"/>
      <c r="D118" s="897"/>
    </row>
    <row r="119" spans="1:4" x14ac:dyDescent="0.2">
      <c r="A119" s="897"/>
      <c r="B119" s="897"/>
      <c r="C119" s="897"/>
      <c r="D119" s="897"/>
    </row>
    <row r="120" spans="1:4" x14ac:dyDescent="0.2">
      <c r="A120" s="897"/>
      <c r="B120" s="897"/>
      <c r="C120" s="897"/>
      <c r="D120" s="897"/>
    </row>
    <row r="121" spans="1:4" x14ac:dyDescent="0.2">
      <c r="A121" s="897"/>
      <c r="B121" s="897"/>
      <c r="C121" s="897"/>
      <c r="D121" s="897"/>
    </row>
    <row r="122" spans="1:4" x14ac:dyDescent="0.2">
      <c r="A122" s="897"/>
      <c r="B122" s="897"/>
      <c r="C122" s="897"/>
      <c r="D122" s="897"/>
    </row>
    <row r="123" spans="1:4" x14ac:dyDescent="0.2">
      <c r="A123" s="897"/>
      <c r="B123" s="897"/>
      <c r="C123" s="897"/>
      <c r="D123" s="897"/>
    </row>
    <row r="124" spans="1:4" x14ac:dyDescent="0.2">
      <c r="A124" s="897"/>
      <c r="B124" s="897"/>
      <c r="C124" s="897"/>
      <c r="D124" s="897"/>
    </row>
    <row r="125" spans="1:4" x14ac:dyDescent="0.2">
      <c r="A125" s="897"/>
      <c r="B125" s="897"/>
      <c r="C125" s="897"/>
      <c r="D125" s="897"/>
    </row>
    <row r="126" spans="1:4" x14ac:dyDescent="0.2">
      <c r="A126" s="897"/>
      <c r="B126" s="897"/>
      <c r="C126" s="897"/>
      <c r="D126" s="897"/>
    </row>
    <row r="127" spans="1:4" x14ac:dyDescent="0.2">
      <c r="A127" s="897"/>
      <c r="B127" s="897"/>
      <c r="C127" s="897"/>
      <c r="D127" s="897"/>
    </row>
    <row r="128" spans="1:4" x14ac:dyDescent="0.2">
      <c r="A128" s="897"/>
      <c r="B128" s="897"/>
      <c r="C128" s="897"/>
      <c r="D128" s="897"/>
    </row>
    <row r="129" spans="1:4" x14ac:dyDescent="0.2">
      <c r="A129" s="897"/>
      <c r="B129" s="897"/>
      <c r="C129" s="897"/>
      <c r="D129" s="897"/>
    </row>
    <row r="130" spans="1:4" x14ac:dyDescent="0.2">
      <c r="A130" s="897"/>
      <c r="B130" s="897"/>
      <c r="C130" s="897"/>
      <c r="D130" s="897"/>
    </row>
    <row r="131" spans="1:4" x14ac:dyDescent="0.2">
      <c r="A131" s="897"/>
      <c r="B131" s="897"/>
      <c r="C131" s="897"/>
      <c r="D131" s="897"/>
    </row>
    <row r="132" spans="1:4" x14ac:dyDescent="0.2">
      <c r="A132" s="897"/>
      <c r="B132" s="897"/>
      <c r="C132" s="897"/>
      <c r="D132" s="897"/>
    </row>
    <row r="133" spans="1:4" x14ac:dyDescent="0.2">
      <c r="A133" s="897"/>
      <c r="B133" s="897"/>
      <c r="C133" s="897"/>
      <c r="D133" s="897"/>
    </row>
    <row r="134" spans="1:4" x14ac:dyDescent="0.2">
      <c r="A134" s="897"/>
      <c r="B134" s="897"/>
      <c r="C134" s="897"/>
      <c r="D134" s="897"/>
    </row>
    <row r="135" spans="1:4" x14ac:dyDescent="0.2">
      <c r="A135" s="897"/>
      <c r="B135" s="897"/>
      <c r="C135" s="897"/>
      <c r="D135" s="897"/>
    </row>
    <row r="136" spans="1:4" x14ac:dyDescent="0.2">
      <c r="A136" s="897"/>
      <c r="B136" s="897"/>
      <c r="C136" s="897"/>
      <c r="D136" s="897"/>
    </row>
    <row r="137" spans="1:4" x14ac:dyDescent="0.2">
      <c r="A137" s="897"/>
      <c r="B137" s="897"/>
      <c r="C137" s="897"/>
      <c r="D137" s="897"/>
    </row>
    <row r="138" spans="1:4" x14ac:dyDescent="0.2">
      <c r="A138" s="897"/>
      <c r="B138" s="897"/>
      <c r="C138" s="897"/>
      <c r="D138" s="897"/>
    </row>
    <row r="139" spans="1:4" s="1045" customFormat="1" ht="28.35" customHeight="1" x14ac:dyDescent="0.2">
      <c r="A139" s="1043" t="s">
        <v>312</v>
      </c>
      <c r="B139" s="1044">
        <v>2020</v>
      </c>
      <c r="C139" s="1044" t="s">
        <v>359</v>
      </c>
      <c r="D139" s="1044" t="s">
        <v>360</v>
      </c>
    </row>
    <row r="140" spans="1:4" x14ac:dyDescent="0.2">
      <c r="A140" s="1059" t="s">
        <v>533</v>
      </c>
      <c r="B140" s="1053">
        <v>58325027.25</v>
      </c>
      <c r="C140" s="1053">
        <f t="shared" ref="C140:D170" si="4">+C59</f>
        <v>53726899</v>
      </c>
      <c r="D140" s="1053">
        <f t="shared" si="4"/>
        <v>10931349</v>
      </c>
    </row>
    <row r="141" spans="1:4" x14ac:dyDescent="0.2">
      <c r="A141" s="1059" t="s">
        <v>534</v>
      </c>
      <c r="B141" s="1053">
        <v>54988775.609999999</v>
      </c>
      <c r="C141" s="1053">
        <f t="shared" si="4"/>
        <v>54293141</v>
      </c>
      <c r="D141" s="1053">
        <f t="shared" si="4"/>
        <v>42762573</v>
      </c>
    </row>
    <row r="142" spans="1:4" x14ac:dyDescent="0.2">
      <c r="A142" s="1059" t="s">
        <v>535</v>
      </c>
      <c r="B142" s="1053">
        <v>19947533.960000001</v>
      </c>
      <c r="C142" s="1053">
        <f t="shared" si="4"/>
        <v>19513601</v>
      </c>
      <c r="D142" s="1053">
        <f t="shared" si="4"/>
        <v>17168422</v>
      </c>
    </row>
    <row r="143" spans="1:4" x14ac:dyDescent="0.2">
      <c r="A143" s="1059" t="s">
        <v>536</v>
      </c>
      <c r="B143" s="1053">
        <v>43114792.82</v>
      </c>
      <c r="C143" s="1053">
        <f t="shared" si="4"/>
        <v>44578107</v>
      </c>
      <c r="D143" s="1053">
        <f t="shared" si="4"/>
        <v>12362627</v>
      </c>
    </row>
    <row r="144" spans="1:4" x14ac:dyDescent="0.2">
      <c r="A144" s="1059" t="s">
        <v>537</v>
      </c>
      <c r="B144" s="1053">
        <v>34191995.840000004</v>
      </c>
      <c r="C144" s="1053">
        <f t="shared" si="4"/>
        <v>32258606</v>
      </c>
      <c r="D144" s="1053">
        <f t="shared" si="4"/>
        <v>25476022</v>
      </c>
    </row>
    <row r="145" spans="1:4" x14ac:dyDescent="0.2">
      <c r="A145" s="1059" t="s">
        <v>538</v>
      </c>
      <c r="B145" s="1053">
        <v>18604481.239999998</v>
      </c>
      <c r="C145" s="1053">
        <f t="shared" si="4"/>
        <v>20384014</v>
      </c>
      <c r="D145" s="1053">
        <f t="shared" si="4"/>
        <v>12663373</v>
      </c>
    </row>
    <row r="146" spans="1:4" x14ac:dyDescent="0.2">
      <c r="A146" s="1059" t="s">
        <v>539</v>
      </c>
      <c r="B146" s="1053">
        <v>772918.96</v>
      </c>
      <c r="C146" s="1053">
        <f t="shared" si="4"/>
        <v>2251287</v>
      </c>
      <c r="D146" s="1053">
        <f t="shared" si="4"/>
        <v>46200</v>
      </c>
    </row>
    <row r="147" spans="1:4" ht="24" x14ac:dyDescent="0.2">
      <c r="A147" s="1059" t="s">
        <v>540</v>
      </c>
      <c r="B147" s="1053">
        <v>31176.080000000002</v>
      </c>
      <c r="C147" s="1053">
        <f t="shared" si="4"/>
        <v>40100</v>
      </c>
      <c r="D147" s="1053">
        <f t="shared" si="4"/>
        <v>40100</v>
      </c>
    </row>
    <row r="148" spans="1:4" x14ac:dyDescent="0.2">
      <c r="A148" s="1059" t="s">
        <v>541</v>
      </c>
      <c r="B148" s="1053">
        <v>16712.810000000001</v>
      </c>
      <c r="C148" s="1053">
        <f t="shared" si="4"/>
        <v>0</v>
      </c>
      <c r="D148" s="1053">
        <f t="shared" si="4"/>
        <v>0</v>
      </c>
    </row>
    <row r="149" spans="1:4" ht="24" x14ac:dyDescent="0.2">
      <c r="A149" s="1059" t="s">
        <v>542</v>
      </c>
      <c r="B149" s="1053">
        <v>31783575.5</v>
      </c>
      <c r="C149" s="1053">
        <f t="shared" si="4"/>
        <v>246287869</v>
      </c>
      <c r="D149" s="1053">
        <f t="shared" si="4"/>
        <v>225570170</v>
      </c>
    </row>
    <row r="150" spans="1:4" x14ac:dyDescent="0.2">
      <c r="A150" s="1059" t="s">
        <v>543</v>
      </c>
      <c r="B150" s="1053"/>
      <c r="C150" s="1053">
        <f t="shared" si="4"/>
        <v>77475</v>
      </c>
      <c r="D150" s="1053">
        <f t="shared" si="4"/>
        <v>2062303</v>
      </c>
    </row>
    <row r="151" spans="1:4" ht="24" x14ac:dyDescent="0.2">
      <c r="A151" s="1059" t="s">
        <v>544</v>
      </c>
      <c r="B151" s="1053">
        <v>919366.99</v>
      </c>
      <c r="C151" s="1053">
        <f t="shared" si="4"/>
        <v>1089956</v>
      </c>
      <c r="D151" s="1053">
        <f t="shared" si="4"/>
        <v>1043338</v>
      </c>
    </row>
    <row r="152" spans="1:4" ht="36" x14ac:dyDescent="0.2">
      <c r="A152" s="1059" t="s">
        <v>545</v>
      </c>
      <c r="B152" s="1053">
        <v>1805</v>
      </c>
      <c r="C152" s="1053">
        <f t="shared" si="4"/>
        <v>22440</v>
      </c>
      <c r="D152" s="1053">
        <f t="shared" si="4"/>
        <v>23920</v>
      </c>
    </row>
    <row r="153" spans="1:4" ht="24" x14ac:dyDescent="0.2">
      <c r="A153" s="1059" t="s">
        <v>546</v>
      </c>
      <c r="B153" s="1053">
        <v>7068442.8600000003</v>
      </c>
      <c r="C153" s="1053">
        <f t="shared" si="4"/>
        <v>10317614</v>
      </c>
      <c r="D153" s="1053">
        <f t="shared" si="4"/>
        <v>7012537</v>
      </c>
    </row>
    <row r="154" spans="1:4" x14ac:dyDescent="0.2">
      <c r="A154" s="1059" t="s">
        <v>572</v>
      </c>
      <c r="B154" s="1053">
        <v>4008716.87</v>
      </c>
      <c r="C154" s="1053">
        <f t="shared" si="4"/>
        <v>0</v>
      </c>
      <c r="D154" s="1053">
        <f t="shared" si="4"/>
        <v>0</v>
      </c>
    </row>
    <row r="155" spans="1:4" x14ac:dyDescent="0.2">
      <c r="A155" s="1059" t="s">
        <v>547</v>
      </c>
      <c r="B155" s="1053">
        <v>4610741.26</v>
      </c>
      <c r="C155" s="1053">
        <f t="shared" si="4"/>
        <v>7452742</v>
      </c>
      <c r="D155" s="1053">
        <f t="shared" si="4"/>
        <v>35740123</v>
      </c>
    </row>
    <row r="156" spans="1:4" x14ac:dyDescent="0.2">
      <c r="A156" s="1059" t="s">
        <v>548</v>
      </c>
      <c r="B156" s="1053">
        <v>463110.40000000002</v>
      </c>
      <c r="C156" s="1053">
        <f t="shared" si="4"/>
        <v>14218882</v>
      </c>
      <c r="D156" s="1053">
        <f t="shared" si="4"/>
        <v>27048717</v>
      </c>
    </row>
    <row r="157" spans="1:4" ht="24" x14ac:dyDescent="0.2">
      <c r="A157" s="1059" t="s">
        <v>549</v>
      </c>
      <c r="B157" s="1053">
        <v>97.65</v>
      </c>
      <c r="C157" s="1053">
        <f t="shared" si="4"/>
        <v>0</v>
      </c>
      <c r="D157" s="1053">
        <f t="shared" si="4"/>
        <v>0</v>
      </c>
    </row>
    <row r="158" spans="1:4" ht="24" x14ac:dyDescent="0.2">
      <c r="A158" s="1059" t="s">
        <v>550</v>
      </c>
      <c r="B158" s="1053">
        <v>592832665.72000003</v>
      </c>
      <c r="C158" s="1053">
        <f t="shared" si="4"/>
        <v>664268602</v>
      </c>
      <c r="D158" s="1053">
        <f t="shared" si="4"/>
        <v>690478327</v>
      </c>
    </row>
    <row r="159" spans="1:4" x14ac:dyDescent="0.2">
      <c r="A159" s="1059" t="s">
        <v>551</v>
      </c>
      <c r="B159" s="1053">
        <v>20551.5</v>
      </c>
      <c r="C159" s="1053">
        <f t="shared" si="4"/>
        <v>133124</v>
      </c>
      <c r="D159" s="1053">
        <f t="shared" si="4"/>
        <v>103994</v>
      </c>
    </row>
    <row r="160" spans="1:4" ht="24" x14ac:dyDescent="0.2">
      <c r="A160" s="1059" t="s">
        <v>552</v>
      </c>
      <c r="B160" s="1053">
        <v>11620.5</v>
      </c>
      <c r="C160" s="1053">
        <f t="shared" si="4"/>
        <v>81198</v>
      </c>
      <c r="D160" s="1053">
        <f t="shared" si="4"/>
        <v>92850</v>
      </c>
    </row>
    <row r="161" spans="1:4" x14ac:dyDescent="0.2">
      <c r="A161" s="1059" t="s">
        <v>553</v>
      </c>
      <c r="B161" s="1053">
        <v>35781.599999999999</v>
      </c>
      <c r="C161" s="1053">
        <f t="shared" si="4"/>
        <v>61784</v>
      </c>
      <c r="D161" s="1053">
        <f t="shared" si="4"/>
        <v>58714</v>
      </c>
    </row>
    <row r="162" spans="1:4" ht="36" x14ac:dyDescent="0.2">
      <c r="A162" s="1059" t="s">
        <v>554</v>
      </c>
      <c r="B162" s="1053">
        <v>70860</v>
      </c>
      <c r="C162" s="1053">
        <f t="shared" si="4"/>
        <v>44800</v>
      </c>
      <c r="D162" s="1053">
        <f t="shared" si="4"/>
        <v>6471278</v>
      </c>
    </row>
    <row r="163" spans="1:4" ht="24" x14ac:dyDescent="0.2">
      <c r="A163" s="1059" t="s">
        <v>555</v>
      </c>
      <c r="B163" s="1053">
        <v>2071712.68</v>
      </c>
      <c r="C163" s="1053">
        <f t="shared" si="4"/>
        <v>2252028</v>
      </c>
      <c r="D163" s="1053">
        <f t="shared" si="4"/>
        <v>1269095</v>
      </c>
    </row>
    <row r="164" spans="1:4" ht="24" x14ac:dyDescent="0.2">
      <c r="A164" s="1059" t="s">
        <v>556</v>
      </c>
      <c r="B164" s="1053">
        <v>28555786.170000002</v>
      </c>
      <c r="C164" s="1053">
        <f t="shared" si="4"/>
        <v>32458298</v>
      </c>
      <c r="D164" s="1053">
        <f t="shared" si="4"/>
        <v>25106870</v>
      </c>
    </row>
    <row r="165" spans="1:4" ht="36" x14ac:dyDescent="0.2">
      <c r="A165" s="1059" t="s">
        <v>557</v>
      </c>
      <c r="B165" s="1053">
        <v>10723918.199999999</v>
      </c>
      <c r="C165" s="1053">
        <f t="shared" si="4"/>
        <v>12337759</v>
      </c>
      <c r="D165" s="1053">
        <f t="shared" si="4"/>
        <v>10827085</v>
      </c>
    </row>
    <row r="166" spans="1:4" ht="36" x14ac:dyDescent="0.2">
      <c r="A166" s="1059" t="s">
        <v>558</v>
      </c>
      <c r="B166" s="1053">
        <v>6881440.1200000001</v>
      </c>
      <c r="C166" s="1053">
        <f t="shared" si="4"/>
        <v>8104397</v>
      </c>
      <c r="D166" s="1053">
        <f t="shared" si="4"/>
        <v>6465576</v>
      </c>
    </row>
    <row r="167" spans="1:4" x14ac:dyDescent="0.2">
      <c r="A167" s="1059" t="s">
        <v>559</v>
      </c>
      <c r="B167" s="1053">
        <v>19300</v>
      </c>
      <c r="C167" s="1053">
        <f t="shared" si="4"/>
        <v>77000</v>
      </c>
      <c r="D167" s="1053">
        <f t="shared" si="4"/>
        <v>1066833</v>
      </c>
    </row>
    <row r="168" spans="1:4" ht="24" x14ac:dyDescent="0.2">
      <c r="A168" s="1059" t="s">
        <v>560</v>
      </c>
      <c r="B168" s="1053">
        <v>1060345.04</v>
      </c>
      <c r="C168" s="1053">
        <f t="shared" si="4"/>
        <v>1083090</v>
      </c>
      <c r="D168" s="1053">
        <f t="shared" si="4"/>
        <v>38700</v>
      </c>
    </row>
    <row r="169" spans="1:4" ht="24" x14ac:dyDescent="0.2">
      <c r="A169" s="1059" t="s">
        <v>561</v>
      </c>
      <c r="B169" s="1053">
        <v>94310.49</v>
      </c>
      <c r="C169" s="1053">
        <f t="shared" si="4"/>
        <v>10021</v>
      </c>
      <c r="D169" s="1053">
        <f t="shared" si="4"/>
        <v>25513663</v>
      </c>
    </row>
    <row r="170" spans="1:4" ht="24" x14ac:dyDescent="0.2">
      <c r="A170" s="1059" t="s">
        <v>574</v>
      </c>
      <c r="B170" s="1053">
        <v>0</v>
      </c>
      <c r="C170" s="1053">
        <f t="shared" si="4"/>
        <v>1264877</v>
      </c>
      <c r="D170" s="1053">
        <f t="shared" si="4"/>
        <v>0</v>
      </c>
    </row>
    <row r="171" spans="1:4" ht="24" x14ac:dyDescent="0.2">
      <c r="A171" s="1043" t="s">
        <v>312</v>
      </c>
      <c r="B171" s="1044">
        <v>2020</v>
      </c>
      <c r="C171" s="1044" t="s">
        <v>359</v>
      </c>
      <c r="D171" s="1044" t="s">
        <v>360</v>
      </c>
    </row>
    <row r="172" spans="1:4" ht="24" x14ac:dyDescent="0.2">
      <c r="A172" s="1059" t="s">
        <v>562</v>
      </c>
      <c r="B172" s="1053">
        <v>569438.67000000004</v>
      </c>
      <c r="C172" s="1053">
        <f>+C90</f>
        <v>1614070</v>
      </c>
      <c r="D172" s="1053">
        <f>+D90</f>
        <v>4776786</v>
      </c>
    </row>
    <row r="173" spans="1:4" ht="36" x14ac:dyDescent="0.2">
      <c r="A173" s="1059" t="s">
        <v>563</v>
      </c>
      <c r="B173" s="1053">
        <v>6461500.1299999999</v>
      </c>
      <c r="C173" s="1053">
        <f t="shared" ref="C173:D182" si="5">+C93</f>
        <v>5798279</v>
      </c>
      <c r="D173" s="1053">
        <f t="shared" si="5"/>
        <v>15197857</v>
      </c>
    </row>
    <row r="174" spans="1:4" x14ac:dyDescent="0.2">
      <c r="A174" s="1059" t="s">
        <v>564</v>
      </c>
      <c r="B174" s="1053">
        <v>14796165.880000001</v>
      </c>
      <c r="C174" s="1053">
        <f t="shared" si="5"/>
        <v>19170063</v>
      </c>
      <c r="D174" s="1053">
        <f t="shared" si="5"/>
        <v>78450624</v>
      </c>
    </row>
    <row r="175" spans="1:4" ht="24" x14ac:dyDescent="0.2">
      <c r="A175" s="1059" t="s">
        <v>565</v>
      </c>
      <c r="B175" s="1053">
        <v>88760892.560000002</v>
      </c>
      <c r="C175" s="1053">
        <f t="shared" si="5"/>
        <v>159748274</v>
      </c>
      <c r="D175" s="1053">
        <f t="shared" si="5"/>
        <v>1383390</v>
      </c>
    </row>
    <row r="176" spans="1:4" ht="24" x14ac:dyDescent="0.2">
      <c r="A176" s="1059" t="s">
        <v>575</v>
      </c>
      <c r="B176" s="1053">
        <v>0</v>
      </c>
      <c r="C176" s="1053">
        <f t="shared" si="5"/>
        <v>59027</v>
      </c>
      <c r="D176" s="1053">
        <f t="shared" si="5"/>
        <v>0</v>
      </c>
    </row>
    <row r="177" spans="1:4" ht="36" x14ac:dyDescent="0.2">
      <c r="A177" s="1059" t="s">
        <v>566</v>
      </c>
      <c r="B177" s="1053">
        <v>257572.92</v>
      </c>
      <c r="C177" s="1053">
        <f t="shared" si="5"/>
        <v>602538</v>
      </c>
      <c r="D177" s="1053">
        <f t="shared" si="5"/>
        <v>1298707</v>
      </c>
    </row>
    <row r="178" spans="1:4" ht="24" x14ac:dyDescent="0.2">
      <c r="A178" s="1059" t="s">
        <v>567</v>
      </c>
      <c r="B178" s="1053">
        <v>301185.59000000003</v>
      </c>
      <c r="C178" s="1053">
        <f t="shared" si="5"/>
        <v>226477</v>
      </c>
      <c r="D178" s="1053">
        <f t="shared" si="5"/>
        <v>1648220</v>
      </c>
    </row>
    <row r="179" spans="1:4" ht="24" x14ac:dyDescent="0.2">
      <c r="A179" s="1059" t="s">
        <v>568</v>
      </c>
      <c r="B179" s="1053">
        <v>480608.12</v>
      </c>
      <c r="C179" s="1053">
        <f t="shared" si="5"/>
        <v>14694862</v>
      </c>
      <c r="D179" s="1053">
        <f t="shared" si="5"/>
        <v>9490673</v>
      </c>
    </row>
    <row r="180" spans="1:4" ht="24" x14ac:dyDescent="0.2">
      <c r="A180" s="1059" t="s">
        <v>569</v>
      </c>
      <c r="B180" s="1053">
        <v>51787781.420000002</v>
      </c>
      <c r="C180" s="1053">
        <f t="shared" si="5"/>
        <v>82742022</v>
      </c>
      <c r="D180" s="1053">
        <f t="shared" si="5"/>
        <v>123474</v>
      </c>
    </row>
    <row r="181" spans="1:4" ht="36" x14ac:dyDescent="0.2">
      <c r="A181" s="1059" t="s">
        <v>570</v>
      </c>
      <c r="B181" s="1053">
        <v>6770053.3399999999</v>
      </c>
      <c r="C181" s="1053">
        <f t="shared" si="5"/>
        <v>3526566</v>
      </c>
      <c r="D181" s="1053">
        <f t="shared" si="5"/>
        <v>32432464</v>
      </c>
    </row>
    <row r="182" spans="1:4" ht="24" x14ac:dyDescent="0.2">
      <c r="A182" s="1059" t="s">
        <v>571</v>
      </c>
      <c r="B182" s="1053">
        <v>0</v>
      </c>
      <c r="C182" s="1053">
        <f t="shared" si="5"/>
        <v>1986329</v>
      </c>
      <c r="D182" s="1053">
        <f t="shared" si="5"/>
        <v>466289</v>
      </c>
    </row>
    <row r="183" spans="1:4" s="1050" customFormat="1" ht="22.5" customHeight="1" x14ac:dyDescent="0.2">
      <c r="A183" s="1048" t="s">
        <v>298</v>
      </c>
      <c r="B183" s="1049">
        <f>SUM(B140:B182)</f>
        <v>1091414781.7499998</v>
      </c>
      <c r="C183" s="1049">
        <f t="shared" ref="C183:D183" si="6">SUM(C140:C182)</f>
        <v>1518858218</v>
      </c>
      <c r="D183" s="1049">
        <f t="shared" si="6"/>
        <v>1332713243</v>
      </c>
    </row>
    <row r="184" spans="1:4" x14ac:dyDescent="0.2">
      <c r="A184" s="1060" t="s">
        <v>361</v>
      </c>
    </row>
    <row r="185" spans="1:4" x14ac:dyDescent="0.2">
      <c r="A185" s="1061" t="s">
        <v>362</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N53"/>
  <sheetViews>
    <sheetView view="pageLayout" topLeftCell="A7" zoomScale="90" zoomScaleNormal="100" zoomScaleSheetLayoutView="70" zoomScalePageLayoutView="90" workbookViewId="0">
      <selection activeCell="E16" sqref="E16:F16"/>
    </sheetView>
  </sheetViews>
  <sheetFormatPr baseColWidth="10" defaultColWidth="11.28515625" defaultRowHeight="11.25" x14ac:dyDescent="0.2"/>
  <cols>
    <col min="1" max="1" width="30.7109375" style="992" customWidth="1"/>
    <col min="2" max="14" width="8.7109375" style="992" customWidth="1"/>
    <col min="15" max="16384" width="11.28515625" style="992"/>
  </cols>
  <sheetData>
    <row r="1" spans="1:14" s="1064" customFormat="1" ht="14.25" customHeight="1" x14ac:dyDescent="0.2">
      <c r="A1" s="1062" t="s">
        <v>366</v>
      </c>
      <c r="B1" s="1063"/>
      <c r="C1" s="1063"/>
      <c r="D1" s="1063"/>
      <c r="E1" s="1063"/>
      <c r="F1" s="1063"/>
      <c r="G1" s="1063"/>
      <c r="H1" s="1063"/>
      <c r="I1" s="1063"/>
      <c r="J1" s="1063"/>
      <c r="K1" s="1063"/>
      <c r="L1" s="1063"/>
      <c r="M1" s="1063"/>
      <c r="N1" s="1063"/>
    </row>
    <row r="2" spans="1:14" ht="12" thickBot="1" x14ac:dyDescent="0.25">
      <c r="A2" s="229" t="s">
        <v>3926</v>
      </c>
      <c r="B2" s="229"/>
      <c r="C2" s="229"/>
      <c r="D2" s="229"/>
      <c r="E2" s="229"/>
      <c r="F2" s="229"/>
      <c r="G2" s="229"/>
      <c r="H2" s="229"/>
      <c r="I2" s="229"/>
      <c r="J2" s="229"/>
      <c r="K2" s="229"/>
      <c r="L2" s="229"/>
      <c r="M2" s="229"/>
      <c r="N2" s="229"/>
    </row>
    <row r="3" spans="1:14" s="1064" customFormat="1" ht="12.75" customHeight="1" thickBot="1" x14ac:dyDescent="0.25">
      <c r="A3" s="1320" t="s">
        <v>176</v>
      </c>
      <c r="B3" s="1322" t="s">
        <v>209</v>
      </c>
      <c r="C3" s="1323"/>
      <c r="D3" s="1323"/>
      <c r="E3" s="1323"/>
      <c r="F3" s="1324" t="s">
        <v>210</v>
      </c>
      <c r="G3" s="1325"/>
      <c r="H3" s="1326"/>
      <c r="I3" s="1324" t="s">
        <v>208</v>
      </c>
      <c r="J3" s="1325"/>
      <c r="K3" s="1325"/>
      <c r="L3" s="1325"/>
      <c r="M3" s="1325"/>
      <c r="N3" s="1326"/>
    </row>
    <row r="4" spans="1:14" s="1069" customFormat="1" ht="84.95" customHeight="1" thickBot="1" x14ac:dyDescent="0.25">
      <c r="A4" s="1321"/>
      <c r="B4" s="1065">
        <v>2020</v>
      </c>
      <c r="C4" s="1066">
        <v>2021</v>
      </c>
      <c r="D4" s="1066" t="s">
        <v>353</v>
      </c>
      <c r="E4" s="1067" t="s">
        <v>367</v>
      </c>
      <c r="F4" s="1065">
        <v>2020</v>
      </c>
      <c r="G4" s="1066">
        <v>2021</v>
      </c>
      <c r="H4" s="1066" t="s">
        <v>353</v>
      </c>
      <c r="I4" s="1065">
        <v>2020</v>
      </c>
      <c r="J4" s="1066" t="s">
        <v>359</v>
      </c>
      <c r="K4" s="1066" t="s">
        <v>353</v>
      </c>
      <c r="L4" s="1068" t="s">
        <v>368</v>
      </c>
      <c r="M4" s="1068" t="s">
        <v>367</v>
      </c>
      <c r="N4" s="1067" t="s">
        <v>369</v>
      </c>
    </row>
    <row r="5" spans="1:14" x14ac:dyDescent="0.2">
      <c r="A5" s="1070"/>
      <c r="B5" s="1071"/>
      <c r="C5" s="1072"/>
      <c r="D5" s="1072"/>
      <c r="E5" s="1073"/>
      <c r="F5" s="1071"/>
      <c r="G5" s="1072"/>
      <c r="H5" s="1074"/>
      <c r="I5" s="1071"/>
      <c r="J5" s="1072"/>
      <c r="K5" s="1074"/>
      <c r="L5" s="1073"/>
      <c r="M5" s="1073"/>
      <c r="N5" s="1074"/>
    </row>
    <row r="6" spans="1:14" ht="22.5" x14ac:dyDescent="0.2">
      <c r="A6" s="1075" t="s">
        <v>207</v>
      </c>
      <c r="B6" s="1076"/>
      <c r="C6" s="1077"/>
      <c r="D6" s="1077"/>
      <c r="E6" s="1078"/>
      <c r="F6" s="1076"/>
      <c r="G6" s="1077"/>
      <c r="H6" s="1079"/>
      <c r="I6" s="1076"/>
      <c r="J6" s="1077"/>
      <c r="K6" s="1079"/>
      <c r="L6" s="1078"/>
      <c r="M6" s="1078"/>
      <c r="N6" s="1079"/>
    </row>
    <row r="7" spans="1:14" x14ac:dyDescent="0.2">
      <c r="A7" s="1080" t="s">
        <v>177</v>
      </c>
      <c r="B7" s="1081"/>
      <c r="C7" s="1082"/>
      <c r="D7" s="1082"/>
      <c r="E7" s="1083"/>
      <c r="F7" s="1081"/>
      <c r="G7" s="1082"/>
      <c r="H7" s="1084"/>
      <c r="I7" s="1081"/>
      <c r="J7" s="1082"/>
      <c r="K7" s="1084"/>
      <c r="L7" s="1083"/>
      <c r="M7" s="1083"/>
      <c r="N7" s="1084"/>
    </row>
    <row r="8" spans="1:14" s="1064" customFormat="1" x14ac:dyDescent="0.2">
      <c r="A8" s="1085"/>
      <c r="B8" s="1081"/>
      <c r="C8" s="1082"/>
      <c r="D8" s="1082"/>
      <c r="E8" s="1083"/>
      <c r="F8" s="1081"/>
      <c r="G8" s="1082"/>
      <c r="H8" s="1084"/>
      <c r="I8" s="1081"/>
      <c r="J8" s="1082"/>
      <c r="K8" s="1084"/>
      <c r="L8" s="1083"/>
      <c r="M8" s="1083"/>
      <c r="N8" s="1084"/>
    </row>
    <row r="9" spans="1:14" x14ac:dyDescent="0.2">
      <c r="A9" s="1075" t="s">
        <v>182</v>
      </c>
      <c r="B9" s="1081"/>
      <c r="C9" s="1082"/>
      <c r="D9" s="1082"/>
      <c r="E9" s="1083"/>
      <c r="F9" s="1081"/>
      <c r="G9" s="1082"/>
      <c r="H9" s="1084"/>
      <c r="I9" s="1081"/>
      <c r="J9" s="1082"/>
      <c r="K9" s="1084"/>
      <c r="L9" s="1083"/>
      <c r="M9" s="1083"/>
      <c r="N9" s="1084"/>
    </row>
    <row r="10" spans="1:14" x14ac:dyDescent="0.2">
      <c r="A10" s="1086" t="s">
        <v>178</v>
      </c>
      <c r="B10" s="1081"/>
      <c r="C10" s="1082"/>
      <c r="D10" s="1082"/>
      <c r="E10" s="1083"/>
      <c r="F10" s="1081"/>
      <c r="G10" s="1082"/>
      <c r="H10" s="1084"/>
      <c r="I10" s="1081"/>
      <c r="J10" s="1082"/>
      <c r="K10" s="1084"/>
      <c r="L10" s="1083"/>
      <c r="M10" s="1083"/>
      <c r="N10" s="1084"/>
    </row>
    <row r="11" spans="1:14" x14ac:dyDescent="0.2">
      <c r="A11" s="1086" t="s">
        <v>179</v>
      </c>
      <c r="B11" s="1081"/>
      <c r="C11" s="1082"/>
      <c r="D11" s="1082"/>
      <c r="E11" s="1083"/>
      <c r="F11" s="1081"/>
      <c r="G11" s="1082"/>
      <c r="H11" s="1084"/>
      <c r="I11" s="1081"/>
      <c r="J11" s="1082"/>
      <c r="K11" s="1084"/>
      <c r="L11" s="1083"/>
      <c r="M11" s="1083"/>
      <c r="N11" s="1084"/>
    </row>
    <row r="12" spans="1:14" x14ac:dyDescent="0.2">
      <c r="A12" s="1086" t="s">
        <v>180</v>
      </c>
      <c r="B12" s="1081"/>
      <c r="C12" s="1082"/>
      <c r="D12" s="1082"/>
      <c r="E12" s="1083"/>
      <c r="F12" s="1081"/>
      <c r="G12" s="1082"/>
      <c r="H12" s="1084"/>
      <c r="I12" s="1081"/>
      <c r="J12" s="1082"/>
      <c r="K12" s="1084"/>
      <c r="L12" s="1083"/>
      <c r="M12" s="1083"/>
      <c r="N12" s="1084"/>
    </row>
    <row r="13" spans="1:14" x14ac:dyDescent="0.2">
      <c r="A13" s="1086" t="s">
        <v>181</v>
      </c>
      <c r="B13" s="1081"/>
      <c r="C13" s="1082"/>
      <c r="D13" s="1082"/>
      <c r="E13" s="1083"/>
      <c r="F13" s="1081"/>
      <c r="G13" s="1082"/>
      <c r="H13" s="1084"/>
      <c r="I13" s="1081"/>
      <c r="J13" s="1082"/>
      <c r="K13" s="1084"/>
      <c r="L13" s="1083"/>
      <c r="M13" s="1083"/>
      <c r="N13" s="1084"/>
    </row>
    <row r="14" spans="1:14" x14ac:dyDescent="0.2">
      <c r="A14" s="1086"/>
      <c r="B14" s="1076"/>
      <c r="C14" s="1077"/>
      <c r="D14" s="1077"/>
      <c r="E14" s="1078"/>
      <c r="F14" s="1076"/>
      <c r="G14" s="1077"/>
      <c r="H14" s="1079"/>
      <c r="I14" s="1076"/>
      <c r="J14" s="1077"/>
      <c r="K14" s="1079"/>
      <c r="L14" s="1078"/>
      <c r="M14" s="1078"/>
      <c r="N14" s="1079"/>
    </row>
    <row r="15" spans="1:14" x14ac:dyDescent="0.2">
      <c r="A15" s="1075" t="s">
        <v>201</v>
      </c>
      <c r="B15" s="1081"/>
      <c r="C15" s="1082"/>
      <c r="D15" s="1082"/>
      <c r="E15" s="1083"/>
      <c r="F15" s="1081"/>
      <c r="G15" s="1082"/>
      <c r="H15" s="1084"/>
      <c r="I15" s="1081"/>
      <c r="J15" s="1082"/>
      <c r="K15" s="1084"/>
      <c r="L15" s="1083"/>
      <c r="M15" s="1083"/>
      <c r="N15" s="1084"/>
    </row>
    <row r="16" spans="1:14" x14ac:dyDescent="0.2">
      <c r="A16" s="1086" t="s">
        <v>183</v>
      </c>
      <c r="B16" s="1081"/>
      <c r="C16" s="1082"/>
      <c r="D16" s="1082"/>
      <c r="E16" s="1083"/>
      <c r="F16" s="1081"/>
      <c r="G16" s="1082"/>
      <c r="H16" s="1084"/>
      <c r="I16" s="1081"/>
      <c r="J16" s="1082"/>
      <c r="K16" s="1084"/>
      <c r="L16" s="1083"/>
      <c r="M16" s="1083"/>
      <c r="N16" s="1084"/>
    </row>
    <row r="17" spans="1:14" x14ac:dyDescent="0.2">
      <c r="A17" s="1086" t="s">
        <v>184</v>
      </c>
      <c r="B17" s="1081"/>
      <c r="C17" s="1082"/>
      <c r="D17" s="1082"/>
      <c r="E17" s="1083"/>
      <c r="F17" s="1081"/>
      <c r="G17" s="1082"/>
      <c r="H17" s="1084"/>
      <c r="I17" s="1081"/>
      <c r="J17" s="1082"/>
      <c r="K17" s="1084"/>
      <c r="L17" s="1083"/>
      <c r="M17" s="1083"/>
      <c r="N17" s="1084"/>
    </row>
    <row r="18" spans="1:14" x14ac:dyDescent="0.2">
      <c r="A18" s="1086" t="s">
        <v>185</v>
      </c>
      <c r="B18" s="1081"/>
      <c r="C18" s="1082"/>
      <c r="D18" s="1082"/>
      <c r="E18" s="1083"/>
      <c r="F18" s="1081"/>
      <c r="G18" s="1082"/>
      <c r="H18" s="1084"/>
      <c r="I18" s="1081"/>
      <c r="J18" s="1082"/>
      <c r="K18" s="1084"/>
      <c r="L18" s="1083"/>
      <c r="M18" s="1083"/>
      <c r="N18" s="1084"/>
    </row>
    <row r="19" spans="1:14" x14ac:dyDescent="0.2">
      <c r="A19" s="1086" t="s">
        <v>186</v>
      </c>
      <c r="B19" s="1081"/>
      <c r="C19" s="1082"/>
      <c r="D19" s="1082"/>
      <c r="E19" s="1083"/>
      <c r="F19" s="1081"/>
      <c r="G19" s="1082"/>
      <c r="H19" s="1084"/>
      <c r="I19" s="1081"/>
      <c r="J19" s="1082"/>
      <c r="K19" s="1084"/>
      <c r="L19" s="1083"/>
      <c r="M19" s="1083"/>
      <c r="N19" s="1084"/>
    </row>
    <row r="20" spans="1:14" ht="22.5" x14ac:dyDescent="0.2">
      <c r="A20" s="1086" t="s">
        <v>187</v>
      </c>
      <c r="B20" s="1081"/>
      <c r="C20" s="1082"/>
      <c r="D20" s="1082"/>
      <c r="E20" s="1083"/>
      <c r="F20" s="1081"/>
      <c r="G20" s="1082"/>
      <c r="H20" s="1084"/>
      <c r="I20" s="1081"/>
      <c r="J20" s="1082"/>
      <c r="K20" s="1084"/>
      <c r="L20" s="1083"/>
      <c r="M20" s="1083"/>
      <c r="N20" s="1084"/>
    </row>
    <row r="21" spans="1:14" x14ac:dyDescent="0.2">
      <c r="A21" s="1087"/>
      <c r="B21" s="1081"/>
      <c r="C21" s="1082"/>
      <c r="D21" s="1082"/>
      <c r="E21" s="1083"/>
      <c r="F21" s="1081"/>
      <c r="G21" s="1082"/>
      <c r="H21" s="1084"/>
      <c r="I21" s="1081"/>
      <c r="J21" s="1082"/>
      <c r="K21" s="1084"/>
      <c r="L21" s="1083"/>
      <c r="M21" s="1083"/>
      <c r="N21" s="1084"/>
    </row>
    <row r="22" spans="1:14" x14ac:dyDescent="0.2">
      <c r="A22" s="1088" t="s">
        <v>202</v>
      </c>
      <c r="B22" s="1081"/>
      <c r="C22" s="1082"/>
      <c r="D22" s="1082"/>
      <c r="E22" s="1083"/>
      <c r="F22" s="1081"/>
      <c r="G22" s="1082"/>
      <c r="H22" s="1084"/>
      <c r="I22" s="1081"/>
      <c r="J22" s="1082"/>
      <c r="K22" s="1084"/>
      <c r="L22" s="1083"/>
      <c r="M22" s="1083"/>
      <c r="N22" s="1084"/>
    </row>
    <row r="23" spans="1:14" x14ac:dyDescent="0.2">
      <c r="A23" s="1086" t="s">
        <v>188</v>
      </c>
      <c r="B23" s="1081"/>
      <c r="C23" s="1082"/>
      <c r="D23" s="1082"/>
      <c r="E23" s="1083"/>
      <c r="F23" s="1081"/>
      <c r="G23" s="1082"/>
      <c r="H23" s="1084"/>
      <c r="I23" s="1081"/>
      <c r="J23" s="1082"/>
      <c r="K23" s="1084"/>
      <c r="L23" s="1083"/>
      <c r="M23" s="1083"/>
      <c r="N23" s="1084"/>
    </row>
    <row r="24" spans="1:14" x14ac:dyDescent="0.2">
      <c r="A24" s="1086" t="s">
        <v>189</v>
      </c>
      <c r="B24" s="1081"/>
      <c r="C24" s="1082"/>
      <c r="D24" s="1082"/>
      <c r="E24" s="1083"/>
      <c r="F24" s="1081"/>
      <c r="G24" s="1082"/>
      <c r="H24" s="1084"/>
      <c r="I24" s="1081"/>
      <c r="J24" s="1082"/>
      <c r="K24" s="1084"/>
      <c r="L24" s="1083"/>
      <c r="M24" s="1083"/>
      <c r="N24" s="1084"/>
    </row>
    <row r="25" spans="1:14" x14ac:dyDescent="0.2">
      <c r="A25" s="1086" t="s">
        <v>190</v>
      </c>
      <c r="B25" s="1081"/>
      <c r="C25" s="1082"/>
      <c r="D25" s="1082"/>
      <c r="E25" s="1083"/>
      <c r="F25" s="1081"/>
      <c r="G25" s="1082"/>
      <c r="H25" s="1084"/>
      <c r="I25" s="1081"/>
      <c r="J25" s="1082"/>
      <c r="K25" s="1084"/>
      <c r="L25" s="1083"/>
      <c r="M25" s="1083"/>
      <c r="N25" s="1084"/>
    </row>
    <row r="26" spans="1:14" x14ac:dyDescent="0.2">
      <c r="A26" s="1086"/>
      <c r="B26" s="1081"/>
      <c r="C26" s="1082"/>
      <c r="D26" s="1082"/>
      <c r="E26" s="1083"/>
      <c r="F26" s="1081"/>
      <c r="G26" s="1082"/>
      <c r="H26" s="1084"/>
      <c r="I26" s="1081"/>
      <c r="J26" s="1082"/>
      <c r="K26" s="1084"/>
      <c r="L26" s="1083"/>
      <c r="M26" s="1083"/>
      <c r="N26" s="1084"/>
    </row>
    <row r="27" spans="1:14" x14ac:dyDescent="0.2">
      <c r="A27" s="1088" t="s">
        <v>203</v>
      </c>
      <c r="B27" s="1081"/>
      <c r="C27" s="1082"/>
      <c r="D27" s="1082"/>
      <c r="E27" s="1083"/>
      <c r="F27" s="1081"/>
      <c r="G27" s="1082"/>
      <c r="H27" s="1084"/>
      <c r="I27" s="1081"/>
      <c r="J27" s="1082"/>
      <c r="K27" s="1084"/>
      <c r="L27" s="1083"/>
      <c r="M27" s="1083"/>
      <c r="N27" s="1084"/>
    </row>
    <row r="28" spans="1:14" x14ac:dyDescent="0.2">
      <c r="A28" s="1086" t="s">
        <v>191</v>
      </c>
      <c r="B28" s="1081"/>
      <c r="C28" s="1082"/>
      <c r="D28" s="1082"/>
      <c r="E28" s="1083"/>
      <c r="F28" s="1081"/>
      <c r="G28" s="1082"/>
      <c r="H28" s="1084"/>
      <c r="I28" s="1081"/>
      <c r="J28" s="1082"/>
      <c r="K28" s="1084"/>
      <c r="L28" s="1083"/>
      <c r="M28" s="1083"/>
      <c r="N28" s="1084"/>
    </row>
    <row r="29" spans="1:14" x14ac:dyDescent="0.2">
      <c r="A29" s="1086" t="s">
        <v>189</v>
      </c>
      <c r="B29" s="1081"/>
      <c r="C29" s="1082"/>
      <c r="D29" s="1082"/>
      <c r="E29" s="1083"/>
      <c r="F29" s="1081"/>
      <c r="G29" s="1082"/>
      <c r="H29" s="1084"/>
      <c r="I29" s="1081"/>
      <c r="J29" s="1082"/>
      <c r="K29" s="1084"/>
      <c r="L29" s="1083"/>
      <c r="M29" s="1083"/>
      <c r="N29" s="1084"/>
    </row>
    <row r="30" spans="1:14" x14ac:dyDescent="0.2">
      <c r="A30" s="1086"/>
      <c r="B30" s="1081"/>
      <c r="C30" s="1082"/>
      <c r="D30" s="1082"/>
      <c r="E30" s="1083"/>
      <c r="F30" s="1081"/>
      <c r="G30" s="1082"/>
      <c r="H30" s="1084"/>
      <c r="I30" s="1081"/>
      <c r="J30" s="1082"/>
      <c r="K30" s="1084"/>
      <c r="L30" s="1083"/>
      <c r="M30" s="1083"/>
      <c r="N30" s="1084"/>
    </row>
    <row r="31" spans="1:14" x14ac:dyDescent="0.2">
      <c r="A31" s="1088" t="s">
        <v>204</v>
      </c>
      <c r="B31" s="1081"/>
      <c r="C31" s="1082"/>
      <c r="D31" s="1082"/>
      <c r="E31" s="1083"/>
      <c r="F31" s="1081"/>
      <c r="G31" s="1082"/>
      <c r="H31" s="1084"/>
      <c r="I31" s="1081"/>
      <c r="J31" s="1082"/>
      <c r="K31" s="1084"/>
      <c r="L31" s="1083"/>
      <c r="M31" s="1083"/>
      <c r="N31" s="1084"/>
    </row>
    <row r="32" spans="1:14" x14ac:dyDescent="0.2">
      <c r="A32" s="1086" t="s">
        <v>192</v>
      </c>
      <c r="B32" s="1081"/>
      <c r="C32" s="1082"/>
      <c r="D32" s="1082"/>
      <c r="E32" s="1083"/>
      <c r="F32" s="1081"/>
      <c r="G32" s="1082"/>
      <c r="H32" s="1084"/>
      <c r="I32" s="1081"/>
      <c r="J32" s="1082"/>
      <c r="K32" s="1084"/>
      <c r="L32" s="1083"/>
      <c r="M32" s="1083"/>
      <c r="N32" s="1084"/>
    </row>
    <row r="33" spans="1:14" x14ac:dyDescent="0.2">
      <c r="A33" s="1086" t="s">
        <v>190</v>
      </c>
      <c r="B33" s="1081"/>
      <c r="C33" s="1082"/>
      <c r="D33" s="1082"/>
      <c r="E33" s="1083"/>
      <c r="F33" s="1081"/>
      <c r="G33" s="1082"/>
      <c r="H33" s="1084"/>
      <c r="I33" s="1081"/>
      <c r="J33" s="1082"/>
      <c r="K33" s="1084"/>
      <c r="L33" s="1083"/>
      <c r="M33" s="1083"/>
      <c r="N33" s="1084"/>
    </row>
    <row r="34" spans="1:14" x14ac:dyDescent="0.2">
      <c r="A34" s="1086" t="s">
        <v>193</v>
      </c>
      <c r="B34" s="1081"/>
      <c r="C34" s="1082"/>
      <c r="D34" s="1082"/>
      <c r="E34" s="1083"/>
      <c r="F34" s="1081"/>
      <c r="G34" s="1082"/>
      <c r="H34" s="1084"/>
      <c r="I34" s="1081"/>
      <c r="J34" s="1082"/>
      <c r="K34" s="1084"/>
      <c r="L34" s="1083"/>
      <c r="M34" s="1083"/>
      <c r="N34" s="1084"/>
    </row>
    <row r="35" spans="1:14" x14ac:dyDescent="0.2">
      <c r="A35" s="1086" t="s">
        <v>194</v>
      </c>
      <c r="B35" s="1081"/>
      <c r="C35" s="1082"/>
      <c r="D35" s="1082"/>
      <c r="E35" s="1083"/>
      <c r="F35" s="1081"/>
      <c r="G35" s="1082"/>
      <c r="H35" s="1084"/>
      <c r="I35" s="1081"/>
      <c r="J35" s="1082"/>
      <c r="K35" s="1084"/>
      <c r="L35" s="1083"/>
      <c r="M35" s="1083"/>
      <c r="N35" s="1084"/>
    </row>
    <row r="36" spans="1:14" x14ac:dyDescent="0.2">
      <c r="A36" s="1086"/>
      <c r="B36" s="1081"/>
      <c r="C36" s="1082"/>
      <c r="D36" s="1082"/>
      <c r="E36" s="1083"/>
      <c r="F36" s="1081"/>
      <c r="G36" s="1082"/>
      <c r="H36" s="1084"/>
      <c r="I36" s="1081"/>
      <c r="J36" s="1082"/>
      <c r="K36" s="1084"/>
      <c r="L36" s="1083"/>
      <c r="M36" s="1083"/>
      <c r="N36" s="1084"/>
    </row>
    <row r="37" spans="1:14" x14ac:dyDescent="0.2">
      <c r="A37" s="1088" t="s">
        <v>205</v>
      </c>
      <c r="B37" s="1081"/>
      <c r="C37" s="1082"/>
      <c r="D37" s="1082"/>
      <c r="E37" s="1083"/>
      <c r="F37" s="1081"/>
      <c r="G37" s="1082"/>
      <c r="H37" s="1084"/>
      <c r="I37" s="1081"/>
      <c r="J37" s="1082"/>
      <c r="K37" s="1084"/>
      <c r="L37" s="1083"/>
      <c r="M37" s="1083"/>
      <c r="N37" s="1084"/>
    </row>
    <row r="38" spans="1:14" x14ac:dyDescent="0.2">
      <c r="A38" s="1086" t="s">
        <v>195</v>
      </c>
      <c r="B38" s="1081"/>
      <c r="C38" s="1082"/>
      <c r="D38" s="1082"/>
      <c r="E38" s="1083"/>
      <c r="F38" s="1081"/>
      <c r="G38" s="1082"/>
      <c r="H38" s="1084"/>
      <c r="I38" s="1081"/>
      <c r="J38" s="1082"/>
      <c r="K38" s="1084"/>
      <c r="L38" s="1083"/>
      <c r="M38" s="1083"/>
      <c r="N38" s="1084"/>
    </row>
    <row r="39" spans="1:14" x14ac:dyDescent="0.2">
      <c r="A39" s="1086" t="s">
        <v>196</v>
      </c>
      <c r="B39" s="1081"/>
      <c r="C39" s="1082"/>
      <c r="D39" s="1082"/>
      <c r="E39" s="1083"/>
      <c r="F39" s="1081"/>
      <c r="G39" s="1082"/>
      <c r="H39" s="1084"/>
      <c r="I39" s="1081"/>
      <c r="J39" s="1082"/>
      <c r="K39" s="1084"/>
      <c r="L39" s="1083"/>
      <c r="M39" s="1083"/>
      <c r="N39" s="1084"/>
    </row>
    <row r="40" spans="1:14" ht="22.5" x14ac:dyDescent="0.2">
      <c r="A40" s="1086" t="s">
        <v>197</v>
      </c>
      <c r="B40" s="1081"/>
      <c r="C40" s="1082"/>
      <c r="D40" s="1082"/>
      <c r="E40" s="1083"/>
      <c r="F40" s="1081"/>
      <c r="G40" s="1082"/>
      <c r="H40" s="1084"/>
      <c r="I40" s="1081"/>
      <c r="J40" s="1082"/>
      <c r="K40" s="1084"/>
      <c r="L40" s="1083"/>
      <c r="M40" s="1083"/>
      <c r="N40" s="1084"/>
    </row>
    <row r="41" spans="1:14" ht="22.5" x14ac:dyDescent="0.2">
      <c r="A41" s="1086" t="s">
        <v>198</v>
      </c>
      <c r="B41" s="1081"/>
      <c r="C41" s="1082"/>
      <c r="D41" s="1082"/>
      <c r="E41" s="1083"/>
      <c r="F41" s="1081"/>
      <c r="G41" s="1082"/>
      <c r="H41" s="1084"/>
      <c r="I41" s="1081"/>
      <c r="J41" s="1082"/>
      <c r="K41" s="1084"/>
      <c r="L41" s="1083"/>
      <c r="M41" s="1083"/>
      <c r="N41" s="1084"/>
    </row>
    <row r="42" spans="1:14" x14ac:dyDescent="0.2">
      <c r="A42" s="1086"/>
      <c r="B42" s="1081"/>
      <c r="C42" s="1082"/>
      <c r="D42" s="1082"/>
      <c r="E42" s="1083"/>
      <c r="F42" s="1081"/>
      <c r="G42" s="1082"/>
      <c r="H42" s="1084"/>
      <c r="I42" s="1081"/>
      <c r="J42" s="1082"/>
      <c r="K42" s="1084"/>
      <c r="L42" s="1083"/>
      <c r="M42" s="1083"/>
      <c r="N42" s="1084"/>
    </row>
    <row r="43" spans="1:14" x14ac:dyDescent="0.2">
      <c r="A43" s="1088" t="s">
        <v>206</v>
      </c>
      <c r="B43" s="1081"/>
      <c r="C43" s="1082"/>
      <c r="D43" s="1082"/>
      <c r="E43" s="1083"/>
      <c r="F43" s="1081"/>
      <c r="G43" s="1082"/>
      <c r="H43" s="1084"/>
      <c r="I43" s="1081"/>
      <c r="J43" s="1082"/>
      <c r="K43" s="1084"/>
      <c r="L43" s="1083"/>
      <c r="M43" s="1083"/>
      <c r="N43" s="1084"/>
    </row>
    <row r="44" spans="1:14" x14ac:dyDescent="0.2">
      <c r="A44" s="1086" t="s">
        <v>199</v>
      </c>
      <c r="B44" s="1081"/>
      <c r="C44" s="1082"/>
      <c r="D44" s="1082"/>
      <c r="E44" s="1083"/>
      <c r="F44" s="1081"/>
      <c r="G44" s="1082"/>
      <c r="H44" s="1084"/>
      <c r="I44" s="1081"/>
      <c r="J44" s="1082"/>
      <c r="K44" s="1084"/>
      <c r="L44" s="1083"/>
      <c r="M44" s="1083"/>
      <c r="N44" s="1084"/>
    </row>
    <row r="45" spans="1:14" s="1064" customFormat="1" ht="22.5" x14ac:dyDescent="0.2">
      <c r="A45" s="1086" t="s">
        <v>200</v>
      </c>
      <c r="B45" s="1081"/>
      <c r="C45" s="1082"/>
      <c r="D45" s="1082"/>
      <c r="E45" s="1083"/>
      <c r="F45" s="1081"/>
      <c r="G45" s="1082"/>
      <c r="H45" s="1084"/>
      <c r="I45" s="1081"/>
      <c r="J45" s="1082"/>
      <c r="K45" s="1084"/>
      <c r="L45" s="1083"/>
      <c r="M45" s="1083"/>
      <c r="N45" s="1084"/>
    </row>
    <row r="46" spans="1:14" ht="12" thickBot="1" x14ac:dyDescent="0.25">
      <c r="A46" s="1089"/>
      <c r="B46" s="1081"/>
      <c r="C46" s="1082"/>
      <c r="D46" s="1082"/>
      <c r="E46" s="1083"/>
      <c r="F46" s="1081"/>
      <c r="G46" s="1082"/>
      <c r="H46" s="1084"/>
      <c r="I46" s="1081"/>
      <c r="J46" s="1082"/>
      <c r="K46" s="1084"/>
      <c r="L46" s="1083"/>
      <c r="M46" s="1083"/>
      <c r="N46" s="1084"/>
    </row>
    <row r="47" spans="1:14" x14ac:dyDescent="0.2">
      <c r="A47" s="1090"/>
      <c r="B47" s="1091"/>
      <c r="C47" s="1092"/>
      <c r="D47" s="1093"/>
      <c r="E47" s="1094"/>
      <c r="F47" s="1091"/>
      <c r="G47" s="1095"/>
      <c r="H47" s="1094"/>
      <c r="I47" s="1091"/>
      <c r="J47" s="1092"/>
      <c r="K47" s="1096"/>
      <c r="L47" s="1095"/>
      <c r="M47" s="1095"/>
      <c r="N47" s="1094"/>
    </row>
    <row r="48" spans="1:14" ht="12" thickBot="1" x14ac:dyDescent="0.25">
      <c r="A48" s="1097" t="s">
        <v>0</v>
      </c>
      <c r="B48" s="1098"/>
      <c r="C48" s="1099"/>
      <c r="D48" s="1100"/>
      <c r="E48" s="1101"/>
      <c r="F48" s="1098"/>
      <c r="G48" s="1102"/>
      <c r="H48" s="1101"/>
      <c r="I48" s="1098"/>
      <c r="J48" s="1099"/>
      <c r="K48" s="1103"/>
      <c r="L48" s="1102"/>
      <c r="M48" s="1102"/>
      <c r="N48" s="1101"/>
    </row>
    <row r="49" spans="1:14" ht="12.75" thickTop="1" thickBot="1" x14ac:dyDescent="0.25">
      <c r="A49" s="1104" t="s">
        <v>18</v>
      </c>
      <c r="B49" s="1105"/>
      <c r="C49" s="1106"/>
      <c r="D49" s="1107"/>
      <c r="E49" s="1108"/>
      <c r="F49" s="1105"/>
      <c r="G49" s="1109"/>
      <c r="H49" s="1108"/>
      <c r="I49" s="1105"/>
      <c r="J49" s="1106"/>
      <c r="K49" s="1110"/>
      <c r="L49" s="1109"/>
      <c r="M49" s="1109"/>
      <c r="N49" s="1108"/>
    </row>
    <row r="50" spans="1:14" x14ac:dyDescent="0.2">
      <c r="A50" s="991" t="s">
        <v>393</v>
      </c>
      <c r="B50" s="991"/>
      <c r="C50" s="991"/>
      <c r="D50" s="991"/>
      <c r="E50" s="991"/>
      <c r="F50" s="991"/>
      <c r="G50" s="991"/>
      <c r="H50" s="991"/>
      <c r="I50" s="991"/>
      <c r="J50" s="991"/>
      <c r="K50" s="991"/>
      <c r="L50" s="991"/>
      <c r="M50" s="991"/>
      <c r="N50" s="991"/>
    </row>
    <row r="51" spans="1:14" x14ac:dyDescent="0.2">
      <c r="A51" s="991" t="s">
        <v>423</v>
      </c>
      <c r="B51" s="991"/>
      <c r="C51" s="991"/>
      <c r="D51" s="991"/>
      <c r="E51" s="991"/>
      <c r="F51" s="991"/>
      <c r="G51" s="991"/>
      <c r="H51" s="991"/>
      <c r="I51" s="991"/>
      <c r="J51" s="991"/>
      <c r="K51" s="991"/>
      <c r="L51" s="991"/>
      <c r="M51" s="991"/>
      <c r="N51" s="991"/>
    </row>
    <row r="53" spans="1:14" ht="12.75" x14ac:dyDescent="0.2">
      <c r="A53" s="1327" t="s">
        <v>576</v>
      </c>
      <c r="B53" s="1327"/>
      <c r="C53" s="1327"/>
      <c r="D53" s="1327"/>
      <c r="E53" s="1327"/>
      <c r="F53" s="1327"/>
      <c r="G53" s="1327"/>
      <c r="H53" s="1327"/>
      <c r="I53" s="1327"/>
      <c r="J53" s="1327"/>
      <c r="K53" s="1327"/>
      <c r="L53" s="1327"/>
      <c r="M53" s="1327"/>
      <c r="N53" s="1327"/>
    </row>
  </sheetData>
  <mergeCells count="5">
    <mergeCell ref="A3:A4"/>
    <mergeCell ref="B3:E3"/>
    <mergeCell ref="F3:H3"/>
    <mergeCell ref="I3:N3"/>
    <mergeCell ref="A53:N53"/>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zoomScaleNormal="100" zoomScaleSheetLayoutView="90" workbookViewId="0">
      <selection activeCell="A2" sqref="A2"/>
    </sheetView>
  </sheetViews>
  <sheetFormatPr baseColWidth="10" defaultColWidth="11.28515625" defaultRowHeight="11.25" x14ac:dyDescent="0.2"/>
  <cols>
    <col min="1" max="1" width="25.5703125" style="105" customWidth="1"/>
    <col min="2" max="2" width="7" style="105" customWidth="1"/>
    <col min="3" max="3" width="15.5703125" style="105" customWidth="1"/>
    <col min="4" max="4" width="14.28515625" style="105" customWidth="1"/>
    <col min="5" max="5" width="15.28515625" style="105" customWidth="1"/>
    <col min="6" max="6" width="9" style="105" customWidth="1"/>
    <col min="7" max="7" width="13.7109375" style="105" customWidth="1"/>
    <col min="8" max="8" width="16.28515625" style="105" customWidth="1"/>
    <col min="9" max="9" width="7.7109375" style="105" customWidth="1"/>
    <col min="10" max="10" width="6.5703125" style="105" customWidth="1"/>
    <col min="11" max="11" width="15.28515625" style="105" customWidth="1"/>
    <col min="12" max="12" width="7.42578125" style="105" customWidth="1"/>
    <col min="13" max="13" width="14.7109375" style="105" customWidth="1"/>
    <col min="14" max="14" width="14.42578125" style="105" customWidth="1"/>
    <col min="15" max="15" width="14.5703125" style="105" customWidth="1"/>
    <col min="16" max="16" width="16.42578125" style="105" customWidth="1"/>
    <col min="17" max="17" width="6.140625" style="105" customWidth="1"/>
    <col min="18" max="16384" width="11.28515625" style="105"/>
  </cols>
  <sheetData>
    <row r="1" spans="1:22" s="104" customFormat="1" x14ac:dyDescent="0.2">
      <c r="A1" s="102" t="s">
        <v>370</v>
      </c>
      <c r="B1" s="107"/>
      <c r="C1" s="107"/>
      <c r="D1" s="107"/>
      <c r="E1" s="107"/>
    </row>
    <row r="2" spans="1:22" s="104" customFormat="1" ht="12" thickBot="1" x14ac:dyDescent="0.25">
      <c r="A2" s="103" t="s">
        <v>846</v>
      </c>
      <c r="B2" s="103"/>
      <c r="C2" s="103"/>
      <c r="D2" s="103"/>
      <c r="E2" s="103"/>
      <c r="F2" s="103"/>
      <c r="G2" s="103"/>
      <c r="H2" s="103"/>
      <c r="I2" s="103"/>
      <c r="J2" s="103"/>
      <c r="K2" s="103"/>
      <c r="L2" s="103"/>
      <c r="M2" s="103"/>
      <c r="N2" s="103"/>
      <c r="O2" s="103"/>
      <c r="P2" s="103"/>
      <c r="Q2" s="103"/>
      <c r="R2" s="103"/>
      <c r="S2" s="103"/>
      <c r="T2" s="103"/>
      <c r="U2" s="103"/>
      <c r="V2" s="103"/>
    </row>
    <row r="3" spans="1:22" ht="12" thickBot="1" x14ac:dyDescent="0.25">
      <c r="A3" s="1332" t="s">
        <v>1</v>
      </c>
      <c r="B3" s="1330" t="s">
        <v>371</v>
      </c>
      <c r="C3" s="1331"/>
      <c r="D3" s="1331"/>
      <c r="E3" s="1331"/>
      <c r="F3" s="1331"/>
      <c r="G3" s="1331"/>
      <c r="H3" s="1329"/>
      <c r="I3" s="1328" t="s">
        <v>372</v>
      </c>
      <c r="J3" s="1331"/>
      <c r="K3" s="1331"/>
      <c r="L3" s="1331"/>
      <c r="M3" s="1329"/>
      <c r="N3" s="1328" t="s">
        <v>373</v>
      </c>
      <c r="O3" s="1329"/>
      <c r="P3" s="1328" t="s">
        <v>0</v>
      </c>
      <c r="Q3" s="1329"/>
    </row>
    <row r="4" spans="1:22" s="118" customFormat="1" ht="80.25" customHeight="1" thickBot="1" x14ac:dyDescent="0.25">
      <c r="A4" s="1333"/>
      <c r="B4" s="139" t="s">
        <v>253</v>
      </c>
      <c r="C4" s="140" t="s">
        <v>254</v>
      </c>
      <c r="D4" s="139" t="s">
        <v>255</v>
      </c>
      <c r="E4" s="139" t="s">
        <v>256</v>
      </c>
      <c r="F4" s="139" t="s">
        <v>257</v>
      </c>
      <c r="G4" s="138" t="s">
        <v>258</v>
      </c>
      <c r="H4" s="138" t="s">
        <v>259</v>
      </c>
      <c r="I4" s="139" t="s">
        <v>260</v>
      </c>
      <c r="J4" s="138" t="s">
        <v>258</v>
      </c>
      <c r="K4" s="138" t="s">
        <v>261</v>
      </c>
      <c r="L4" s="138" t="s">
        <v>262</v>
      </c>
      <c r="M4" s="138" t="s">
        <v>263</v>
      </c>
      <c r="N4" s="138" t="s">
        <v>264</v>
      </c>
      <c r="O4" s="140" t="s">
        <v>265</v>
      </c>
      <c r="P4" s="139" t="s">
        <v>17</v>
      </c>
      <c r="Q4" s="138" t="s">
        <v>19</v>
      </c>
    </row>
    <row r="5" spans="1:22" x14ac:dyDescent="0.2">
      <c r="A5" s="119"/>
      <c r="B5" s="111"/>
      <c r="C5" s="191"/>
      <c r="D5" s="194"/>
      <c r="E5" s="113"/>
      <c r="F5" s="113"/>
      <c r="G5" s="191"/>
      <c r="H5" s="113"/>
      <c r="I5" s="113"/>
      <c r="J5" s="113"/>
      <c r="K5" s="191"/>
      <c r="L5" s="113"/>
      <c r="M5" s="113"/>
      <c r="N5" s="113"/>
      <c r="O5" s="113"/>
      <c r="P5" s="112"/>
      <c r="Q5" s="119"/>
    </row>
    <row r="6" spans="1:22" ht="15" x14ac:dyDescent="0.25">
      <c r="A6" s="119" t="s">
        <v>28</v>
      </c>
      <c r="B6" s="111"/>
      <c r="C6" s="193">
        <v>980830696</v>
      </c>
      <c r="D6" s="192">
        <v>152848617</v>
      </c>
      <c r="E6" s="193">
        <v>98350939</v>
      </c>
      <c r="F6" s="113"/>
      <c r="G6" s="193">
        <v>1979327</v>
      </c>
      <c r="H6" s="197">
        <f>SUM(C6:G6)</f>
        <v>1234009579</v>
      </c>
      <c r="I6" s="113"/>
      <c r="J6" s="113"/>
      <c r="K6" s="193">
        <v>374364951</v>
      </c>
      <c r="L6" s="113"/>
      <c r="M6" s="197">
        <f>SUM(I6:K6)</f>
        <v>374364951</v>
      </c>
      <c r="N6" s="113"/>
      <c r="O6" s="113"/>
      <c r="P6" s="197">
        <f>+H6+M6+O6</f>
        <v>1608374530</v>
      </c>
      <c r="Q6" s="228">
        <f>+P6*100/$P$24</f>
        <v>75.991520438563171</v>
      </c>
    </row>
    <row r="7" spans="1:22" ht="15" x14ac:dyDescent="0.25">
      <c r="A7" s="119"/>
      <c r="B7" s="111"/>
      <c r="C7" s="111"/>
      <c r="D7" s="111"/>
      <c r="E7" s="111"/>
      <c r="F7" s="113"/>
      <c r="G7" s="113"/>
      <c r="H7" s="197"/>
      <c r="I7" s="113"/>
      <c r="J7" s="113"/>
      <c r="K7" s="113"/>
      <c r="L7" s="113"/>
      <c r="M7" s="197"/>
      <c r="N7" s="113"/>
      <c r="O7" s="113"/>
      <c r="P7" s="197"/>
      <c r="Q7" s="228"/>
    </row>
    <row r="8" spans="1:22" ht="15" x14ac:dyDescent="0.25">
      <c r="A8" s="119" t="s">
        <v>29</v>
      </c>
      <c r="B8" s="111"/>
      <c r="C8" s="196">
        <v>245000</v>
      </c>
      <c r="D8" s="196"/>
      <c r="E8" s="196">
        <v>31303461</v>
      </c>
      <c r="F8" s="113"/>
      <c r="G8" s="196">
        <v>4552260</v>
      </c>
      <c r="H8" s="197">
        <f t="shared" ref="H8:H15" si="0">SUM(C8:G8)</f>
        <v>36100721</v>
      </c>
      <c r="I8" s="113"/>
      <c r="J8" s="113"/>
      <c r="K8" s="196">
        <v>4000000</v>
      </c>
      <c r="L8" s="113"/>
      <c r="M8" s="197">
        <f t="shared" ref="M8:M15" si="1">SUM(I8:K8)</f>
        <v>4000000</v>
      </c>
      <c r="N8" s="113"/>
      <c r="O8" s="113"/>
      <c r="P8" s="197">
        <f t="shared" ref="P8:P24" si="2">+H8+M8+O8</f>
        <v>40100721</v>
      </c>
      <c r="Q8" s="228">
        <f t="shared" ref="Q8:Q24" si="3">+P8*100/$P$24</f>
        <v>1.8946549467384437</v>
      </c>
    </row>
    <row r="9" spans="1:22" ht="15" x14ac:dyDescent="0.25">
      <c r="A9" s="119"/>
      <c r="B9" s="111"/>
      <c r="C9" s="111"/>
      <c r="D9" s="111"/>
      <c r="E9" s="111"/>
      <c r="F9" s="113"/>
      <c r="G9" s="111"/>
      <c r="H9" s="197"/>
      <c r="I9" s="113"/>
      <c r="J9" s="113"/>
      <c r="K9" s="111"/>
      <c r="L9" s="113"/>
      <c r="M9" s="197"/>
      <c r="N9" s="113"/>
      <c r="O9" s="113"/>
      <c r="P9" s="197"/>
      <c r="Q9" s="228"/>
    </row>
    <row r="10" spans="1:22" ht="15" x14ac:dyDescent="0.25">
      <c r="A10" s="119" t="s">
        <v>30</v>
      </c>
      <c r="B10" s="111"/>
      <c r="C10" s="112"/>
      <c r="D10" s="111"/>
      <c r="E10" s="196">
        <v>25247496</v>
      </c>
      <c r="F10" s="113"/>
      <c r="G10" s="113"/>
      <c r="H10" s="197">
        <f t="shared" si="0"/>
        <v>25247496</v>
      </c>
      <c r="I10" s="113"/>
      <c r="J10" s="113"/>
      <c r="K10" s="196">
        <v>157155926</v>
      </c>
      <c r="L10" s="113"/>
      <c r="M10" s="197">
        <f t="shared" si="1"/>
        <v>157155926</v>
      </c>
      <c r="N10" s="113"/>
      <c r="O10" s="113"/>
      <c r="P10" s="197">
        <f t="shared" si="2"/>
        <v>182403422</v>
      </c>
      <c r="Q10" s="228">
        <f t="shared" si="3"/>
        <v>8.6180880836112621</v>
      </c>
    </row>
    <row r="11" spans="1:22" ht="15" x14ac:dyDescent="0.25">
      <c r="A11" s="119" t="s">
        <v>75</v>
      </c>
      <c r="B11" s="111"/>
      <c r="C11" s="112"/>
      <c r="D11" s="111"/>
      <c r="E11" s="111"/>
      <c r="F11" s="113"/>
      <c r="G11" s="113"/>
      <c r="H11" s="197"/>
      <c r="I11" s="113"/>
      <c r="J11" s="113"/>
      <c r="K11" s="111"/>
      <c r="L11" s="113"/>
      <c r="M11" s="197"/>
      <c r="N11" s="113"/>
      <c r="O11" s="113"/>
      <c r="P11" s="197"/>
      <c r="Q11" s="228"/>
    </row>
    <row r="12" spans="1:22" ht="15" x14ac:dyDescent="0.25">
      <c r="A12" s="117"/>
      <c r="B12" s="111"/>
      <c r="C12" s="114"/>
      <c r="D12" s="115"/>
      <c r="E12" s="115"/>
      <c r="F12" s="120"/>
      <c r="G12" s="113"/>
      <c r="H12" s="197"/>
      <c r="I12" s="113"/>
      <c r="J12" s="113"/>
      <c r="K12" s="111"/>
      <c r="L12" s="113"/>
      <c r="M12" s="197"/>
      <c r="N12" s="113"/>
      <c r="O12" s="113"/>
      <c r="P12" s="197"/>
      <c r="Q12" s="228"/>
    </row>
    <row r="13" spans="1:22" ht="15" x14ac:dyDescent="0.25">
      <c r="A13" s="119" t="s">
        <v>31</v>
      </c>
      <c r="B13" s="111"/>
      <c r="C13" s="112"/>
      <c r="D13" s="111"/>
      <c r="E13" s="196">
        <v>507643</v>
      </c>
      <c r="F13" s="113"/>
      <c r="G13" s="113"/>
      <c r="H13" s="197">
        <f t="shared" si="0"/>
        <v>507643</v>
      </c>
      <c r="I13" s="113"/>
      <c r="J13" s="113"/>
      <c r="K13" s="111"/>
      <c r="L13" s="113"/>
      <c r="M13" s="197"/>
      <c r="N13" s="113"/>
      <c r="O13" s="113"/>
      <c r="P13" s="197">
        <f t="shared" si="2"/>
        <v>507643</v>
      </c>
      <c r="Q13" s="228">
        <f t="shared" si="3"/>
        <v>2.3984813667742876E-2</v>
      </c>
    </row>
    <row r="14" spans="1:22" ht="15" x14ac:dyDescent="0.25">
      <c r="A14" s="119"/>
      <c r="B14" s="111"/>
      <c r="C14" s="112"/>
      <c r="D14" s="111"/>
      <c r="E14" s="111"/>
      <c r="F14" s="113"/>
      <c r="G14" s="113"/>
      <c r="H14" s="197"/>
      <c r="I14" s="113"/>
      <c r="J14" s="113"/>
      <c r="K14" s="111"/>
      <c r="L14" s="113"/>
      <c r="M14" s="197"/>
      <c r="N14" s="113"/>
      <c r="O14" s="113"/>
      <c r="P14" s="197"/>
      <c r="Q14" s="228"/>
    </row>
    <row r="15" spans="1:22" ht="15" x14ac:dyDescent="0.25">
      <c r="A15" s="119" t="s">
        <v>32</v>
      </c>
      <c r="B15" s="111"/>
      <c r="C15" s="112"/>
      <c r="D15" s="111"/>
      <c r="E15" s="196">
        <v>3106255</v>
      </c>
      <c r="F15" s="113"/>
      <c r="G15" s="113"/>
      <c r="H15" s="197">
        <f t="shared" si="0"/>
        <v>3106255</v>
      </c>
      <c r="I15" s="113"/>
      <c r="J15" s="113"/>
      <c r="K15" s="196">
        <v>247485481</v>
      </c>
      <c r="L15" s="113"/>
      <c r="M15" s="197">
        <f t="shared" si="1"/>
        <v>247485481</v>
      </c>
      <c r="N15" s="196">
        <v>34540371</v>
      </c>
      <c r="O15" s="197">
        <f>+N15</f>
        <v>34540371</v>
      </c>
      <c r="P15" s="197">
        <f t="shared" si="2"/>
        <v>285132107</v>
      </c>
      <c r="Q15" s="228">
        <f t="shared" si="3"/>
        <v>13.471751717419377</v>
      </c>
    </row>
    <row r="16" spans="1:22" ht="15" x14ac:dyDescent="0.25">
      <c r="A16" s="119"/>
      <c r="B16" s="111"/>
      <c r="C16" s="112"/>
      <c r="D16" s="111"/>
      <c r="E16" s="111"/>
      <c r="F16" s="113"/>
      <c r="G16" s="113"/>
      <c r="H16" s="198"/>
      <c r="I16" s="113"/>
      <c r="J16" s="113"/>
      <c r="K16" s="111"/>
      <c r="L16" s="113"/>
      <c r="M16" s="197"/>
      <c r="N16" s="113"/>
      <c r="O16" s="113"/>
      <c r="P16" s="197"/>
      <c r="Q16" s="228"/>
    </row>
    <row r="17" spans="1:17" ht="15" x14ac:dyDescent="0.25">
      <c r="A17" s="119" t="s">
        <v>36</v>
      </c>
      <c r="B17" s="111"/>
      <c r="C17" s="112"/>
      <c r="D17" s="111"/>
      <c r="E17" s="113"/>
      <c r="F17" s="113"/>
      <c r="G17" s="113"/>
      <c r="H17" s="113"/>
      <c r="I17" s="113"/>
      <c r="J17" s="113"/>
      <c r="K17" s="113"/>
      <c r="L17" s="113"/>
      <c r="M17" s="113"/>
      <c r="N17" s="113"/>
      <c r="O17" s="113"/>
      <c r="P17" s="197"/>
      <c r="Q17" s="203"/>
    </row>
    <row r="18" spans="1:17" ht="15" x14ac:dyDescent="0.25">
      <c r="A18" s="119" t="s">
        <v>37</v>
      </c>
      <c r="B18" s="111"/>
      <c r="C18" s="112"/>
      <c r="D18" s="111"/>
      <c r="E18" s="113"/>
      <c r="F18" s="113"/>
      <c r="G18" s="113"/>
      <c r="H18" s="113"/>
      <c r="I18" s="113"/>
      <c r="J18" s="113"/>
      <c r="K18" s="113"/>
      <c r="L18" s="113"/>
      <c r="M18" s="113"/>
      <c r="N18" s="113"/>
      <c r="O18" s="113"/>
      <c r="P18" s="197"/>
      <c r="Q18" s="203"/>
    </row>
    <row r="19" spans="1:17" ht="15" x14ac:dyDescent="0.25">
      <c r="A19" s="119" t="s">
        <v>33</v>
      </c>
      <c r="B19" s="111"/>
      <c r="C19" s="112"/>
      <c r="D19" s="111"/>
      <c r="E19" s="113"/>
      <c r="F19" s="113"/>
      <c r="G19" s="113"/>
      <c r="H19" s="113"/>
      <c r="I19" s="113"/>
      <c r="J19" s="113"/>
      <c r="K19" s="113"/>
      <c r="L19" s="113"/>
      <c r="M19" s="113"/>
      <c r="N19" s="113"/>
      <c r="O19" s="113"/>
      <c r="P19" s="197"/>
      <c r="Q19" s="203"/>
    </row>
    <row r="20" spans="1:17" ht="15" x14ac:dyDescent="0.25">
      <c r="A20" s="119" t="s">
        <v>34</v>
      </c>
      <c r="B20" s="111"/>
      <c r="C20" s="112"/>
      <c r="D20" s="111"/>
      <c r="E20" s="113"/>
      <c r="F20" s="113"/>
      <c r="G20" s="113"/>
      <c r="H20" s="113"/>
      <c r="I20" s="113"/>
      <c r="J20" s="113"/>
      <c r="K20" s="113"/>
      <c r="L20" s="113"/>
      <c r="M20" s="113"/>
      <c r="N20" s="113"/>
      <c r="O20" s="113"/>
      <c r="P20" s="197"/>
      <c r="Q20" s="203"/>
    </row>
    <row r="21" spans="1:17" ht="15" x14ac:dyDescent="0.25">
      <c r="A21" s="119" t="s">
        <v>35</v>
      </c>
      <c r="B21" s="111"/>
      <c r="C21" s="112"/>
      <c r="D21" s="111"/>
      <c r="E21" s="113"/>
      <c r="F21" s="113"/>
      <c r="G21" s="113"/>
      <c r="H21" s="113"/>
      <c r="I21" s="113"/>
      <c r="J21" s="113"/>
      <c r="K21" s="113"/>
      <c r="L21" s="113"/>
      <c r="M21" s="113"/>
      <c r="N21" s="113"/>
      <c r="O21" s="113"/>
      <c r="P21" s="197"/>
      <c r="Q21" s="203"/>
    </row>
    <row r="22" spans="1:17" ht="15" x14ac:dyDescent="0.25">
      <c r="A22" s="119" t="s">
        <v>66</v>
      </c>
      <c r="B22" s="111"/>
      <c r="C22" s="112"/>
      <c r="D22" s="111"/>
      <c r="E22" s="113"/>
      <c r="F22" s="113"/>
      <c r="G22" s="113"/>
      <c r="H22" s="113"/>
      <c r="I22" s="113"/>
      <c r="J22" s="113"/>
      <c r="K22" s="113"/>
      <c r="L22" s="113"/>
      <c r="M22" s="113"/>
      <c r="N22" s="113"/>
      <c r="O22" s="113"/>
      <c r="P22" s="197"/>
      <c r="Q22" s="203"/>
    </row>
    <row r="23" spans="1:17" ht="15.75" thickBot="1" x14ac:dyDescent="0.3">
      <c r="A23" s="116"/>
      <c r="B23" s="119"/>
      <c r="C23" s="121"/>
      <c r="D23" s="119"/>
      <c r="E23" s="122"/>
      <c r="F23" s="122"/>
      <c r="G23" s="122"/>
      <c r="H23" s="199"/>
      <c r="I23" s="122"/>
      <c r="J23" s="122"/>
      <c r="K23" s="122"/>
      <c r="L23" s="122"/>
      <c r="M23" s="122"/>
      <c r="N23" s="122"/>
      <c r="O23" s="122"/>
      <c r="P23" s="197"/>
      <c r="Q23" s="203"/>
    </row>
    <row r="24" spans="1:17" ht="15.75" thickBot="1" x14ac:dyDescent="0.3">
      <c r="A24" s="123" t="s">
        <v>0</v>
      </c>
      <c r="B24" s="106"/>
      <c r="C24" s="201">
        <f>SUM(C6:C8)</f>
        <v>981075696</v>
      </c>
      <c r="D24" s="201">
        <f t="shared" ref="D24:L24" si="4">SUM(D6:D8)</f>
        <v>152848617</v>
      </c>
      <c r="E24" s="201">
        <f>SUM(E6:E16)</f>
        <v>158515794</v>
      </c>
      <c r="F24" s="201">
        <f t="shared" si="4"/>
        <v>0</v>
      </c>
      <c r="G24" s="201">
        <f t="shared" si="4"/>
        <v>6531587</v>
      </c>
      <c r="H24" s="200">
        <f>SUM(H6:H15)</f>
        <v>1298971694</v>
      </c>
      <c r="I24" s="201">
        <f t="shared" si="4"/>
        <v>0</v>
      </c>
      <c r="J24" s="201">
        <f t="shared" si="4"/>
        <v>0</v>
      </c>
      <c r="K24" s="201">
        <f>SUM(K6:K18)</f>
        <v>783006358</v>
      </c>
      <c r="L24" s="201">
        <f t="shared" si="4"/>
        <v>0</v>
      </c>
      <c r="M24" s="200">
        <f>SUM(M6:M23)</f>
        <v>783006358</v>
      </c>
      <c r="N24" s="202">
        <f>SUM(N6:N23)</f>
        <v>34540371</v>
      </c>
      <c r="O24" s="200">
        <f>SUM(O6:O23)</f>
        <v>34540371</v>
      </c>
      <c r="P24" s="200">
        <f t="shared" si="2"/>
        <v>2116518423</v>
      </c>
      <c r="Q24" s="204">
        <f t="shared" si="3"/>
        <v>100</v>
      </c>
    </row>
    <row r="25" spans="1:17" x14ac:dyDescent="0.2">
      <c r="A25" s="108"/>
      <c r="B25" s="121"/>
      <c r="C25" s="121"/>
      <c r="D25" s="121"/>
      <c r="E25" s="121"/>
      <c r="F25" s="121"/>
      <c r="G25" s="121"/>
      <c r="H25" s="121"/>
      <c r="I25" s="121"/>
      <c r="J25" s="121"/>
      <c r="K25" s="121"/>
      <c r="L25" s="121"/>
      <c r="M25" s="121"/>
      <c r="N25" s="121"/>
      <c r="O25" s="121"/>
      <c r="P25" s="121"/>
      <c r="Q25" s="121"/>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U108"/>
  <sheetViews>
    <sheetView zoomScaleNormal="100" zoomScaleSheetLayoutView="70" zoomScalePageLayoutView="90" workbookViewId="0">
      <pane ySplit="4" topLeftCell="A41" activePane="bottomLeft" state="frozen"/>
      <selection pane="bottomLeft" activeCell="A2" sqref="A2"/>
    </sheetView>
  </sheetViews>
  <sheetFormatPr baseColWidth="10" defaultColWidth="11.42578125" defaultRowHeight="12" x14ac:dyDescent="0.2"/>
  <cols>
    <col min="1" max="1" width="25" style="74" customWidth="1"/>
    <col min="2" max="2" width="16.28515625" style="74" bestFit="1" customWidth="1"/>
    <col min="3" max="3" width="8.7109375" style="74" customWidth="1"/>
    <col min="4" max="6" width="13.7109375" style="74" customWidth="1"/>
    <col min="7" max="7" width="8.7109375" style="74" customWidth="1"/>
    <col min="8" max="8" width="13.42578125" style="74" customWidth="1"/>
    <col min="9" max="9" width="18.85546875" style="10" customWidth="1"/>
    <col min="10" max="11" width="8.7109375" style="74" customWidth="1"/>
    <col min="12" max="12" width="14.140625" style="74" customWidth="1"/>
    <col min="13" max="13" width="8.7109375" style="74" customWidth="1"/>
    <col min="14" max="14" width="16" style="74" customWidth="1"/>
    <col min="15" max="15" width="13.140625" style="74" customWidth="1"/>
    <col min="16" max="16" width="14.28515625" style="74" customWidth="1"/>
    <col min="17" max="17" width="16" style="74" customWidth="1"/>
    <col min="18" max="18" width="9.42578125" style="74" customWidth="1"/>
    <col min="19" max="16384" width="11.42578125" style="74"/>
  </cols>
  <sheetData>
    <row r="1" spans="1:21" s="5" customFormat="1" x14ac:dyDescent="0.2">
      <c r="A1" s="94" t="s">
        <v>374</v>
      </c>
      <c r="B1" s="6"/>
      <c r="C1" s="6"/>
      <c r="D1" s="6"/>
      <c r="E1" s="6"/>
      <c r="F1" s="6"/>
      <c r="G1" s="6"/>
      <c r="H1" s="6"/>
      <c r="I1" s="6"/>
      <c r="J1" s="6"/>
      <c r="K1" s="6"/>
      <c r="L1" s="6"/>
      <c r="M1" s="6"/>
      <c r="N1" s="6"/>
      <c r="O1" s="6"/>
      <c r="P1" s="6"/>
      <c r="Q1" s="6"/>
    </row>
    <row r="2" spans="1:21" s="5" customFormat="1" ht="12.75" thickBot="1" x14ac:dyDescent="0.25">
      <c r="A2" s="96" t="s">
        <v>846</v>
      </c>
      <c r="B2" s="86"/>
      <c r="C2" s="86"/>
      <c r="D2" s="86"/>
      <c r="E2" s="86"/>
      <c r="F2" s="86"/>
      <c r="G2" s="86"/>
      <c r="H2" s="86"/>
      <c r="I2" s="86"/>
      <c r="J2" s="86"/>
      <c r="K2" s="86"/>
      <c r="L2" s="86"/>
      <c r="M2" s="86"/>
      <c r="N2" s="86"/>
      <c r="O2" s="86"/>
      <c r="P2" s="86"/>
      <c r="Q2" s="86"/>
      <c r="R2" s="86"/>
      <c r="S2" s="86"/>
      <c r="T2" s="86"/>
      <c r="U2" s="86"/>
    </row>
    <row r="3" spans="1:21" ht="27" customHeight="1" x14ac:dyDescent="0.2">
      <c r="A3" s="1334" t="s">
        <v>108</v>
      </c>
      <c r="B3" s="1343" t="s">
        <v>109</v>
      </c>
      <c r="C3" s="1336" t="s">
        <v>20</v>
      </c>
      <c r="D3" s="1337"/>
      <c r="E3" s="1337"/>
      <c r="F3" s="1337"/>
      <c r="G3" s="1337"/>
      <c r="H3" s="1337"/>
      <c r="I3" s="1338"/>
      <c r="J3" s="1339" t="s">
        <v>89</v>
      </c>
      <c r="K3" s="1340"/>
      <c r="L3" s="1340"/>
      <c r="M3" s="1340"/>
      <c r="N3" s="1341"/>
      <c r="O3" s="1342" t="s">
        <v>76</v>
      </c>
      <c r="P3" s="1340"/>
      <c r="Q3" s="174" t="s">
        <v>0</v>
      </c>
    </row>
    <row r="4" spans="1:21" ht="112.5" customHeight="1" thickBot="1" x14ac:dyDescent="0.25">
      <c r="A4" s="1335"/>
      <c r="B4" s="1344"/>
      <c r="C4" s="141" t="s">
        <v>212</v>
      </c>
      <c r="D4" s="142" t="s">
        <v>213</v>
      </c>
      <c r="E4" s="142" t="s">
        <v>214</v>
      </c>
      <c r="F4" s="142" t="s">
        <v>215</v>
      </c>
      <c r="G4" s="142" t="s">
        <v>216</v>
      </c>
      <c r="H4" s="142" t="s">
        <v>217</v>
      </c>
      <c r="I4" s="205" t="s">
        <v>86</v>
      </c>
      <c r="J4" s="141" t="s">
        <v>216</v>
      </c>
      <c r="K4" s="142" t="s">
        <v>217</v>
      </c>
      <c r="L4" s="142" t="s">
        <v>218</v>
      </c>
      <c r="M4" s="142" t="s">
        <v>219</v>
      </c>
      <c r="N4" s="143" t="s">
        <v>87</v>
      </c>
      <c r="O4" s="144" t="s">
        <v>220</v>
      </c>
      <c r="P4" s="142" t="s">
        <v>88</v>
      </c>
      <c r="Q4" s="145" t="s">
        <v>25</v>
      </c>
    </row>
    <row r="5" spans="1:21" x14ac:dyDescent="0.2">
      <c r="A5" s="13" t="s">
        <v>110</v>
      </c>
      <c r="B5" s="25">
        <v>2020</v>
      </c>
      <c r="C5" s="46"/>
      <c r="D5" s="44"/>
      <c r="E5" s="44"/>
      <c r="F5" s="44"/>
      <c r="G5" s="44"/>
      <c r="H5" s="44"/>
      <c r="I5" s="206"/>
      <c r="J5" s="46"/>
      <c r="K5" s="44"/>
      <c r="L5" s="44"/>
      <c r="M5" s="44"/>
      <c r="N5" s="45"/>
      <c r="O5" s="43"/>
      <c r="P5" s="44"/>
      <c r="Q5" s="44"/>
    </row>
    <row r="6" spans="1:21" x14ac:dyDescent="0.2">
      <c r="A6" s="14"/>
      <c r="B6" s="11">
        <v>2021</v>
      </c>
      <c r="C6" s="47"/>
      <c r="D6" s="48"/>
      <c r="E6" s="48"/>
      <c r="F6" s="48"/>
      <c r="G6" s="48"/>
      <c r="H6" s="48"/>
      <c r="I6" s="207"/>
      <c r="J6" s="47"/>
      <c r="K6" s="48"/>
      <c r="L6" s="48"/>
      <c r="M6" s="48"/>
      <c r="N6" s="49"/>
      <c r="O6" s="50"/>
      <c r="P6" s="48"/>
      <c r="Q6" s="48"/>
    </row>
    <row r="7" spans="1:21" x14ac:dyDescent="0.2">
      <c r="A7" s="14"/>
      <c r="B7" s="11">
        <v>2022</v>
      </c>
      <c r="C7" s="51"/>
      <c r="D7" s="52"/>
      <c r="E7" s="52"/>
      <c r="F7" s="52"/>
      <c r="G7" s="52"/>
      <c r="H7" s="52"/>
      <c r="I7" s="208"/>
      <c r="J7" s="51"/>
      <c r="K7" s="52"/>
      <c r="L7" s="52"/>
      <c r="M7" s="52"/>
      <c r="N7" s="53"/>
      <c r="O7" s="54"/>
      <c r="P7" s="52"/>
      <c r="Q7" s="52"/>
    </row>
    <row r="8" spans="1:21" ht="12.75" thickBot="1" x14ac:dyDescent="0.25">
      <c r="A8" s="33"/>
      <c r="B8" s="42" t="s">
        <v>375</v>
      </c>
      <c r="C8" s="55"/>
      <c r="D8" s="56"/>
      <c r="E8" s="56"/>
      <c r="F8" s="56"/>
      <c r="G8" s="56"/>
      <c r="H8" s="56"/>
      <c r="I8" s="209"/>
      <c r="J8" s="55"/>
      <c r="K8" s="56"/>
      <c r="L8" s="56"/>
      <c r="M8" s="56"/>
      <c r="N8" s="57"/>
      <c r="O8" s="58"/>
      <c r="P8" s="56"/>
      <c r="Q8" s="56"/>
    </row>
    <row r="9" spans="1:21" x14ac:dyDescent="0.2">
      <c r="A9" s="4" t="s">
        <v>111</v>
      </c>
      <c r="B9" s="25">
        <v>2020</v>
      </c>
      <c r="C9" s="59"/>
      <c r="D9" s="60"/>
      <c r="E9" s="60"/>
      <c r="F9" s="60"/>
      <c r="G9" s="60"/>
      <c r="H9" s="60"/>
      <c r="I9" s="210"/>
      <c r="J9" s="59"/>
      <c r="K9" s="60"/>
      <c r="L9" s="60"/>
      <c r="M9" s="60"/>
      <c r="N9" s="61"/>
      <c r="O9" s="62"/>
      <c r="P9" s="60"/>
      <c r="Q9" s="60"/>
    </row>
    <row r="10" spans="1:21" x14ac:dyDescent="0.2">
      <c r="A10" s="14"/>
      <c r="B10" s="11">
        <v>2021</v>
      </c>
      <c r="C10" s="47"/>
      <c r="D10" s="48"/>
      <c r="E10" s="48"/>
      <c r="F10" s="48"/>
      <c r="G10" s="48"/>
      <c r="H10" s="48"/>
      <c r="I10" s="207"/>
      <c r="J10" s="47"/>
      <c r="K10" s="48"/>
      <c r="L10" s="48"/>
      <c r="M10" s="48"/>
      <c r="N10" s="49"/>
      <c r="O10" s="50"/>
      <c r="P10" s="48"/>
      <c r="Q10" s="48"/>
    </row>
    <row r="11" spans="1:21" x14ac:dyDescent="0.2">
      <c r="A11" s="14"/>
      <c r="B11" s="11">
        <v>2022</v>
      </c>
      <c r="C11" s="47"/>
      <c r="D11" s="48"/>
      <c r="E11" s="48"/>
      <c r="F11" s="48"/>
      <c r="G11" s="48"/>
      <c r="H11" s="48"/>
      <c r="I11" s="207"/>
      <c r="J11" s="47"/>
      <c r="K11" s="48"/>
      <c r="L11" s="48"/>
      <c r="M11" s="48"/>
      <c r="N11" s="49"/>
      <c r="O11" s="50"/>
      <c r="P11" s="48"/>
      <c r="Q11" s="48"/>
    </row>
    <row r="12" spans="1:21" ht="12.75" thickBot="1" x14ac:dyDescent="0.25">
      <c r="A12" s="15"/>
      <c r="B12" s="42" t="s">
        <v>375</v>
      </c>
      <c r="C12" s="55"/>
      <c r="D12" s="63"/>
      <c r="E12" s="63"/>
      <c r="F12" s="63" t="s">
        <v>77</v>
      </c>
      <c r="G12" s="63"/>
      <c r="H12" s="56"/>
      <c r="I12" s="209"/>
      <c r="J12" s="55"/>
      <c r="K12" s="56"/>
      <c r="L12" s="56"/>
      <c r="M12" s="56"/>
      <c r="N12" s="57"/>
      <c r="O12" s="58"/>
      <c r="P12" s="56"/>
      <c r="Q12" s="56"/>
    </row>
    <row r="13" spans="1:21" ht="12.75" x14ac:dyDescent="0.2">
      <c r="A13" s="13" t="s">
        <v>112</v>
      </c>
      <c r="B13" s="25">
        <v>2020</v>
      </c>
      <c r="C13" s="46"/>
      <c r="D13" s="189">
        <v>12034383</v>
      </c>
      <c r="E13" s="189">
        <v>40000</v>
      </c>
      <c r="F13" s="189">
        <v>20534518</v>
      </c>
      <c r="G13" s="189"/>
      <c r="H13" s="189">
        <v>72340</v>
      </c>
      <c r="I13" s="211">
        <f t="shared" ref="I13:I14" si="0">SUM(D13:H13)</f>
        <v>32681241</v>
      </c>
      <c r="J13" s="46"/>
      <c r="K13" s="44"/>
      <c r="L13" s="190">
        <v>27378810</v>
      </c>
      <c r="M13" s="44"/>
      <c r="N13" s="211">
        <f t="shared" ref="N13:N14" si="1">SUM(J13:M13)</f>
        <v>27378810</v>
      </c>
      <c r="O13" s="43"/>
      <c r="P13" s="44"/>
      <c r="Q13" s="213">
        <f>+I13+N13+P13</f>
        <v>60060051</v>
      </c>
    </row>
    <row r="14" spans="1:21" ht="12.75" x14ac:dyDescent="0.2">
      <c r="A14" s="14"/>
      <c r="B14" s="11">
        <v>2021</v>
      </c>
      <c r="C14" s="47"/>
      <c r="D14" s="189">
        <v>10166591</v>
      </c>
      <c r="E14" s="189">
        <v>40000</v>
      </c>
      <c r="F14" s="189">
        <v>18847223</v>
      </c>
      <c r="G14" s="189"/>
      <c r="H14" s="189">
        <v>72340</v>
      </c>
      <c r="I14" s="211">
        <f t="shared" si="0"/>
        <v>29126154</v>
      </c>
      <c r="J14" s="189"/>
      <c r="K14" s="189"/>
      <c r="L14" s="189">
        <v>16995908</v>
      </c>
      <c r="M14" s="48"/>
      <c r="N14" s="211">
        <f t="shared" si="1"/>
        <v>16995908</v>
      </c>
      <c r="O14" s="50"/>
      <c r="P14" s="48"/>
      <c r="Q14" s="213">
        <f t="shared" ref="Q14" si="2">+I14+N14+P14</f>
        <v>46122062</v>
      </c>
    </row>
    <row r="15" spans="1:21" ht="13.5" thickBot="1" x14ac:dyDescent="0.25">
      <c r="A15" s="14"/>
      <c r="B15" s="11">
        <v>2022</v>
      </c>
      <c r="C15" s="215"/>
      <c r="D15" s="216">
        <v>9175863</v>
      </c>
      <c r="E15" s="217">
        <v>53210</v>
      </c>
      <c r="F15" s="218">
        <v>19528963</v>
      </c>
      <c r="G15" s="51"/>
      <c r="H15" s="190">
        <v>2391432</v>
      </c>
      <c r="I15" s="219">
        <f>SUM(D15:H15)</f>
        <v>31149468</v>
      </c>
      <c r="J15" s="51"/>
      <c r="K15" s="52"/>
      <c r="L15" s="190">
        <v>79477759</v>
      </c>
      <c r="M15" s="52"/>
      <c r="N15" s="219">
        <f>SUM(J15:M15)</f>
        <v>79477759</v>
      </c>
      <c r="O15" s="54"/>
      <c r="P15" s="52"/>
      <c r="Q15" s="220">
        <f>+I15+N15+P15</f>
        <v>110627227</v>
      </c>
    </row>
    <row r="16" spans="1:21" ht="12.75" thickBot="1" x14ac:dyDescent="0.25">
      <c r="A16" s="15"/>
      <c r="B16" s="42" t="s">
        <v>375</v>
      </c>
      <c r="C16" s="221"/>
      <c r="D16" s="222">
        <f>+(D15-D14)*100/D15</f>
        <v>-10.797109765043354</v>
      </c>
      <c r="E16" s="222">
        <f t="shared" ref="E16:Q16" si="3">+(E15-E14)*100/E15</f>
        <v>24.826160496147342</v>
      </c>
      <c r="F16" s="222">
        <f t="shared" si="3"/>
        <v>3.4909175668979455</v>
      </c>
      <c r="G16" s="222"/>
      <c r="H16" s="222">
        <f t="shared" si="3"/>
        <v>96.975034205446775</v>
      </c>
      <c r="I16" s="222">
        <f>+(I15-I14)*100/I15</f>
        <v>6.4955009825528967</v>
      </c>
      <c r="J16" s="222"/>
      <c r="K16" s="222"/>
      <c r="L16" s="222">
        <f t="shared" si="3"/>
        <v>78.615516826537601</v>
      </c>
      <c r="M16" s="222"/>
      <c r="N16" s="222">
        <f t="shared" si="3"/>
        <v>78.615516826537601</v>
      </c>
      <c r="O16" s="222"/>
      <c r="P16" s="222"/>
      <c r="Q16" s="222">
        <f t="shared" si="3"/>
        <v>58.308579858012713</v>
      </c>
    </row>
    <row r="17" spans="1:17" x14ac:dyDescent="0.2">
      <c r="A17" s="13" t="s">
        <v>221</v>
      </c>
      <c r="B17" s="25">
        <v>2020</v>
      </c>
      <c r="C17" s="46"/>
      <c r="D17" s="44"/>
      <c r="E17" s="44"/>
      <c r="F17" s="44"/>
      <c r="G17" s="44"/>
      <c r="H17" s="44"/>
      <c r="I17" s="206"/>
      <c r="J17" s="46"/>
      <c r="K17" s="44"/>
      <c r="L17" s="44"/>
      <c r="M17" s="44"/>
      <c r="N17" s="45"/>
      <c r="O17" s="43"/>
      <c r="P17" s="44"/>
      <c r="Q17" s="44"/>
    </row>
    <row r="18" spans="1:17" x14ac:dyDescent="0.2">
      <c r="A18" s="14"/>
      <c r="B18" s="11">
        <v>2021</v>
      </c>
      <c r="C18" s="47"/>
      <c r="D18" s="48"/>
      <c r="E18" s="48"/>
      <c r="F18" s="48"/>
      <c r="G18" s="48"/>
      <c r="H18" s="48"/>
      <c r="I18" s="207"/>
      <c r="J18" s="47"/>
      <c r="K18" s="48"/>
      <c r="L18" s="48"/>
      <c r="M18" s="48"/>
      <c r="N18" s="49"/>
      <c r="O18" s="50"/>
      <c r="P18" s="48"/>
      <c r="Q18" s="48"/>
    </row>
    <row r="19" spans="1:17" x14ac:dyDescent="0.2">
      <c r="A19" s="14"/>
      <c r="B19" s="11">
        <v>2022</v>
      </c>
      <c r="C19" s="47"/>
      <c r="D19" s="48"/>
      <c r="E19" s="48"/>
      <c r="F19" s="48"/>
      <c r="G19" s="48"/>
      <c r="H19" s="48"/>
      <c r="I19" s="207"/>
      <c r="J19" s="47"/>
      <c r="K19" s="48"/>
      <c r="L19" s="48"/>
      <c r="M19" s="48"/>
      <c r="N19" s="49"/>
      <c r="O19" s="50"/>
      <c r="P19" s="48"/>
      <c r="Q19" s="48"/>
    </row>
    <row r="20" spans="1:17" ht="12.75" thickBot="1" x14ac:dyDescent="0.25">
      <c r="A20" s="15"/>
      <c r="B20" s="42" t="s">
        <v>375</v>
      </c>
      <c r="C20" s="55"/>
      <c r="D20" s="56"/>
      <c r="E20" s="56"/>
      <c r="F20" s="56"/>
      <c r="G20" s="56"/>
      <c r="H20" s="56"/>
      <c r="I20" s="209"/>
      <c r="J20" s="55"/>
      <c r="K20" s="56"/>
      <c r="L20" s="56"/>
      <c r="M20" s="56"/>
      <c r="N20" s="57"/>
      <c r="O20" s="58"/>
      <c r="P20" s="56"/>
      <c r="Q20" s="56"/>
    </row>
    <row r="21" spans="1:17" ht="12.75" x14ac:dyDescent="0.2">
      <c r="A21" s="13" t="s">
        <v>222</v>
      </c>
      <c r="B21" s="25">
        <v>2020</v>
      </c>
      <c r="C21" s="46"/>
      <c r="D21" s="44"/>
      <c r="E21" s="214">
        <v>1400000</v>
      </c>
      <c r="F21" s="189">
        <v>841902</v>
      </c>
      <c r="G21" s="44"/>
      <c r="H21" s="44"/>
      <c r="I21" s="211">
        <f t="shared" ref="I21:I22" si="4">SUM(D21:H21)</f>
        <v>2241902</v>
      </c>
      <c r="J21" s="46"/>
      <c r="K21" s="44"/>
      <c r="L21" s="189">
        <v>18766763</v>
      </c>
      <c r="M21" s="189"/>
      <c r="N21" s="211">
        <f t="shared" ref="N21:N22" si="5">SUM(J21:M21)</f>
        <v>18766763</v>
      </c>
      <c r="O21" s="43"/>
      <c r="P21" s="44"/>
      <c r="Q21" s="213">
        <f t="shared" ref="Q21:Q22" si="6">+I21+N21+P21</f>
        <v>21008665</v>
      </c>
    </row>
    <row r="22" spans="1:17" ht="12.75" x14ac:dyDescent="0.2">
      <c r="A22" s="14"/>
      <c r="B22" s="11">
        <v>2021</v>
      </c>
      <c r="C22" s="47"/>
      <c r="D22" s="48"/>
      <c r="E22" s="189">
        <v>1300158</v>
      </c>
      <c r="F22" s="189">
        <v>794655</v>
      </c>
      <c r="G22" s="48"/>
      <c r="H22" s="48"/>
      <c r="I22" s="211">
        <f t="shared" si="4"/>
        <v>2094813</v>
      </c>
      <c r="J22" s="47"/>
      <c r="K22" s="48"/>
      <c r="L22" s="189">
        <v>4000000</v>
      </c>
      <c r="M22" s="48"/>
      <c r="N22" s="211">
        <f t="shared" si="5"/>
        <v>4000000</v>
      </c>
      <c r="O22" s="50"/>
      <c r="P22" s="48"/>
      <c r="Q22" s="213">
        <f t="shared" si="6"/>
        <v>6094813</v>
      </c>
    </row>
    <row r="23" spans="1:17" ht="12.75" x14ac:dyDescent="0.2">
      <c r="A23" s="14"/>
      <c r="B23" s="11">
        <v>2022</v>
      </c>
      <c r="C23" s="47"/>
      <c r="D23" s="48"/>
      <c r="E23" s="188">
        <v>1300158</v>
      </c>
      <c r="F23" s="188">
        <v>695002</v>
      </c>
      <c r="G23" s="48"/>
      <c r="H23" s="48"/>
      <c r="I23" s="211">
        <f>SUM(D23:H23)</f>
        <v>1995160</v>
      </c>
      <c r="J23" s="47"/>
      <c r="K23" s="48"/>
      <c r="L23" s="188">
        <v>11837934</v>
      </c>
      <c r="M23" s="48"/>
      <c r="N23" s="211">
        <f>SUM(J23:M23)</f>
        <v>11837934</v>
      </c>
      <c r="O23" s="50"/>
      <c r="P23" s="48"/>
      <c r="Q23" s="213">
        <f>+I23+N23+P23</f>
        <v>13833094</v>
      </c>
    </row>
    <row r="24" spans="1:17" ht="12.75" thickBot="1" x14ac:dyDescent="0.25">
      <c r="A24" s="15"/>
      <c r="B24" s="42" t="s">
        <v>375</v>
      </c>
      <c r="C24" s="55"/>
      <c r="D24" s="56"/>
      <c r="E24" s="56">
        <f>+(E23-E22)*100/E23</f>
        <v>0</v>
      </c>
      <c r="F24" s="223">
        <f t="shared" ref="F24:Q24" si="7">+(F23-F22)*100/F23</f>
        <v>-14.338519889151398</v>
      </c>
      <c r="G24" s="223"/>
      <c r="H24" s="223"/>
      <c r="I24" s="223">
        <f t="shared" si="7"/>
        <v>-4.9947372641793137</v>
      </c>
      <c r="J24" s="223"/>
      <c r="K24" s="223"/>
      <c r="L24" s="223">
        <f t="shared" si="7"/>
        <v>66.210320145390241</v>
      </c>
      <c r="M24" s="223"/>
      <c r="N24" s="223">
        <f t="shared" si="7"/>
        <v>66.210320145390241</v>
      </c>
      <c r="O24" s="223"/>
      <c r="P24" s="223"/>
      <c r="Q24" s="224">
        <f t="shared" si="7"/>
        <v>55.940348558319634</v>
      </c>
    </row>
    <row r="25" spans="1:17" x14ac:dyDescent="0.2">
      <c r="A25" s="13" t="s">
        <v>223</v>
      </c>
      <c r="B25" s="25">
        <v>2020</v>
      </c>
      <c r="C25" s="46"/>
      <c r="D25" s="44"/>
      <c r="E25" s="44"/>
      <c r="F25" s="44"/>
      <c r="G25" s="44"/>
      <c r="H25" s="44"/>
      <c r="I25" s="206"/>
      <c r="J25" s="46"/>
      <c r="K25" s="44"/>
      <c r="L25" s="44"/>
      <c r="M25" s="44"/>
      <c r="N25" s="45"/>
      <c r="O25" s="43"/>
      <c r="P25" s="44"/>
      <c r="Q25" s="225"/>
    </row>
    <row r="26" spans="1:17" x14ac:dyDescent="0.2">
      <c r="A26" s="14"/>
      <c r="B26" s="11">
        <v>2021</v>
      </c>
      <c r="C26" s="47"/>
      <c r="D26" s="48"/>
      <c r="E26" s="48"/>
      <c r="F26" s="48"/>
      <c r="G26" s="48"/>
      <c r="H26" s="48"/>
      <c r="I26" s="207"/>
      <c r="J26" s="47"/>
      <c r="K26" s="48"/>
      <c r="L26" s="48"/>
      <c r="M26" s="48"/>
      <c r="N26" s="49"/>
      <c r="O26" s="50"/>
      <c r="P26" s="48"/>
      <c r="Q26" s="226"/>
    </row>
    <row r="27" spans="1:17" x14ac:dyDescent="0.2">
      <c r="A27" s="14"/>
      <c r="B27" s="11">
        <v>2022</v>
      </c>
      <c r="C27" s="47"/>
      <c r="D27" s="48"/>
      <c r="E27" s="48"/>
      <c r="F27" s="48"/>
      <c r="G27" s="48"/>
      <c r="H27" s="48"/>
      <c r="I27" s="207"/>
      <c r="J27" s="47"/>
      <c r="K27" s="48"/>
      <c r="L27" s="48"/>
      <c r="M27" s="48"/>
      <c r="N27" s="49"/>
      <c r="O27" s="50"/>
      <c r="P27" s="48"/>
      <c r="Q27" s="226"/>
    </row>
    <row r="28" spans="1:17" ht="12.75" thickBot="1" x14ac:dyDescent="0.25">
      <c r="A28" s="15"/>
      <c r="B28" s="42" t="s">
        <v>375</v>
      </c>
      <c r="C28" s="55"/>
      <c r="D28" s="56"/>
      <c r="E28" s="56"/>
      <c r="F28" s="56"/>
      <c r="G28" s="56"/>
      <c r="H28" s="56"/>
      <c r="I28" s="209"/>
      <c r="J28" s="55"/>
      <c r="K28" s="56"/>
      <c r="L28" s="56"/>
      <c r="M28" s="56"/>
      <c r="N28" s="57"/>
      <c r="O28" s="58"/>
      <c r="P28" s="56"/>
      <c r="Q28" s="227"/>
    </row>
    <row r="29" spans="1:17" ht="12.75" x14ac:dyDescent="0.2">
      <c r="A29" s="13" t="s">
        <v>224</v>
      </c>
      <c r="B29" s="25">
        <v>2020</v>
      </c>
      <c r="C29" s="46"/>
      <c r="D29" s="189">
        <v>1337136</v>
      </c>
      <c r="E29" s="189">
        <v>10999</v>
      </c>
      <c r="F29" s="189">
        <v>3955199</v>
      </c>
      <c r="G29" s="44"/>
      <c r="H29" s="189">
        <v>5000</v>
      </c>
      <c r="I29" s="211">
        <f t="shared" ref="I29:I30" si="8">SUM(D29:H29)</f>
        <v>5308334</v>
      </c>
      <c r="J29" s="46"/>
      <c r="K29" s="44"/>
      <c r="L29" s="189">
        <v>1100000</v>
      </c>
      <c r="M29" s="44"/>
      <c r="N29" s="211">
        <f>SUM(J29:M29)</f>
        <v>1100000</v>
      </c>
      <c r="O29" s="43"/>
      <c r="P29" s="44"/>
      <c r="Q29" s="213">
        <f>+I29+N29+P29</f>
        <v>6408334</v>
      </c>
    </row>
    <row r="30" spans="1:17" ht="12.75" x14ac:dyDescent="0.2">
      <c r="A30" s="14"/>
      <c r="B30" s="11">
        <v>2021</v>
      </c>
      <c r="C30" s="47"/>
      <c r="D30" s="189">
        <v>1322064</v>
      </c>
      <c r="E30" s="189">
        <v>10000</v>
      </c>
      <c r="F30" s="189">
        <v>2733451</v>
      </c>
      <c r="G30" s="48"/>
      <c r="H30" s="189">
        <v>5000</v>
      </c>
      <c r="I30" s="211">
        <f t="shared" si="8"/>
        <v>4070515</v>
      </c>
      <c r="J30" s="47"/>
      <c r="K30" s="48"/>
      <c r="L30" s="48"/>
      <c r="M30" s="48"/>
      <c r="N30" s="49"/>
      <c r="O30" s="50"/>
      <c r="P30" s="48"/>
      <c r="Q30" s="213">
        <f t="shared" ref="Q30" si="9">+I30+N30+P30</f>
        <v>4070515</v>
      </c>
    </row>
    <row r="31" spans="1:17" ht="12.75" x14ac:dyDescent="0.2">
      <c r="A31" s="14"/>
      <c r="B31" s="11">
        <v>2022</v>
      </c>
      <c r="C31" s="47"/>
      <c r="D31" s="195">
        <v>1252497</v>
      </c>
      <c r="E31" s="188">
        <v>8439</v>
      </c>
      <c r="F31" s="188">
        <v>2690654</v>
      </c>
      <c r="G31" s="48"/>
      <c r="H31" s="48">
        <v>0</v>
      </c>
      <c r="I31" s="211">
        <f>SUM(D31:H31)</f>
        <v>3951590</v>
      </c>
      <c r="J31" s="47"/>
      <c r="K31" s="48"/>
      <c r="L31" s="48"/>
      <c r="M31" s="48"/>
      <c r="N31" s="49"/>
      <c r="O31" s="50"/>
      <c r="P31" s="48"/>
      <c r="Q31" s="213">
        <f>+I31+N31+P31</f>
        <v>3951590</v>
      </c>
    </row>
    <row r="32" spans="1:17" ht="12.75" thickBot="1" x14ac:dyDescent="0.25">
      <c r="A32" s="15"/>
      <c r="B32" s="42" t="s">
        <v>375</v>
      </c>
      <c r="C32" s="55"/>
      <c r="D32" s="223">
        <f>+(D31-D30)*100/D31</f>
        <v>-5.554264800634253</v>
      </c>
      <c r="E32" s="223">
        <f t="shared" ref="E32:Q32" si="10">+(E31-E30)*100/E31</f>
        <v>-18.497452304775447</v>
      </c>
      <c r="F32" s="223">
        <f t="shared" si="10"/>
        <v>-1.5905798367237109</v>
      </c>
      <c r="G32" s="223"/>
      <c r="H32" s="223">
        <v>-100</v>
      </c>
      <c r="I32" s="223">
        <f t="shared" si="10"/>
        <v>-3.0095480553397493</v>
      </c>
      <c r="J32" s="223"/>
      <c r="K32" s="223"/>
      <c r="L32" s="223">
        <v>-100</v>
      </c>
      <c r="M32" s="223"/>
      <c r="N32" s="223">
        <v>-100</v>
      </c>
      <c r="O32" s="223"/>
      <c r="P32" s="223"/>
      <c r="Q32" s="224">
        <f t="shared" si="10"/>
        <v>-3.0095480553397493</v>
      </c>
    </row>
    <row r="33" spans="1:17" ht="12.75" x14ac:dyDescent="0.2">
      <c r="A33" s="13" t="s">
        <v>225</v>
      </c>
      <c r="B33" s="25">
        <v>2020</v>
      </c>
      <c r="C33" s="46"/>
      <c r="D33" s="189">
        <v>146954</v>
      </c>
      <c r="E33" s="189"/>
      <c r="F33" s="189">
        <v>354568</v>
      </c>
      <c r="G33" s="44"/>
      <c r="H33" s="44"/>
      <c r="I33" s="211">
        <f t="shared" ref="I33:I34" si="11">SUM(D33:H33)</f>
        <v>501522</v>
      </c>
      <c r="J33" s="46"/>
      <c r="K33" s="44"/>
      <c r="L33" s="44"/>
      <c r="M33" s="44"/>
      <c r="N33" s="211">
        <f t="shared" ref="N33:N34" si="12">SUM(J33:M33)</f>
        <v>0</v>
      </c>
      <c r="O33" s="43"/>
      <c r="P33" s="44"/>
      <c r="Q33" s="213">
        <f t="shared" ref="Q33:Q34" si="13">+I33+N33+P33</f>
        <v>501522</v>
      </c>
    </row>
    <row r="34" spans="1:17" ht="12.75" x14ac:dyDescent="0.2">
      <c r="A34" s="14"/>
      <c r="B34" s="11">
        <v>2021</v>
      </c>
      <c r="C34" s="47"/>
      <c r="D34" s="189">
        <v>126969</v>
      </c>
      <c r="E34" s="189"/>
      <c r="F34" s="189">
        <v>199593</v>
      </c>
      <c r="G34" s="48"/>
      <c r="H34" s="48"/>
      <c r="I34" s="211">
        <f t="shared" si="11"/>
        <v>326562</v>
      </c>
      <c r="J34" s="47"/>
      <c r="K34" s="48"/>
      <c r="L34" s="48"/>
      <c r="M34" s="48"/>
      <c r="N34" s="211">
        <f t="shared" si="12"/>
        <v>0</v>
      </c>
      <c r="O34" s="50"/>
      <c r="P34" s="48"/>
      <c r="Q34" s="213">
        <f t="shared" si="13"/>
        <v>326562</v>
      </c>
    </row>
    <row r="35" spans="1:17" ht="12.75" x14ac:dyDescent="0.2">
      <c r="A35" s="14"/>
      <c r="B35" s="11">
        <v>2022</v>
      </c>
      <c r="C35" s="47"/>
      <c r="D35" s="195">
        <v>166564</v>
      </c>
      <c r="E35" s="188"/>
      <c r="F35" s="188">
        <v>161650</v>
      </c>
      <c r="G35" s="48"/>
      <c r="H35" s="48"/>
      <c r="I35" s="211">
        <f>SUM(D35:H35)</f>
        <v>328214</v>
      </c>
      <c r="J35" s="47"/>
      <c r="K35" s="48"/>
      <c r="L35" s="188">
        <v>8707207</v>
      </c>
      <c r="M35" s="48"/>
      <c r="N35" s="211">
        <f>SUM(J35:M35)</f>
        <v>8707207</v>
      </c>
      <c r="O35" s="50"/>
      <c r="P35" s="48"/>
      <c r="Q35" s="213">
        <f>+I35+N35+P35</f>
        <v>9035421</v>
      </c>
    </row>
    <row r="36" spans="1:17" ht="12.75" thickBot="1" x14ac:dyDescent="0.25">
      <c r="A36" s="15"/>
      <c r="B36" s="42" t="s">
        <v>375</v>
      </c>
      <c r="C36" s="55"/>
      <c r="D36" s="223">
        <f>+(D35-D34)*100/D35</f>
        <v>23.771643332292694</v>
      </c>
      <c r="E36" s="223"/>
      <c r="F36" s="223">
        <f t="shared" ref="F36:Q36" si="14">+(F35-F34)*100/F35</f>
        <v>-23.472316733683886</v>
      </c>
      <c r="G36" s="223"/>
      <c r="H36" s="223"/>
      <c r="I36" s="223">
        <f t="shared" si="14"/>
        <v>0.50333014435703538</v>
      </c>
      <c r="J36" s="223"/>
      <c r="K36" s="223"/>
      <c r="L36" s="223">
        <f t="shared" si="14"/>
        <v>100</v>
      </c>
      <c r="M36" s="223"/>
      <c r="N36" s="224">
        <f t="shared" si="14"/>
        <v>100</v>
      </c>
      <c r="O36" s="223"/>
      <c r="P36" s="223"/>
      <c r="Q36" s="224">
        <f t="shared" si="14"/>
        <v>96.38575778594047</v>
      </c>
    </row>
    <row r="37" spans="1:17" ht="12.75" x14ac:dyDescent="0.2">
      <c r="A37" s="13" t="s">
        <v>226</v>
      </c>
      <c r="B37" s="25">
        <v>2020</v>
      </c>
      <c r="C37" s="46"/>
      <c r="D37" s="189">
        <v>153959</v>
      </c>
      <c r="E37" s="189"/>
      <c r="F37" s="189">
        <v>776989</v>
      </c>
      <c r="G37" s="44"/>
      <c r="H37" s="44"/>
      <c r="I37" s="211">
        <f t="shared" ref="I37:I38" si="15">SUM(D37:H37)</f>
        <v>930948</v>
      </c>
      <c r="J37" s="46"/>
      <c r="K37" s="44"/>
      <c r="L37" s="189">
        <v>30818221</v>
      </c>
      <c r="M37" s="44"/>
      <c r="N37" s="211">
        <f t="shared" ref="N37:N38" si="16">SUM(J37:M37)</f>
        <v>30818221</v>
      </c>
      <c r="O37" s="43"/>
      <c r="P37" s="44"/>
      <c r="Q37" s="213">
        <f t="shared" ref="Q37:Q38" si="17">+I37+N37+P37</f>
        <v>31749169</v>
      </c>
    </row>
    <row r="38" spans="1:17" ht="12.75" x14ac:dyDescent="0.2">
      <c r="A38" s="14"/>
      <c r="B38" s="11">
        <v>2021</v>
      </c>
      <c r="C38" s="47"/>
      <c r="D38" s="189">
        <v>142522</v>
      </c>
      <c r="E38" s="189"/>
      <c r="F38" s="189">
        <v>768730</v>
      </c>
      <c r="G38" s="48"/>
      <c r="H38" s="48"/>
      <c r="I38" s="211">
        <f t="shared" si="15"/>
        <v>911252</v>
      </c>
      <c r="J38" s="47"/>
      <c r="K38" s="48"/>
      <c r="L38" s="189">
        <v>40563180</v>
      </c>
      <c r="M38" s="48"/>
      <c r="N38" s="211">
        <f t="shared" si="16"/>
        <v>40563180</v>
      </c>
      <c r="O38" s="50"/>
      <c r="P38" s="48"/>
      <c r="Q38" s="213">
        <f t="shared" si="17"/>
        <v>41474432</v>
      </c>
    </row>
    <row r="39" spans="1:17" ht="12.75" x14ac:dyDescent="0.2">
      <c r="A39" s="14"/>
      <c r="B39" s="11">
        <v>2022</v>
      </c>
      <c r="C39" s="47"/>
      <c r="D39" s="195">
        <v>132688</v>
      </c>
      <c r="E39" s="188"/>
      <c r="F39" s="189">
        <v>380975</v>
      </c>
      <c r="G39" s="48"/>
      <c r="H39" s="48"/>
      <c r="I39" s="211">
        <f>SUM(D39:H39)</f>
        <v>513663</v>
      </c>
      <c r="J39" s="47"/>
      <c r="K39" s="48"/>
      <c r="L39" s="189">
        <v>25000000</v>
      </c>
      <c r="M39" s="48"/>
      <c r="N39" s="211">
        <f>SUM(J39:M39)</f>
        <v>25000000</v>
      </c>
      <c r="O39" s="50"/>
      <c r="P39" s="48"/>
      <c r="Q39" s="213">
        <f>+I39+N39+P39</f>
        <v>25513663</v>
      </c>
    </row>
    <row r="40" spans="1:17" ht="12.75" thickBot="1" x14ac:dyDescent="0.25">
      <c r="A40" s="15"/>
      <c r="B40" s="42" t="s">
        <v>375</v>
      </c>
      <c r="C40" s="55"/>
      <c r="D40" s="223">
        <f>+(D39-D38)*100/D39</f>
        <v>-7.4113710358133362</v>
      </c>
      <c r="E40" s="223"/>
      <c r="F40" s="223">
        <f t="shared" ref="F40:Q40" si="18">+(F39-F38)*100/F39</f>
        <v>-101.7796443336177</v>
      </c>
      <c r="G40" s="223"/>
      <c r="H40" s="223"/>
      <c r="I40" s="223">
        <f t="shared" si="18"/>
        <v>-77.402693984188076</v>
      </c>
      <c r="J40" s="223"/>
      <c r="K40" s="223"/>
      <c r="L40" s="223">
        <f t="shared" si="18"/>
        <v>-62.252719999999997</v>
      </c>
      <c r="M40" s="223"/>
      <c r="N40" s="223">
        <f t="shared" si="18"/>
        <v>-62.252719999999997</v>
      </c>
      <c r="O40" s="223"/>
      <c r="P40" s="223"/>
      <c r="Q40" s="223">
        <f t="shared" si="18"/>
        <v>-62.557732302100248</v>
      </c>
    </row>
    <row r="41" spans="1:17" ht="12.75" x14ac:dyDescent="0.2">
      <c r="A41" s="13" t="s">
        <v>227</v>
      </c>
      <c r="B41" s="25">
        <v>2020</v>
      </c>
      <c r="C41" s="46"/>
      <c r="D41" s="189">
        <v>3835305</v>
      </c>
      <c r="E41" s="189"/>
      <c r="F41" s="189">
        <v>3496709</v>
      </c>
      <c r="G41" s="44"/>
      <c r="H41" s="44"/>
      <c r="I41" s="211">
        <f t="shared" ref="I41:I42" si="19">SUM(D41:H41)</f>
        <v>7332014</v>
      </c>
      <c r="J41" s="46"/>
      <c r="K41" s="44"/>
      <c r="L41" s="189">
        <v>199149840</v>
      </c>
      <c r="M41" s="44"/>
      <c r="N41" s="211">
        <f t="shared" ref="N41:N42" si="20">SUM(J41:M41)</f>
        <v>199149840</v>
      </c>
      <c r="O41" s="43"/>
      <c r="P41" s="44"/>
      <c r="Q41" s="213">
        <f>+I41+N41+P41</f>
        <v>206481854</v>
      </c>
    </row>
    <row r="42" spans="1:17" ht="12.75" x14ac:dyDescent="0.2">
      <c r="A42" s="14"/>
      <c r="B42" s="11">
        <v>2021</v>
      </c>
      <c r="C42" s="47"/>
      <c r="D42" s="189">
        <v>3932862</v>
      </c>
      <c r="E42" s="189"/>
      <c r="F42" s="189">
        <v>2119391</v>
      </c>
      <c r="G42" s="48"/>
      <c r="H42" s="48"/>
      <c r="I42" s="211">
        <f t="shared" si="19"/>
        <v>6052253</v>
      </c>
      <c r="J42" s="47"/>
      <c r="K42" s="48"/>
      <c r="L42" s="189">
        <v>131073704</v>
      </c>
      <c r="M42" s="48"/>
      <c r="N42" s="211">
        <f t="shared" si="20"/>
        <v>131073704</v>
      </c>
      <c r="O42" s="50"/>
      <c r="P42" s="48"/>
      <c r="Q42" s="213">
        <f t="shared" ref="Q42" si="21">+I42+N42+P42</f>
        <v>137125957</v>
      </c>
    </row>
    <row r="43" spans="1:17" ht="12.75" x14ac:dyDescent="0.2">
      <c r="A43" s="14"/>
      <c r="B43" s="11">
        <v>2022</v>
      </c>
      <c r="C43" s="47"/>
      <c r="D43" s="195">
        <v>4192798</v>
      </c>
      <c r="E43" s="188"/>
      <c r="F43" s="188">
        <v>2378495</v>
      </c>
      <c r="G43" s="48"/>
      <c r="H43" s="48"/>
      <c r="I43" s="211">
        <f>SUM(D43:H43)</f>
        <v>6571293</v>
      </c>
      <c r="J43" s="47"/>
      <c r="K43" s="48"/>
      <c r="L43" s="188">
        <v>266159789</v>
      </c>
      <c r="M43" s="48"/>
      <c r="N43" s="211">
        <f>SUM(J43:M43)</f>
        <v>266159789</v>
      </c>
      <c r="O43" s="50"/>
      <c r="P43" s="48"/>
      <c r="Q43" s="213">
        <f>+I43+N43+P43</f>
        <v>272731082</v>
      </c>
    </row>
    <row r="44" spans="1:17" ht="12.75" thickBot="1" x14ac:dyDescent="0.25">
      <c r="A44" s="15"/>
      <c r="B44" s="42" t="s">
        <v>375</v>
      </c>
      <c r="C44" s="55"/>
      <c r="D44" s="223">
        <f>+(D43-D42)*100/D43</f>
        <v>6.1995831900320502</v>
      </c>
      <c r="E44" s="223"/>
      <c r="F44" s="223">
        <f t="shared" ref="F44:Q44" si="22">+(F43-F42)*100/F43</f>
        <v>10.893611296218827</v>
      </c>
      <c r="G44" s="223"/>
      <c r="H44" s="223"/>
      <c r="I44" s="223">
        <f t="shared" si="22"/>
        <v>7.8985977341141229</v>
      </c>
      <c r="J44" s="223"/>
      <c r="K44" s="223"/>
      <c r="L44" s="223">
        <f t="shared" si="22"/>
        <v>50.753754166824955</v>
      </c>
      <c r="M44" s="223"/>
      <c r="N44" s="223">
        <f t="shared" si="22"/>
        <v>50.753754166824955</v>
      </c>
      <c r="O44" s="223"/>
      <c r="P44" s="223"/>
      <c r="Q44" s="223">
        <f t="shared" si="22"/>
        <v>49.721184694306316</v>
      </c>
    </row>
    <row r="45" spans="1:17" ht="12.75" x14ac:dyDescent="0.2">
      <c r="A45" s="13" t="s">
        <v>228</v>
      </c>
      <c r="B45" s="25">
        <v>2020</v>
      </c>
      <c r="C45" s="46"/>
      <c r="D45" s="189">
        <v>445938</v>
      </c>
      <c r="E45" s="189"/>
      <c r="F45" s="189">
        <v>425307</v>
      </c>
      <c r="G45" s="44"/>
      <c r="H45" s="44"/>
      <c r="I45" s="211">
        <f t="shared" ref="I45:I46" si="23">SUM(D45:H45)</f>
        <v>871245</v>
      </c>
      <c r="J45" s="46"/>
      <c r="K45" s="44"/>
      <c r="L45" s="44"/>
      <c r="M45" s="44"/>
      <c r="N45" s="45"/>
      <c r="O45" s="43"/>
      <c r="P45" s="44"/>
      <c r="Q45" s="213">
        <f t="shared" ref="Q45:Q46" si="24">+I45+N45+P45</f>
        <v>871245</v>
      </c>
    </row>
    <row r="46" spans="1:17" ht="12.75" x14ac:dyDescent="0.2">
      <c r="A46" s="14"/>
      <c r="B46" s="11">
        <v>2021</v>
      </c>
      <c r="C46" s="47"/>
      <c r="D46" s="189">
        <v>415549</v>
      </c>
      <c r="E46" s="189"/>
      <c r="F46" s="189">
        <v>585511</v>
      </c>
      <c r="G46" s="48"/>
      <c r="H46" s="48"/>
      <c r="I46" s="211">
        <f t="shared" si="23"/>
        <v>1001060</v>
      </c>
      <c r="J46" s="47"/>
      <c r="K46" s="48"/>
      <c r="L46" s="48"/>
      <c r="M46" s="48"/>
      <c r="N46" s="49"/>
      <c r="O46" s="50"/>
      <c r="P46" s="48"/>
      <c r="Q46" s="213">
        <f t="shared" si="24"/>
        <v>1001060</v>
      </c>
    </row>
    <row r="47" spans="1:17" ht="12.75" x14ac:dyDescent="0.2">
      <c r="A47" s="14"/>
      <c r="B47" s="11">
        <v>2022</v>
      </c>
      <c r="C47" s="47"/>
      <c r="D47" s="195">
        <v>300617</v>
      </c>
      <c r="E47" s="188"/>
      <c r="F47" s="188">
        <v>481309</v>
      </c>
      <c r="G47" s="48"/>
      <c r="H47" s="48"/>
      <c r="I47" s="211">
        <f>SUM(D47:H47)</f>
        <v>781926</v>
      </c>
      <c r="J47" s="47"/>
      <c r="K47" s="48"/>
      <c r="L47" s="48"/>
      <c r="M47" s="48"/>
      <c r="N47" s="49"/>
      <c r="O47" s="50"/>
      <c r="P47" s="48"/>
      <c r="Q47" s="213">
        <f>+I47+N47+P47</f>
        <v>781926</v>
      </c>
    </row>
    <row r="48" spans="1:17" ht="12.75" thickBot="1" x14ac:dyDescent="0.25">
      <c r="A48" s="15"/>
      <c r="B48" s="42" t="s">
        <v>375</v>
      </c>
      <c r="C48" s="55"/>
      <c r="D48" s="223">
        <f>+(D47-D46)*100/D47</f>
        <v>-38.232036112395505</v>
      </c>
      <c r="E48" s="223"/>
      <c r="F48" s="223">
        <f t="shared" ref="F48:Q48" si="25">+(F47-F46)*100/F47</f>
        <v>-21.649709438219521</v>
      </c>
      <c r="G48" s="223"/>
      <c r="H48" s="223"/>
      <c r="I48" s="223">
        <f t="shared" si="25"/>
        <v>-28.024902612267656</v>
      </c>
      <c r="J48" s="223"/>
      <c r="K48" s="223"/>
      <c r="L48" s="223"/>
      <c r="M48" s="223"/>
      <c r="N48" s="223"/>
      <c r="O48" s="223"/>
      <c r="P48" s="223"/>
      <c r="Q48" s="223">
        <f t="shared" si="25"/>
        <v>-28.024902612267656</v>
      </c>
    </row>
    <row r="49" spans="1:17" ht="12.75" x14ac:dyDescent="0.2">
      <c r="A49" s="13" t="s">
        <v>229</v>
      </c>
      <c r="B49" s="25">
        <v>2020</v>
      </c>
      <c r="C49" s="46"/>
      <c r="D49" s="189">
        <v>139620</v>
      </c>
      <c r="E49" s="189"/>
      <c r="F49" s="189">
        <v>271657</v>
      </c>
      <c r="G49" s="44"/>
      <c r="H49" s="44"/>
      <c r="I49" s="211">
        <f t="shared" ref="I49:I50" si="26">SUM(D49:H49)</f>
        <v>411277</v>
      </c>
      <c r="J49" s="46"/>
      <c r="K49" s="44"/>
      <c r="L49" s="189">
        <v>2062301</v>
      </c>
      <c r="M49" s="44"/>
      <c r="N49" s="211">
        <f t="shared" ref="N49:N50" si="27">SUM(J49:M49)</f>
        <v>2062301</v>
      </c>
      <c r="O49" s="43"/>
      <c r="P49" s="44"/>
      <c r="Q49" s="213">
        <f t="shared" ref="Q49:Q50" si="28">+I49+N49+P49</f>
        <v>2473578</v>
      </c>
    </row>
    <row r="50" spans="1:17" ht="12.75" x14ac:dyDescent="0.2">
      <c r="A50" s="14"/>
      <c r="B50" s="11">
        <v>2021</v>
      </c>
      <c r="C50" s="47"/>
      <c r="D50" s="189">
        <v>133119</v>
      </c>
      <c r="E50" s="189"/>
      <c r="F50" s="189">
        <v>242617</v>
      </c>
      <c r="G50" s="48"/>
      <c r="H50" s="48"/>
      <c r="I50" s="211">
        <f t="shared" si="26"/>
        <v>375736</v>
      </c>
      <c r="J50" s="47"/>
      <c r="K50" s="48"/>
      <c r="L50" s="48"/>
      <c r="M50" s="48"/>
      <c r="N50" s="211">
        <f t="shared" si="27"/>
        <v>0</v>
      </c>
      <c r="O50" s="50"/>
      <c r="P50" s="48"/>
      <c r="Q50" s="213">
        <f t="shared" si="28"/>
        <v>375736</v>
      </c>
    </row>
    <row r="51" spans="1:17" ht="12.75" x14ac:dyDescent="0.2">
      <c r="A51" s="14"/>
      <c r="B51" s="11">
        <v>2022</v>
      </c>
      <c r="C51" s="47"/>
      <c r="D51" s="195">
        <v>105524</v>
      </c>
      <c r="E51" s="188"/>
      <c r="F51" s="188">
        <v>156428</v>
      </c>
      <c r="G51" s="48"/>
      <c r="H51" s="48"/>
      <c r="I51" s="211">
        <f>SUM(D51:H51)</f>
        <v>261952</v>
      </c>
      <c r="J51" s="47"/>
      <c r="K51" s="48"/>
      <c r="L51" s="188">
        <v>2062303</v>
      </c>
      <c r="M51" s="48"/>
      <c r="N51" s="211">
        <f>SUM(J51:M51)</f>
        <v>2062303</v>
      </c>
      <c r="O51" s="50"/>
      <c r="P51" s="48"/>
      <c r="Q51" s="213">
        <f>+I51+N51+P51</f>
        <v>2324255</v>
      </c>
    </row>
    <row r="52" spans="1:17" ht="12.75" thickBot="1" x14ac:dyDescent="0.25">
      <c r="A52" s="15"/>
      <c r="B52" s="42" t="s">
        <v>375</v>
      </c>
      <c r="C52" s="55"/>
      <c r="D52" s="223">
        <f>+(D51-D50)*100/D51</f>
        <v>-26.150449186914827</v>
      </c>
      <c r="E52" s="223"/>
      <c r="F52" s="223">
        <f t="shared" ref="F52:Q52" si="29">+(F51-F50)*100/F51</f>
        <v>-55.098192139514666</v>
      </c>
      <c r="G52" s="223"/>
      <c r="H52" s="223"/>
      <c r="I52" s="223">
        <f t="shared" si="29"/>
        <v>-43.436965550940627</v>
      </c>
      <c r="J52" s="223"/>
      <c r="K52" s="223"/>
      <c r="L52" s="223">
        <f t="shared" si="29"/>
        <v>100</v>
      </c>
      <c r="M52" s="223"/>
      <c r="N52" s="223">
        <f t="shared" si="29"/>
        <v>100</v>
      </c>
      <c r="O52" s="223"/>
      <c r="P52" s="223"/>
      <c r="Q52" s="223">
        <f t="shared" si="29"/>
        <v>83.834131797070455</v>
      </c>
    </row>
    <row r="53" spans="1:17" x14ac:dyDescent="0.2">
      <c r="A53" s="13" t="s">
        <v>230</v>
      </c>
      <c r="B53" s="25">
        <v>2020</v>
      </c>
      <c r="C53" s="46"/>
      <c r="D53" s="44"/>
      <c r="E53" s="44"/>
      <c r="F53" s="44"/>
      <c r="G53" s="44"/>
      <c r="H53" s="44"/>
      <c r="I53" s="206"/>
      <c r="J53" s="46"/>
      <c r="K53" s="44"/>
      <c r="L53" s="44"/>
      <c r="M53" s="44"/>
      <c r="N53" s="45"/>
      <c r="O53" s="43"/>
      <c r="P53" s="44"/>
      <c r="Q53" s="44"/>
    </row>
    <row r="54" spans="1:17" x14ac:dyDescent="0.2">
      <c r="A54" s="14"/>
      <c r="B54" s="11">
        <v>2021</v>
      </c>
      <c r="C54" s="47"/>
      <c r="D54" s="48"/>
      <c r="E54" s="48"/>
      <c r="F54" s="48"/>
      <c r="G54" s="48"/>
      <c r="H54" s="48"/>
      <c r="I54" s="207"/>
      <c r="J54" s="47"/>
      <c r="K54" s="48"/>
      <c r="L54" s="48"/>
      <c r="M54" s="48"/>
      <c r="N54" s="49"/>
      <c r="O54" s="50"/>
      <c r="P54" s="48"/>
      <c r="Q54" s="48"/>
    </row>
    <row r="55" spans="1:17" x14ac:dyDescent="0.2">
      <c r="A55" s="14"/>
      <c r="B55" s="11">
        <v>2022</v>
      </c>
      <c r="C55" s="47"/>
      <c r="D55" s="48"/>
      <c r="E55" s="48"/>
      <c r="F55" s="48"/>
      <c r="G55" s="48"/>
      <c r="H55" s="48"/>
      <c r="I55" s="207"/>
      <c r="J55" s="47"/>
      <c r="K55" s="48"/>
      <c r="L55" s="48"/>
      <c r="M55" s="48"/>
      <c r="N55" s="49"/>
      <c r="O55" s="50"/>
      <c r="P55" s="48"/>
      <c r="Q55" s="48"/>
    </row>
    <row r="56" spans="1:17" ht="12.75" thickBot="1" x14ac:dyDescent="0.25">
      <c r="A56" s="15"/>
      <c r="B56" s="42" t="s">
        <v>375</v>
      </c>
      <c r="C56" s="55"/>
      <c r="D56" s="56"/>
      <c r="E56" s="56"/>
      <c r="F56" s="56"/>
      <c r="G56" s="56"/>
      <c r="H56" s="56"/>
      <c r="I56" s="209"/>
      <c r="J56" s="55"/>
      <c r="K56" s="56"/>
      <c r="L56" s="56"/>
      <c r="M56" s="56"/>
      <c r="N56" s="57"/>
      <c r="O56" s="58"/>
      <c r="P56" s="56"/>
      <c r="Q56" s="56"/>
    </row>
    <row r="57" spans="1:17" ht="12.75" x14ac:dyDescent="0.2">
      <c r="A57" s="13" t="s">
        <v>231</v>
      </c>
      <c r="B57" s="25">
        <v>2020</v>
      </c>
      <c r="C57" s="46"/>
      <c r="D57" s="189">
        <v>97376</v>
      </c>
      <c r="E57" s="189"/>
      <c r="F57" s="189">
        <v>214398</v>
      </c>
      <c r="G57" s="44"/>
      <c r="H57" s="44"/>
      <c r="I57" s="211">
        <f t="shared" ref="I57:I58" si="30">SUM(D57:H57)</f>
        <v>311774</v>
      </c>
      <c r="J57" s="46"/>
      <c r="K57" s="44"/>
      <c r="L57" s="44"/>
      <c r="M57" s="44"/>
      <c r="N57" s="45"/>
      <c r="O57" s="43"/>
      <c r="P57" s="44"/>
      <c r="Q57" s="213">
        <f t="shared" ref="Q57:Q58" si="31">+I57+N57+P57</f>
        <v>311774</v>
      </c>
    </row>
    <row r="58" spans="1:17" ht="12.75" x14ac:dyDescent="0.2">
      <c r="A58" s="14"/>
      <c r="B58" s="11">
        <v>2021</v>
      </c>
      <c r="C58" s="47"/>
      <c r="D58" s="189">
        <v>95718</v>
      </c>
      <c r="E58" s="189"/>
      <c r="F58" s="189">
        <v>265140</v>
      </c>
      <c r="G58" s="48"/>
      <c r="H58" s="48"/>
      <c r="I58" s="211">
        <f t="shared" si="30"/>
        <v>360858</v>
      </c>
      <c r="J58" s="47"/>
      <c r="K58" s="48"/>
      <c r="L58" s="48"/>
      <c r="M58" s="48"/>
      <c r="N58" s="49"/>
      <c r="O58" s="50"/>
      <c r="P58" s="48"/>
      <c r="Q58" s="213">
        <f t="shared" si="31"/>
        <v>360858</v>
      </c>
    </row>
    <row r="59" spans="1:17" ht="12.75" x14ac:dyDescent="0.2">
      <c r="A59" s="14"/>
      <c r="B59" s="11">
        <v>2022</v>
      </c>
      <c r="C59" s="47"/>
      <c r="D59" s="195">
        <v>86170</v>
      </c>
      <c r="E59" s="188"/>
      <c r="F59" s="188">
        <v>276183</v>
      </c>
      <c r="G59" s="48"/>
      <c r="H59" s="48"/>
      <c r="I59" s="211">
        <f>SUM(D59:H59)</f>
        <v>362353</v>
      </c>
      <c r="J59" s="47"/>
      <c r="K59" s="48"/>
      <c r="L59" s="48"/>
      <c r="M59" s="48"/>
      <c r="N59" s="49"/>
      <c r="O59" s="50"/>
      <c r="P59" s="48"/>
      <c r="Q59" s="213">
        <f>+I59+N59+P59</f>
        <v>362353</v>
      </c>
    </row>
    <row r="60" spans="1:17" ht="12.75" thickBot="1" x14ac:dyDescent="0.25">
      <c r="A60" s="15"/>
      <c r="B60" s="42" t="s">
        <v>375</v>
      </c>
      <c r="C60" s="55"/>
      <c r="D60" s="223">
        <f>+(D59-D58)*100/D59</f>
        <v>-11.080422420796101</v>
      </c>
      <c r="E60" s="56"/>
      <c r="F60" s="56"/>
      <c r="G60" s="56"/>
      <c r="H60" s="56"/>
      <c r="I60" s="209"/>
      <c r="J60" s="55"/>
      <c r="K60" s="56"/>
      <c r="L60" s="56"/>
      <c r="M60" s="56"/>
      <c r="N60" s="57"/>
      <c r="O60" s="58"/>
      <c r="P60" s="56"/>
      <c r="Q60" s="56"/>
    </row>
    <row r="61" spans="1:17" ht="12.75" x14ac:dyDescent="0.2">
      <c r="A61" s="13" t="s">
        <v>232</v>
      </c>
      <c r="B61" s="25">
        <v>2020</v>
      </c>
      <c r="C61" s="46"/>
      <c r="D61" s="189">
        <v>4483752</v>
      </c>
      <c r="E61" s="189">
        <v>20000</v>
      </c>
      <c r="F61" s="189">
        <v>26571805</v>
      </c>
      <c r="G61" s="44"/>
      <c r="H61" s="44"/>
      <c r="I61" s="211">
        <f>SUM(D61:H61)</f>
        <v>31075557</v>
      </c>
      <c r="J61" s="46"/>
      <c r="K61" s="44"/>
      <c r="L61" s="189">
        <v>177220875</v>
      </c>
      <c r="M61" s="44"/>
      <c r="N61" s="211">
        <f t="shared" ref="N61:N62" si="32">SUM(J61:M61)</f>
        <v>177220875</v>
      </c>
      <c r="O61" s="43"/>
      <c r="P61" s="44"/>
      <c r="Q61" s="213">
        <f t="shared" ref="Q61:Q62" si="33">+I61+N61+P61</f>
        <v>208296432</v>
      </c>
    </row>
    <row r="62" spans="1:17" ht="12.75" x14ac:dyDescent="0.2">
      <c r="A62" s="14"/>
      <c r="B62" s="11">
        <v>2021</v>
      </c>
      <c r="C62" s="47"/>
      <c r="D62" s="189">
        <v>4650662</v>
      </c>
      <c r="E62" s="189"/>
      <c r="F62" s="189">
        <v>6705441</v>
      </c>
      <c r="G62" s="48"/>
      <c r="H62" s="48"/>
      <c r="I62" s="211">
        <f t="shared" ref="I62" si="34">SUM(D62:H62)</f>
        <v>11356103</v>
      </c>
      <c r="J62" s="47"/>
      <c r="K62" s="48"/>
      <c r="L62" s="189">
        <v>192354895</v>
      </c>
      <c r="M62" s="48"/>
      <c r="N62" s="211">
        <f t="shared" si="32"/>
        <v>192354895</v>
      </c>
      <c r="O62" s="50"/>
      <c r="P62" s="48"/>
      <c r="Q62" s="213">
        <f t="shared" si="33"/>
        <v>203710998</v>
      </c>
    </row>
    <row r="63" spans="1:17" ht="12.75" x14ac:dyDescent="0.2">
      <c r="A63" s="14"/>
      <c r="B63" s="11">
        <v>2022</v>
      </c>
      <c r="C63" s="47"/>
      <c r="D63" s="195">
        <v>5248183</v>
      </c>
      <c r="E63" s="188"/>
      <c r="F63" s="188">
        <v>14606877</v>
      </c>
      <c r="G63" s="48"/>
      <c r="H63" s="188">
        <v>2276130</v>
      </c>
      <c r="I63" s="211">
        <f>SUM(D63:H63)</f>
        <v>22131190</v>
      </c>
      <c r="J63" s="47"/>
      <c r="K63" s="48"/>
      <c r="L63" s="188">
        <v>77912691</v>
      </c>
      <c r="M63" s="48"/>
      <c r="N63" s="211">
        <f>SUM(J63:M63)</f>
        <v>77912691</v>
      </c>
      <c r="O63" s="50"/>
      <c r="P63" s="48"/>
      <c r="Q63" s="213">
        <f>+I63+N63+P63</f>
        <v>100043881</v>
      </c>
    </row>
    <row r="64" spans="1:17" ht="12.75" thickBot="1" x14ac:dyDescent="0.25">
      <c r="A64" s="15"/>
      <c r="B64" s="42" t="s">
        <v>375</v>
      </c>
      <c r="C64" s="55"/>
      <c r="D64" s="223">
        <f>+(D63-D62)*100/D63</f>
        <v>11.38529277656667</v>
      </c>
      <c r="E64" s="223"/>
      <c r="F64" s="223">
        <f t="shared" ref="F64:Q64" si="35">+(F63-F62)*100/F63</f>
        <v>54.093944927447531</v>
      </c>
      <c r="G64" s="223"/>
      <c r="H64" s="223">
        <f t="shared" si="35"/>
        <v>100</v>
      </c>
      <c r="I64" s="223">
        <f t="shared" si="35"/>
        <v>48.687336740590993</v>
      </c>
      <c r="J64" s="223"/>
      <c r="K64" s="223"/>
      <c r="L64" s="223">
        <f t="shared" si="35"/>
        <v>-146.88518973115688</v>
      </c>
      <c r="M64" s="223"/>
      <c r="N64" s="223">
        <f t="shared" si="35"/>
        <v>-146.88518973115688</v>
      </c>
      <c r="O64" s="223"/>
      <c r="P64" s="223"/>
      <c r="Q64" s="223">
        <f t="shared" si="35"/>
        <v>-103.62164678517419</v>
      </c>
    </row>
    <row r="65" spans="1:17" x14ac:dyDescent="0.2">
      <c r="A65" s="13" t="s">
        <v>233</v>
      </c>
      <c r="B65" s="25">
        <v>2020</v>
      </c>
      <c r="C65" s="46"/>
      <c r="D65" s="44"/>
      <c r="E65" s="44"/>
      <c r="F65" s="44"/>
      <c r="G65" s="44"/>
      <c r="H65" s="44"/>
      <c r="I65" s="206"/>
      <c r="J65" s="46"/>
      <c r="K65" s="44"/>
      <c r="L65" s="44"/>
      <c r="M65" s="44"/>
      <c r="N65" s="45"/>
      <c r="O65" s="43"/>
      <c r="P65" s="44"/>
      <c r="Q65" s="44"/>
    </row>
    <row r="66" spans="1:17" x14ac:dyDescent="0.2">
      <c r="A66" s="14"/>
      <c r="B66" s="11">
        <v>2021</v>
      </c>
      <c r="C66" s="47"/>
      <c r="D66" s="48"/>
      <c r="E66" s="48"/>
      <c r="F66" s="48"/>
      <c r="G66" s="48"/>
      <c r="H66" s="48"/>
      <c r="I66" s="207"/>
      <c r="J66" s="47"/>
      <c r="K66" s="48"/>
      <c r="L66" s="48"/>
      <c r="M66" s="48"/>
      <c r="N66" s="49"/>
      <c r="O66" s="50"/>
      <c r="P66" s="48"/>
      <c r="Q66" s="48"/>
    </row>
    <row r="67" spans="1:17" x14ac:dyDescent="0.2">
      <c r="A67" s="14"/>
      <c r="B67" s="11">
        <v>2022</v>
      </c>
      <c r="C67" s="47"/>
      <c r="D67" s="48"/>
      <c r="E67" s="48"/>
      <c r="F67" s="48"/>
      <c r="G67" s="48"/>
      <c r="H67" s="48"/>
      <c r="I67" s="207"/>
      <c r="J67" s="47"/>
      <c r="K67" s="48"/>
      <c r="L67" s="48"/>
      <c r="M67" s="48"/>
      <c r="N67" s="49"/>
      <c r="O67" s="50"/>
      <c r="P67" s="48"/>
      <c r="Q67" s="48"/>
    </row>
    <row r="68" spans="1:17" ht="12.75" thickBot="1" x14ac:dyDescent="0.25">
      <c r="A68" s="15"/>
      <c r="B68" s="42" t="s">
        <v>375</v>
      </c>
      <c r="C68" s="55"/>
      <c r="D68" s="56"/>
      <c r="E68" s="56"/>
      <c r="F68" s="56"/>
      <c r="G68" s="56"/>
      <c r="H68" s="56"/>
      <c r="I68" s="209"/>
      <c r="J68" s="55"/>
      <c r="K68" s="56"/>
      <c r="L68" s="56"/>
      <c r="M68" s="56"/>
      <c r="N68" s="57"/>
      <c r="O68" s="58"/>
      <c r="P68" s="56"/>
      <c r="Q68" s="56"/>
    </row>
    <row r="69" spans="1:17" ht="12.75" x14ac:dyDescent="0.2">
      <c r="A69" s="13" t="s">
        <v>234</v>
      </c>
      <c r="B69" s="25">
        <v>2020</v>
      </c>
      <c r="C69" s="46"/>
      <c r="D69" s="44"/>
      <c r="E69" s="44"/>
      <c r="F69" s="189">
        <v>509670</v>
      </c>
      <c r="G69" s="44"/>
      <c r="H69" s="44"/>
      <c r="I69" s="211">
        <f t="shared" ref="I69:I70" si="36">SUM(D69:H69)</f>
        <v>509670</v>
      </c>
      <c r="J69" s="46"/>
      <c r="K69" s="44"/>
      <c r="L69" s="189">
        <v>1708942</v>
      </c>
      <c r="M69" s="44"/>
      <c r="N69" s="211">
        <f t="shared" ref="N69:N70" si="37">SUM(J69:M69)</f>
        <v>1708942</v>
      </c>
      <c r="O69" s="43"/>
      <c r="P69" s="44"/>
      <c r="Q69" s="213">
        <f t="shared" ref="Q69:Q70" si="38">+I69+N69+P69</f>
        <v>2218612</v>
      </c>
    </row>
    <row r="70" spans="1:17" ht="12.75" x14ac:dyDescent="0.2">
      <c r="A70" s="14"/>
      <c r="B70" s="11">
        <v>2021</v>
      </c>
      <c r="C70" s="47"/>
      <c r="D70" s="48"/>
      <c r="E70" s="48"/>
      <c r="F70" s="189">
        <v>487837</v>
      </c>
      <c r="G70" s="48"/>
      <c r="H70" s="48"/>
      <c r="I70" s="211">
        <f t="shared" si="36"/>
        <v>487837</v>
      </c>
      <c r="J70" s="47"/>
      <c r="K70" s="48"/>
      <c r="L70" s="189">
        <v>1000000</v>
      </c>
      <c r="M70" s="48"/>
      <c r="N70" s="211">
        <f t="shared" si="37"/>
        <v>1000000</v>
      </c>
      <c r="O70" s="50"/>
      <c r="P70" s="48"/>
      <c r="Q70" s="213">
        <f t="shared" si="38"/>
        <v>1487837</v>
      </c>
    </row>
    <row r="71" spans="1:17" ht="12.75" x14ac:dyDescent="0.2">
      <c r="A71" s="14"/>
      <c r="B71" s="11">
        <v>2022</v>
      </c>
      <c r="C71" s="47"/>
      <c r="D71" s="48"/>
      <c r="E71" s="48"/>
      <c r="F71" s="188">
        <v>421964</v>
      </c>
      <c r="G71" s="48"/>
      <c r="H71" s="48"/>
      <c r="I71" s="211">
        <f>SUM(D71:H71)</f>
        <v>421964</v>
      </c>
      <c r="J71" s="47"/>
      <c r="K71" s="48"/>
      <c r="L71" s="188">
        <v>4393960</v>
      </c>
      <c r="M71" s="48"/>
      <c r="N71" s="211">
        <f>SUM(J71:M71)</f>
        <v>4393960</v>
      </c>
      <c r="O71" s="50"/>
      <c r="P71" s="48"/>
      <c r="Q71" s="213">
        <f>+I71+N71+P71</f>
        <v>4815924</v>
      </c>
    </row>
    <row r="72" spans="1:17" ht="12.75" thickBot="1" x14ac:dyDescent="0.25">
      <c r="A72" s="15"/>
      <c r="B72" s="42" t="s">
        <v>375</v>
      </c>
      <c r="C72" s="55"/>
      <c r="D72" s="56"/>
      <c r="E72" s="56"/>
      <c r="F72" s="223">
        <f>+(F71-F70)*100/F71</f>
        <v>-15.611047387928828</v>
      </c>
      <c r="G72" s="223"/>
      <c r="H72" s="223"/>
      <c r="I72" s="223">
        <f t="shared" ref="I72:Q72" si="39">+(I71-I70)*100/I71</f>
        <v>-15.611047387928828</v>
      </c>
      <c r="J72" s="223"/>
      <c r="K72" s="223"/>
      <c r="L72" s="223">
        <f t="shared" si="39"/>
        <v>77.241486039927537</v>
      </c>
      <c r="M72" s="223"/>
      <c r="N72" s="223">
        <f t="shared" si="39"/>
        <v>77.241486039927537</v>
      </c>
      <c r="O72" s="223"/>
      <c r="P72" s="223"/>
      <c r="Q72" s="223">
        <f t="shared" si="39"/>
        <v>69.105887053034891</v>
      </c>
    </row>
    <row r="73" spans="1:17" ht="12.75" x14ac:dyDescent="0.2">
      <c r="A73" s="13" t="s">
        <v>481</v>
      </c>
      <c r="B73" s="25">
        <v>2020</v>
      </c>
      <c r="C73" s="46"/>
      <c r="D73" s="189">
        <v>29167</v>
      </c>
      <c r="E73" s="189"/>
      <c r="F73" s="189">
        <v>171816</v>
      </c>
      <c r="G73" s="44"/>
      <c r="H73" s="44"/>
      <c r="I73" s="211">
        <f t="shared" ref="I73:I74" si="40">SUM(D73:H73)</f>
        <v>200983</v>
      </c>
      <c r="J73" s="46"/>
      <c r="K73" s="44"/>
      <c r="L73" s="189">
        <v>7704165</v>
      </c>
      <c r="M73" s="44"/>
      <c r="N73" s="211">
        <f t="shared" ref="N73:N74" si="41">SUM(J73:M73)</f>
        <v>7704165</v>
      </c>
      <c r="O73" s="43"/>
      <c r="P73" s="44"/>
      <c r="Q73" s="213">
        <f t="shared" ref="Q73:Q74" si="42">+I73+N73+P73</f>
        <v>7905148</v>
      </c>
    </row>
    <row r="74" spans="1:17" ht="12.75" x14ac:dyDescent="0.2">
      <c r="A74" s="14"/>
      <c r="B74" s="11">
        <v>2021</v>
      </c>
      <c r="C74" s="47"/>
      <c r="D74" s="189">
        <v>51401</v>
      </c>
      <c r="E74" s="189"/>
      <c r="F74" s="189">
        <v>268633</v>
      </c>
      <c r="G74" s="48"/>
      <c r="H74" s="48"/>
      <c r="I74" s="211">
        <f t="shared" si="40"/>
        <v>320034</v>
      </c>
      <c r="J74" s="47"/>
      <c r="K74" s="48"/>
      <c r="L74" s="189">
        <v>24829452</v>
      </c>
      <c r="M74" s="48"/>
      <c r="N74" s="211">
        <f t="shared" si="41"/>
        <v>24829452</v>
      </c>
      <c r="O74" s="50"/>
      <c r="P74" s="48"/>
      <c r="Q74" s="213">
        <f t="shared" si="42"/>
        <v>25149486</v>
      </c>
    </row>
    <row r="75" spans="1:17" ht="12.75" x14ac:dyDescent="0.2">
      <c r="A75" s="14"/>
      <c r="B75" s="11">
        <v>2022</v>
      </c>
      <c r="C75" s="47"/>
      <c r="D75" s="195">
        <v>44134</v>
      </c>
      <c r="E75" s="188"/>
      <c r="F75" s="189">
        <v>216953</v>
      </c>
      <c r="G75" s="48"/>
      <c r="H75" s="48"/>
      <c r="I75" s="211">
        <f>SUM(D75:H75)</f>
        <v>261087</v>
      </c>
      <c r="J75" s="47"/>
      <c r="K75" s="48"/>
      <c r="L75" s="188">
        <v>62527753</v>
      </c>
      <c r="M75" s="48"/>
      <c r="N75" s="211">
        <f>SUM(J75:M75)</f>
        <v>62527753</v>
      </c>
      <c r="O75" s="50"/>
      <c r="P75" s="48"/>
      <c r="Q75" s="213">
        <f>+I75+N75+P75</f>
        <v>62788840</v>
      </c>
    </row>
    <row r="76" spans="1:17" ht="12.75" thickBot="1" x14ac:dyDescent="0.25">
      <c r="A76" s="15"/>
      <c r="B76" s="42" t="s">
        <v>375</v>
      </c>
      <c r="C76" s="55"/>
      <c r="D76" s="223">
        <f>+(D75-D74)*100/D75</f>
        <v>-16.465763357048989</v>
      </c>
      <c r="E76" s="223"/>
      <c r="F76" s="223">
        <f t="shared" ref="F76:Q76" si="43">+(F75-F74)*100/F75</f>
        <v>-23.820827552511375</v>
      </c>
      <c r="G76" s="223"/>
      <c r="H76" s="223"/>
      <c r="I76" s="223">
        <f t="shared" si="43"/>
        <v>-22.57753162738857</v>
      </c>
      <c r="J76" s="223"/>
      <c r="K76" s="223"/>
      <c r="L76" s="223">
        <f t="shared" si="43"/>
        <v>60.290509719739966</v>
      </c>
      <c r="M76" s="223"/>
      <c r="N76" s="223">
        <f t="shared" si="43"/>
        <v>60.290509719739966</v>
      </c>
      <c r="O76" s="223"/>
      <c r="P76" s="223"/>
      <c r="Q76" s="223">
        <f t="shared" si="43"/>
        <v>59.945929881807025</v>
      </c>
    </row>
    <row r="77" spans="1:17" ht="12.75" x14ac:dyDescent="0.2">
      <c r="A77" s="13" t="s">
        <v>235</v>
      </c>
      <c r="B77" s="25">
        <v>2020</v>
      </c>
      <c r="C77" s="46"/>
      <c r="D77" s="189">
        <v>197775</v>
      </c>
      <c r="E77" s="189"/>
      <c r="F77" s="189">
        <v>337494</v>
      </c>
      <c r="G77" s="44"/>
      <c r="H77" s="44"/>
      <c r="I77" s="211">
        <f t="shared" ref="I77:I78" si="44">SUM(D77:H77)</f>
        <v>535269</v>
      </c>
      <c r="J77" s="46"/>
      <c r="K77" s="44"/>
      <c r="L77" s="44"/>
      <c r="M77" s="44"/>
      <c r="N77" s="211">
        <f t="shared" ref="N77:N78" si="45">SUM(J77:M77)</f>
        <v>0</v>
      </c>
      <c r="O77" s="43"/>
      <c r="P77" s="44"/>
      <c r="Q77" s="213">
        <f t="shared" ref="Q77:Q78" si="46">+I77+N77+P77</f>
        <v>535269</v>
      </c>
    </row>
    <row r="78" spans="1:17" ht="12.75" x14ac:dyDescent="0.2">
      <c r="A78" s="14"/>
      <c r="B78" s="11">
        <v>2021</v>
      </c>
      <c r="C78" s="47"/>
      <c r="D78" s="189">
        <v>196929</v>
      </c>
      <c r="E78" s="189"/>
      <c r="F78" s="189">
        <v>357407</v>
      </c>
      <c r="G78" s="48"/>
      <c r="H78" s="48"/>
      <c r="I78" s="211">
        <f t="shared" si="44"/>
        <v>554336</v>
      </c>
      <c r="J78" s="47"/>
      <c r="K78" s="48"/>
      <c r="L78" s="48"/>
      <c r="M78" s="48"/>
      <c r="N78" s="211">
        <f t="shared" si="45"/>
        <v>0</v>
      </c>
      <c r="O78" s="50"/>
      <c r="P78" s="48"/>
      <c r="Q78" s="213">
        <f t="shared" si="46"/>
        <v>554336</v>
      </c>
    </row>
    <row r="79" spans="1:17" ht="12.75" x14ac:dyDescent="0.2">
      <c r="A79" s="14"/>
      <c r="B79" s="11">
        <v>2022</v>
      </c>
      <c r="C79" s="47"/>
      <c r="D79" s="195">
        <v>241926</v>
      </c>
      <c r="E79" s="188"/>
      <c r="F79" s="188">
        <v>341797</v>
      </c>
      <c r="G79" s="48"/>
      <c r="H79" s="48"/>
      <c r="I79" s="211">
        <f>SUM(D79:H79)</f>
        <v>583723</v>
      </c>
      <c r="J79" s="47"/>
      <c r="K79" s="48"/>
      <c r="L79" s="188">
        <v>122401</v>
      </c>
      <c r="M79" s="48"/>
      <c r="N79" s="211">
        <f>SUM(J79:M79)</f>
        <v>122401</v>
      </c>
      <c r="O79" s="50"/>
      <c r="P79" s="48"/>
      <c r="Q79" s="213">
        <f>+I79+N79+P79</f>
        <v>706124</v>
      </c>
    </row>
    <row r="80" spans="1:17" ht="12.75" thickBot="1" x14ac:dyDescent="0.25">
      <c r="A80" s="15"/>
      <c r="B80" s="42" t="s">
        <v>375</v>
      </c>
      <c r="C80" s="55"/>
      <c r="D80" s="223">
        <f>+(D79-D78)*100/D79</f>
        <v>18.599489099972718</v>
      </c>
      <c r="E80" s="223"/>
      <c r="F80" s="223">
        <f t="shared" ref="F80:Q80" si="47">+(F79-F78)*100/F79</f>
        <v>-4.5670383297688391</v>
      </c>
      <c r="G80" s="223"/>
      <c r="H80" s="223"/>
      <c r="I80" s="223">
        <f t="shared" si="47"/>
        <v>5.0344084437310164</v>
      </c>
      <c r="J80" s="223"/>
      <c r="K80" s="223"/>
      <c r="L80" s="223">
        <f t="shared" si="47"/>
        <v>100</v>
      </c>
      <c r="M80" s="223"/>
      <c r="N80" s="223">
        <f t="shared" si="47"/>
        <v>100</v>
      </c>
      <c r="O80" s="223"/>
      <c r="P80" s="223"/>
      <c r="Q80" s="223">
        <f t="shared" si="47"/>
        <v>21.495941222788066</v>
      </c>
    </row>
    <row r="81" spans="1:17" ht="12.75" x14ac:dyDescent="0.2">
      <c r="A81" s="13" t="s">
        <v>236</v>
      </c>
      <c r="B81" s="25">
        <v>2020</v>
      </c>
      <c r="C81" s="189"/>
      <c r="D81" s="189">
        <v>315254793</v>
      </c>
      <c r="E81" s="189">
        <v>155000</v>
      </c>
      <c r="F81" s="189">
        <v>74055975</v>
      </c>
      <c r="G81" s="189"/>
      <c r="H81" s="189">
        <v>1613765</v>
      </c>
      <c r="I81" s="211">
        <f t="shared" ref="I81:I82" si="48">SUM(D81:H81)</f>
        <v>391079533</v>
      </c>
      <c r="J81" s="46"/>
      <c r="K81" s="44"/>
      <c r="L81" s="189">
        <v>44396016</v>
      </c>
      <c r="M81" s="44"/>
      <c r="N81" s="45"/>
      <c r="O81" s="43"/>
      <c r="P81" s="44"/>
      <c r="Q81" s="213">
        <f t="shared" ref="Q81:Q82" si="49">+I81+N81+P81</f>
        <v>391079533</v>
      </c>
    </row>
    <row r="82" spans="1:17" ht="12.75" x14ac:dyDescent="0.2">
      <c r="A82" s="14"/>
      <c r="B82" s="11">
        <v>2021</v>
      </c>
      <c r="C82" s="189"/>
      <c r="D82" s="189">
        <v>336367880</v>
      </c>
      <c r="E82" s="189">
        <v>212000</v>
      </c>
      <c r="F82" s="189">
        <v>79123540</v>
      </c>
      <c r="G82" s="189"/>
      <c r="H82" s="189">
        <v>1613765</v>
      </c>
      <c r="I82" s="211">
        <f t="shared" si="48"/>
        <v>417317185</v>
      </c>
      <c r="J82" s="47"/>
      <c r="K82" s="48"/>
      <c r="L82" s="189">
        <v>91036973</v>
      </c>
      <c r="M82" s="48"/>
      <c r="N82" s="49"/>
      <c r="O82" s="50"/>
      <c r="P82" s="48"/>
      <c r="Q82" s="213">
        <f t="shared" si="49"/>
        <v>417317185</v>
      </c>
    </row>
    <row r="83" spans="1:17" ht="12.75" x14ac:dyDescent="0.2">
      <c r="A83" s="14"/>
      <c r="B83" s="11">
        <v>2022</v>
      </c>
      <c r="C83" s="47"/>
      <c r="D83" s="195">
        <v>338177151</v>
      </c>
      <c r="E83" s="188">
        <v>200000</v>
      </c>
      <c r="F83" s="188">
        <v>90109055</v>
      </c>
      <c r="G83" s="48"/>
      <c r="H83" s="188">
        <v>1564025</v>
      </c>
      <c r="I83" s="211">
        <f>SUM(D83:H83)</f>
        <v>430050231</v>
      </c>
      <c r="J83" s="47"/>
      <c r="K83" s="48"/>
      <c r="L83" s="188">
        <v>74251413</v>
      </c>
      <c r="M83" s="48"/>
      <c r="N83" s="211">
        <f>SUM(J83:M83)</f>
        <v>74251413</v>
      </c>
      <c r="O83" s="50"/>
      <c r="P83" s="48"/>
      <c r="Q83" s="213">
        <f>+I83+N83+P83</f>
        <v>504301644</v>
      </c>
    </row>
    <row r="84" spans="1:17" ht="12.75" thickBot="1" x14ac:dyDescent="0.25">
      <c r="A84" s="15"/>
      <c r="B84" s="42" t="s">
        <v>375</v>
      </c>
      <c r="C84" s="55"/>
      <c r="D84" s="223">
        <f>+(D83-D82)*100/D83</f>
        <v>0.53500687277361325</v>
      </c>
      <c r="E84" s="223">
        <f t="shared" ref="E84:Q84" si="50">+(E83-E82)*100/E83</f>
        <v>-6</v>
      </c>
      <c r="F84" s="223">
        <f t="shared" si="50"/>
        <v>12.19135524171239</v>
      </c>
      <c r="G84" s="223"/>
      <c r="H84" s="223">
        <f t="shared" si="50"/>
        <v>-3.1802560700756062</v>
      </c>
      <c r="I84" s="223">
        <f t="shared" si="50"/>
        <v>2.9608276155070823</v>
      </c>
      <c r="J84" s="223"/>
      <c r="K84" s="223"/>
      <c r="L84" s="223">
        <f t="shared" si="50"/>
        <v>-22.606384608465294</v>
      </c>
      <c r="M84" s="223"/>
      <c r="N84" s="223">
        <f t="shared" si="50"/>
        <v>100</v>
      </c>
      <c r="O84" s="223"/>
      <c r="P84" s="223"/>
      <c r="Q84" s="223">
        <f t="shared" si="50"/>
        <v>17.248498004103276</v>
      </c>
    </row>
    <row r="85" spans="1:17" ht="12.75" x14ac:dyDescent="0.2">
      <c r="A85" s="13" t="s">
        <v>237</v>
      </c>
      <c r="B85" s="25">
        <v>2020</v>
      </c>
      <c r="C85" s="46"/>
      <c r="D85" s="44"/>
      <c r="E85" s="44"/>
      <c r="F85" s="189">
        <v>106471</v>
      </c>
      <c r="G85" s="44"/>
      <c r="H85" s="44"/>
      <c r="I85" s="206"/>
      <c r="J85" s="46"/>
      <c r="K85" s="44"/>
      <c r="L85" s="189">
        <v>286079</v>
      </c>
      <c r="M85" s="44"/>
      <c r="N85" s="211">
        <f t="shared" ref="N85:N86" si="51">SUM(J85:M85)</f>
        <v>286079</v>
      </c>
      <c r="O85" s="43"/>
      <c r="P85" s="44"/>
      <c r="Q85" s="213">
        <f t="shared" ref="Q85:Q86" si="52">+I85+N85+P85</f>
        <v>286079</v>
      </c>
    </row>
    <row r="86" spans="1:17" ht="12.75" x14ac:dyDescent="0.2">
      <c r="A86" s="14"/>
      <c r="B86" s="11">
        <v>2021</v>
      </c>
      <c r="C86" s="47"/>
      <c r="D86" s="48"/>
      <c r="E86" s="48"/>
      <c r="F86" s="189">
        <v>329614</v>
      </c>
      <c r="G86" s="48"/>
      <c r="H86" s="48"/>
      <c r="I86" s="207"/>
      <c r="J86" s="47"/>
      <c r="K86" s="48"/>
      <c r="L86" s="189"/>
      <c r="M86" s="48"/>
      <c r="N86" s="211">
        <f t="shared" si="51"/>
        <v>0</v>
      </c>
      <c r="O86" s="50"/>
      <c r="P86" s="48"/>
      <c r="Q86" s="213">
        <f t="shared" si="52"/>
        <v>0</v>
      </c>
    </row>
    <row r="87" spans="1:17" ht="12.75" x14ac:dyDescent="0.2">
      <c r="A87" s="14"/>
      <c r="B87" s="11">
        <v>2022</v>
      </c>
      <c r="C87" s="47"/>
      <c r="D87" s="48"/>
      <c r="E87" s="48"/>
      <c r="F87" s="188">
        <v>263224</v>
      </c>
      <c r="G87" s="48"/>
      <c r="H87" s="48"/>
      <c r="I87" s="211">
        <f>SUM(D87:H87)</f>
        <v>263224</v>
      </c>
      <c r="J87" s="47"/>
      <c r="K87" s="48"/>
      <c r="L87" s="188">
        <v>7854668</v>
      </c>
      <c r="M87" s="48"/>
      <c r="N87" s="211">
        <f>SUM(J87:M87)</f>
        <v>7854668</v>
      </c>
      <c r="O87" s="50"/>
      <c r="P87" s="48"/>
      <c r="Q87" s="213">
        <f>+I87+N87+P87</f>
        <v>8117892</v>
      </c>
    </row>
    <row r="88" spans="1:17" ht="12.75" thickBot="1" x14ac:dyDescent="0.25">
      <c r="A88" s="15"/>
      <c r="B88" s="42" t="s">
        <v>375</v>
      </c>
      <c r="C88" s="55"/>
      <c r="D88" s="56"/>
      <c r="E88" s="56"/>
      <c r="F88" s="223">
        <f t="shared" ref="F88" si="53">+(F87-F86)*100/F87</f>
        <v>-25.221864267695956</v>
      </c>
      <c r="G88" s="223"/>
      <c r="H88" s="223"/>
      <c r="I88" s="223">
        <f t="shared" ref="I88" si="54">+(I87-I86)*100/I87</f>
        <v>100</v>
      </c>
      <c r="J88" s="223"/>
      <c r="K88" s="223"/>
      <c r="L88" s="223">
        <f t="shared" ref="L88" si="55">+(L87-L86)*100/L87</f>
        <v>100</v>
      </c>
      <c r="M88" s="223"/>
      <c r="N88" s="223">
        <f t="shared" ref="N88" si="56">+(N87-N86)*100/N87</f>
        <v>100</v>
      </c>
      <c r="O88" s="223"/>
      <c r="P88" s="223"/>
      <c r="Q88" s="223">
        <f t="shared" ref="Q88" si="57">+(Q87-Q86)*100/Q87</f>
        <v>100</v>
      </c>
    </row>
    <row r="89" spans="1:17" ht="12.75" x14ac:dyDescent="0.2">
      <c r="A89" s="13" t="s">
        <v>238</v>
      </c>
      <c r="B89" s="25">
        <v>2020</v>
      </c>
      <c r="C89" s="46"/>
      <c r="D89" s="189">
        <v>562925456</v>
      </c>
      <c r="E89" s="189">
        <v>227652</v>
      </c>
      <c r="F89" s="189">
        <v>53962787</v>
      </c>
      <c r="G89" s="44"/>
      <c r="H89" s="44"/>
      <c r="I89" s="211">
        <f t="shared" ref="I89:I90" si="58">SUM(D89:H89)</f>
        <v>617115895</v>
      </c>
      <c r="J89" s="46"/>
      <c r="K89" s="44"/>
      <c r="L89" s="189">
        <v>159997164</v>
      </c>
      <c r="M89" s="44"/>
      <c r="N89" s="211">
        <f t="shared" ref="N89:N90" si="59">SUM(J89:M89)</f>
        <v>159997164</v>
      </c>
      <c r="O89" s="43"/>
      <c r="P89" s="44"/>
      <c r="Q89" s="213">
        <f t="shared" ref="Q89:Q90" si="60">+I89+N89+P89</f>
        <v>777113059</v>
      </c>
    </row>
    <row r="90" spans="1:17" ht="12.75" x14ac:dyDescent="0.2">
      <c r="A90" s="14"/>
      <c r="B90" s="11">
        <v>2021</v>
      </c>
      <c r="C90" s="47"/>
      <c r="D90" s="189">
        <v>634034821</v>
      </c>
      <c r="E90" s="189">
        <v>1681499</v>
      </c>
      <c r="F90" s="189">
        <v>37236973</v>
      </c>
      <c r="G90" s="48"/>
      <c r="H90" s="48"/>
      <c r="I90" s="211">
        <f t="shared" si="58"/>
        <v>672953293</v>
      </c>
      <c r="J90" s="47"/>
      <c r="K90" s="48"/>
      <c r="L90" s="189">
        <v>159253002</v>
      </c>
      <c r="M90" s="48"/>
      <c r="N90" s="211">
        <f t="shared" si="59"/>
        <v>159253002</v>
      </c>
      <c r="O90" s="50"/>
      <c r="P90" s="48"/>
      <c r="Q90" s="213">
        <f t="shared" si="60"/>
        <v>832206295</v>
      </c>
    </row>
    <row r="91" spans="1:17" ht="12.75" x14ac:dyDescent="0.2">
      <c r="A91" s="14"/>
      <c r="B91" s="11">
        <v>2022</v>
      </c>
      <c r="C91" s="47"/>
      <c r="D91" s="195">
        <v>621843740</v>
      </c>
      <c r="E91" s="188">
        <v>1709157</v>
      </c>
      <c r="F91" s="188">
        <v>24351724</v>
      </c>
      <c r="G91" s="48"/>
      <c r="H91" s="48"/>
      <c r="I91" s="211">
        <f>SUM(D91:H91)</f>
        <v>647904621</v>
      </c>
      <c r="J91" s="47"/>
      <c r="K91" s="48"/>
      <c r="L91" s="188">
        <v>155170188</v>
      </c>
      <c r="M91" s="48"/>
      <c r="N91" s="211">
        <f>SUM(J91:M91)</f>
        <v>155170188</v>
      </c>
      <c r="O91" s="50"/>
      <c r="P91" s="48"/>
      <c r="Q91" s="213">
        <f>+I91+N91+P91</f>
        <v>803074809</v>
      </c>
    </row>
    <row r="92" spans="1:17" ht="12.75" thickBot="1" x14ac:dyDescent="0.25">
      <c r="A92" s="15"/>
      <c r="B92" s="42" t="s">
        <v>375</v>
      </c>
      <c r="C92" s="55"/>
      <c r="D92" s="223">
        <f t="shared" ref="D92" si="61">+(D91-D90)*100/D91</f>
        <v>-1.9604733819464035</v>
      </c>
      <c r="E92" s="223">
        <f t="shared" ref="E92" si="62">+(E91-E90)*100/E91</f>
        <v>1.6182246569507659</v>
      </c>
      <c r="F92" s="223">
        <f t="shared" ref="F92" si="63">+(F91-F90)*100/F91</f>
        <v>-52.913087385517343</v>
      </c>
      <c r="G92" s="223"/>
      <c r="H92" s="223"/>
      <c r="I92" s="223">
        <f t="shared" ref="I92" si="64">+(I91-I90)*100/I91</f>
        <v>-3.8661048537266103</v>
      </c>
      <c r="J92" s="223"/>
      <c r="K92" s="223"/>
      <c r="L92" s="223">
        <f t="shared" ref="L92" si="65">+(L91-L90)*100/L91</f>
        <v>-2.6311845417110664</v>
      </c>
      <c r="M92" s="223"/>
      <c r="N92" s="223">
        <f t="shared" ref="N92" si="66">+(N91-N90)*100/N91</f>
        <v>-2.6311845417110664</v>
      </c>
      <c r="O92" s="223"/>
      <c r="P92" s="223"/>
      <c r="Q92" s="223">
        <f t="shared" ref="Q92" si="67">+(Q91-Q90)*100/Q91</f>
        <v>-3.6274934381611263</v>
      </c>
    </row>
    <row r="93" spans="1:17" ht="12.75" x14ac:dyDescent="0.2">
      <c r="A93" s="13" t="s">
        <v>239</v>
      </c>
      <c r="B93" s="25">
        <v>2020</v>
      </c>
      <c r="C93" s="46"/>
      <c r="D93" s="189">
        <v>84424</v>
      </c>
      <c r="E93" s="189"/>
      <c r="F93" s="189">
        <v>13286624</v>
      </c>
      <c r="G93" s="44"/>
      <c r="H93" s="189">
        <v>270000</v>
      </c>
      <c r="I93" s="211">
        <f t="shared" ref="I93:I94" si="68">SUM(D93:H93)</f>
        <v>13641048</v>
      </c>
      <c r="J93" s="46"/>
      <c r="K93" s="44"/>
      <c r="L93" s="189">
        <v>1005000</v>
      </c>
      <c r="M93" s="44"/>
      <c r="N93" s="211">
        <f t="shared" ref="N93:N94" si="69">SUM(J93:M93)</f>
        <v>1005000</v>
      </c>
      <c r="O93" s="43"/>
      <c r="P93" s="44"/>
      <c r="Q93" s="213">
        <f t="shared" ref="Q93:Q94" si="70">+I93+N93+P93</f>
        <v>14646048</v>
      </c>
    </row>
    <row r="94" spans="1:17" ht="12.75" x14ac:dyDescent="0.2">
      <c r="A94" s="14"/>
      <c r="B94" s="11">
        <v>2021</v>
      </c>
      <c r="C94" s="47"/>
      <c r="D94" s="189">
        <v>65762</v>
      </c>
      <c r="E94" s="189"/>
      <c r="F94" s="189">
        <v>1654138</v>
      </c>
      <c r="G94" s="48"/>
      <c r="H94" s="189">
        <v>270000</v>
      </c>
      <c r="I94" s="211">
        <f t="shared" si="68"/>
        <v>1989900</v>
      </c>
      <c r="J94" s="47"/>
      <c r="K94" s="48"/>
      <c r="L94" s="189">
        <v>129683</v>
      </c>
      <c r="M94" s="48"/>
      <c r="N94" s="211">
        <f t="shared" si="69"/>
        <v>129683</v>
      </c>
      <c r="O94" s="50"/>
      <c r="P94" s="48"/>
      <c r="Q94" s="213">
        <f t="shared" si="70"/>
        <v>2119583</v>
      </c>
    </row>
    <row r="95" spans="1:17" ht="12.75" x14ac:dyDescent="0.2">
      <c r="A95" s="14"/>
      <c r="B95" s="11">
        <v>2022</v>
      </c>
      <c r="C95" s="47"/>
      <c r="D95" s="189">
        <v>107841</v>
      </c>
      <c r="E95" s="189"/>
      <c r="F95" s="188">
        <v>1454541</v>
      </c>
      <c r="G95" s="48"/>
      <c r="H95" s="188">
        <v>300000</v>
      </c>
      <c r="I95" s="211">
        <f>SUM(D95:H95)</f>
        <v>1862382</v>
      </c>
      <c r="J95" s="47"/>
      <c r="K95" s="48"/>
      <c r="L95" s="188">
        <v>7528292</v>
      </c>
      <c r="M95" s="48"/>
      <c r="N95" s="211">
        <f>SUM(J95:M95)</f>
        <v>7528292</v>
      </c>
      <c r="O95" s="50"/>
      <c r="P95" s="48"/>
      <c r="Q95" s="213">
        <f>+I95+N95+P95</f>
        <v>9390674</v>
      </c>
    </row>
    <row r="96" spans="1:17" ht="12.75" thickBot="1" x14ac:dyDescent="0.25">
      <c r="A96" s="15"/>
      <c r="B96" s="42" t="s">
        <v>375</v>
      </c>
      <c r="C96" s="55"/>
      <c r="D96" s="223">
        <f t="shared" ref="D96" si="71">+(D95-D94)*100/D95</f>
        <v>39.019482386105473</v>
      </c>
      <c r="E96" s="223"/>
      <c r="F96" s="223">
        <f t="shared" ref="F96" si="72">+(F95-F94)*100/F95</f>
        <v>-13.72233577465331</v>
      </c>
      <c r="G96" s="223"/>
      <c r="H96" s="223">
        <f t="shared" ref="H96" si="73">+(H95-H94)*100/H95</f>
        <v>10</v>
      </c>
      <c r="I96" s="223">
        <f t="shared" ref="I96" si="74">+(I95-I94)*100/I95</f>
        <v>-6.8470378257521816</v>
      </c>
      <c r="J96" s="223"/>
      <c r="K96" s="223"/>
      <c r="L96" s="223">
        <f t="shared" ref="L96" si="75">+(L95-L94)*100/L95</f>
        <v>98.277391472062988</v>
      </c>
      <c r="M96" s="223"/>
      <c r="N96" s="223">
        <f t="shared" ref="N96" si="76">+(N95-N94)*100/N95</f>
        <v>98.277391472062988</v>
      </c>
      <c r="O96" s="223"/>
      <c r="P96" s="223"/>
      <c r="Q96" s="223">
        <f t="shared" ref="Q96" si="77">+(Q95-Q94)*100/Q95</f>
        <v>77.428851219837895</v>
      </c>
    </row>
    <row r="97" spans="1:17" ht="12.75" x14ac:dyDescent="0.2">
      <c r="A97" s="13" t="s">
        <v>240</v>
      </c>
      <c r="B97" s="25">
        <v>2020</v>
      </c>
      <c r="C97" s="46"/>
      <c r="D97" s="44"/>
      <c r="E97" s="189">
        <v>183501262</v>
      </c>
      <c r="F97" s="44"/>
      <c r="G97" s="44"/>
      <c r="H97" s="44"/>
      <c r="I97" s="211">
        <f t="shared" ref="I97:I98" si="78">SUM(D97:H97)</f>
        <v>183501262</v>
      </c>
      <c r="J97" s="46"/>
      <c r="K97" s="44"/>
      <c r="L97" s="44"/>
      <c r="M97" s="44"/>
      <c r="N97" s="45"/>
      <c r="O97" s="43"/>
      <c r="P97" s="44"/>
      <c r="Q97" s="213">
        <f t="shared" ref="Q97:Q98" si="79">+I97+N97+P97</f>
        <v>183501262</v>
      </c>
    </row>
    <row r="98" spans="1:17" ht="12.75" x14ac:dyDescent="0.2">
      <c r="A98" s="14"/>
      <c r="B98" s="11">
        <v>2021</v>
      </c>
      <c r="C98" s="47"/>
      <c r="D98" s="48"/>
      <c r="E98" s="189">
        <v>179056848</v>
      </c>
      <c r="F98" s="48"/>
      <c r="G98" s="48"/>
      <c r="H98" s="48"/>
      <c r="I98" s="211">
        <f t="shared" si="78"/>
        <v>179056848</v>
      </c>
      <c r="J98" s="47"/>
      <c r="K98" s="48"/>
      <c r="L98" s="48"/>
      <c r="M98" s="48"/>
      <c r="N98" s="49"/>
      <c r="O98" s="50"/>
      <c r="P98" s="48"/>
      <c r="Q98" s="213">
        <f t="shared" si="79"/>
        <v>179056848</v>
      </c>
    </row>
    <row r="99" spans="1:17" ht="12.75" x14ac:dyDescent="0.2">
      <c r="A99" s="14"/>
      <c r="B99" s="11">
        <v>2022</v>
      </c>
      <c r="C99" s="47"/>
      <c r="D99" s="48"/>
      <c r="E99" s="189">
        <v>149577653</v>
      </c>
      <c r="F99" s="48"/>
      <c r="G99" s="48"/>
      <c r="H99" s="48"/>
      <c r="I99" s="211">
        <f>SUM(D99:H99)</f>
        <v>149577653</v>
      </c>
      <c r="J99" s="47"/>
      <c r="K99" s="48"/>
      <c r="L99" s="48"/>
      <c r="M99" s="48"/>
      <c r="N99" s="49"/>
      <c r="O99" s="50"/>
      <c r="P99" s="48"/>
      <c r="Q99" s="213">
        <f>+I99+N99+P99</f>
        <v>149577653</v>
      </c>
    </row>
    <row r="100" spans="1:17" ht="12.75" thickBot="1" x14ac:dyDescent="0.25">
      <c r="A100" s="15"/>
      <c r="B100" s="42" t="s">
        <v>375</v>
      </c>
      <c r="C100" s="55"/>
      <c r="D100" s="56"/>
      <c r="E100" s="223">
        <f t="shared" ref="E100" si="80">+(E99-E98)*100/E99</f>
        <v>-19.708288242763107</v>
      </c>
      <c r="F100" s="223"/>
      <c r="G100" s="223"/>
      <c r="H100" s="223"/>
      <c r="I100" s="223">
        <f t="shared" ref="I100" si="81">+(I99-I98)*100/I99</f>
        <v>-19.708288242763107</v>
      </c>
      <c r="J100" s="223"/>
      <c r="K100" s="223"/>
      <c r="L100" s="223"/>
      <c r="M100" s="223"/>
      <c r="N100" s="223"/>
      <c r="O100" s="223"/>
      <c r="P100" s="223"/>
      <c r="Q100" s="223">
        <f t="shared" ref="Q100" si="82">+(Q99-Q98)*100/Q99</f>
        <v>-19.708288242763107</v>
      </c>
    </row>
    <row r="101" spans="1:17" ht="12.75" x14ac:dyDescent="0.2">
      <c r="A101" s="13" t="s">
        <v>241</v>
      </c>
      <c r="B101" s="25">
        <v>2020</v>
      </c>
      <c r="C101" s="46"/>
      <c r="D101" s="44"/>
      <c r="E101" s="44"/>
      <c r="F101" s="44"/>
      <c r="G101" s="44"/>
      <c r="H101" s="44"/>
      <c r="I101" s="206"/>
      <c r="J101" s="46"/>
      <c r="K101" s="44"/>
      <c r="L101" s="44"/>
      <c r="M101" s="44"/>
      <c r="N101" s="45"/>
      <c r="O101" s="189">
        <v>44876139</v>
      </c>
      <c r="P101" s="211">
        <f t="shared" ref="P101:P102" si="83">+O101</f>
        <v>44876139</v>
      </c>
      <c r="Q101" s="213">
        <f t="shared" ref="Q101:Q102" si="84">+I101+N101+P101</f>
        <v>44876139</v>
      </c>
    </row>
    <row r="102" spans="1:17" ht="12.75" x14ac:dyDescent="0.2">
      <c r="A102" s="14"/>
      <c r="B102" s="11">
        <v>2021</v>
      </c>
      <c r="C102" s="47"/>
      <c r="D102" s="48"/>
      <c r="E102" s="48"/>
      <c r="F102" s="48"/>
      <c r="G102" s="48"/>
      <c r="H102" s="48"/>
      <c r="I102" s="207"/>
      <c r="J102" s="47"/>
      <c r="K102" s="48"/>
      <c r="L102" s="48"/>
      <c r="M102" s="48"/>
      <c r="N102" s="49"/>
      <c r="O102" s="189">
        <v>44337442</v>
      </c>
      <c r="P102" s="211">
        <f t="shared" si="83"/>
        <v>44337442</v>
      </c>
      <c r="Q102" s="213">
        <f t="shared" si="84"/>
        <v>44337442</v>
      </c>
    </row>
    <row r="103" spans="1:17" ht="12.75" x14ac:dyDescent="0.2">
      <c r="A103" s="14"/>
      <c r="B103" s="11">
        <v>2022</v>
      </c>
      <c r="C103" s="47"/>
      <c r="D103" s="48"/>
      <c r="E103" s="48"/>
      <c r="F103" s="48"/>
      <c r="G103" s="48"/>
      <c r="H103" s="48"/>
      <c r="I103" s="207"/>
      <c r="J103" s="47"/>
      <c r="K103" s="48"/>
      <c r="L103" s="188"/>
      <c r="M103" s="48"/>
      <c r="N103" s="49"/>
      <c r="O103" s="188">
        <v>34540371</v>
      </c>
      <c r="P103" s="211">
        <f>+O103</f>
        <v>34540371</v>
      </c>
      <c r="Q103" s="213">
        <f>+I103+N103+P103</f>
        <v>34540371</v>
      </c>
    </row>
    <row r="104" spans="1:17" ht="12.75" thickBot="1" x14ac:dyDescent="0.25">
      <c r="A104" s="15"/>
      <c r="B104" s="42" t="s">
        <v>375</v>
      </c>
      <c r="C104" s="55"/>
      <c r="D104" s="56"/>
      <c r="E104" s="56"/>
      <c r="F104" s="56"/>
      <c r="G104" s="56"/>
      <c r="H104" s="56"/>
      <c r="I104" s="209"/>
      <c r="J104" s="55"/>
      <c r="K104" s="56"/>
      <c r="L104" s="56"/>
      <c r="M104" s="56"/>
      <c r="N104" s="57"/>
      <c r="O104" s="223">
        <f>+(O103-O102)*100/O103</f>
        <v>-28.364116297419042</v>
      </c>
      <c r="P104" s="223">
        <f>+(P103-P102)*100/P103</f>
        <v>-28.364116297419042</v>
      </c>
      <c r="Q104" s="223">
        <f>+(Q103-Q102)*100/Q103</f>
        <v>-28.364116297419042</v>
      </c>
    </row>
    <row r="105" spans="1:17" ht="12.75" x14ac:dyDescent="0.2">
      <c r="A105" s="34" t="s">
        <v>0</v>
      </c>
      <c r="B105" s="25">
        <v>2020</v>
      </c>
      <c r="C105" s="59"/>
      <c r="D105" s="189">
        <f>+D13+D29+D33+D37+D41+D45+D49+D57+D61+D73+D77+D81+D89+D93</f>
        <v>901166038</v>
      </c>
      <c r="E105" s="189">
        <f t="shared" ref="E105:P105" si="85">+E13+E29+E33+E37+E41+E45+E49+E57+E61+E73+E77+E81+E89+E93</f>
        <v>453651</v>
      </c>
      <c r="F105" s="189">
        <f t="shared" si="85"/>
        <v>198415846</v>
      </c>
      <c r="G105" s="189"/>
      <c r="H105" s="189">
        <f t="shared" si="85"/>
        <v>1961105</v>
      </c>
      <c r="I105" s="189">
        <f t="shared" si="85"/>
        <v>1101996640</v>
      </c>
      <c r="J105" s="189"/>
      <c r="K105" s="189"/>
      <c r="L105" s="189">
        <f t="shared" si="85"/>
        <v>650832392</v>
      </c>
      <c r="M105" s="189"/>
      <c r="N105" s="189">
        <f t="shared" si="85"/>
        <v>606436376</v>
      </c>
      <c r="O105" s="189">
        <f t="shared" si="85"/>
        <v>0</v>
      </c>
      <c r="P105" s="189">
        <f t="shared" si="85"/>
        <v>0</v>
      </c>
      <c r="Q105" s="189">
        <f>+Q13+Q21+Q29+Q33+Q37+Q41+Q45+Q49+Q57+Q61+Q69+Q73+Q77+Q81+Q85+Q89+Q93+Q97+Q101</f>
        <v>1960323773</v>
      </c>
    </row>
    <row r="106" spans="1:17" ht="12.75" x14ac:dyDescent="0.2">
      <c r="A106" s="16"/>
      <c r="B106" s="11">
        <v>2021</v>
      </c>
      <c r="C106" s="47"/>
      <c r="D106" s="189">
        <f>+D14+D30+D34+D38+D42+D46+D50+D58+D62+D74+D78+D82+D90+D94</f>
        <v>991702849</v>
      </c>
      <c r="E106" s="189">
        <f t="shared" ref="E106:P106" si="86">+E14+E30+E34+E38+E42+E46+E50+E58+E62+E74+E78+E82+E90+E94</f>
        <v>1943499</v>
      </c>
      <c r="F106" s="189">
        <f t="shared" si="86"/>
        <v>151107788</v>
      </c>
      <c r="G106" s="189"/>
      <c r="H106" s="189">
        <f t="shared" si="86"/>
        <v>1961105</v>
      </c>
      <c r="I106" s="189">
        <f t="shared" si="86"/>
        <v>1146715241</v>
      </c>
      <c r="J106" s="189"/>
      <c r="K106" s="189"/>
      <c r="L106" s="189">
        <f t="shared" si="86"/>
        <v>656236797</v>
      </c>
      <c r="M106" s="189"/>
      <c r="N106" s="189">
        <f t="shared" si="86"/>
        <v>565199824</v>
      </c>
      <c r="O106" s="189">
        <f t="shared" si="86"/>
        <v>0</v>
      </c>
      <c r="P106" s="189">
        <f t="shared" si="86"/>
        <v>0</v>
      </c>
      <c r="Q106" s="189">
        <f>+Q14+Q22+Q30+Q34+Q38+Q42+Q46+Q50+Q58+Q62+Q70+Q74+Q78+Q82+Q86+Q90+Q94+Q98+Q102</f>
        <v>1942892005</v>
      </c>
    </row>
    <row r="107" spans="1:17" x14ac:dyDescent="0.2">
      <c r="A107" s="16"/>
      <c r="B107" s="11">
        <v>2022</v>
      </c>
      <c r="C107" s="47"/>
      <c r="D107" s="212">
        <f t="shared" ref="D107:O107" si="87">+D15+D23+D31+D35+D39+D43+D47+D51+D59+D63+D71+D75+D79+D83+D87+D91+D95+D99+D103</f>
        <v>981075696</v>
      </c>
      <c r="E107" s="212">
        <f t="shared" si="87"/>
        <v>152848617</v>
      </c>
      <c r="F107" s="212">
        <f t="shared" si="87"/>
        <v>158515794</v>
      </c>
      <c r="G107" s="212"/>
      <c r="H107" s="212">
        <f t="shared" si="87"/>
        <v>6531587</v>
      </c>
      <c r="I107" s="212">
        <f t="shared" si="87"/>
        <v>1298971694</v>
      </c>
      <c r="J107" s="212"/>
      <c r="K107" s="212"/>
      <c r="L107" s="212">
        <f t="shared" si="87"/>
        <v>783006358</v>
      </c>
      <c r="M107" s="212"/>
      <c r="N107" s="212">
        <f t="shared" si="87"/>
        <v>783006358</v>
      </c>
      <c r="O107" s="212">
        <f t="shared" si="87"/>
        <v>34540371</v>
      </c>
      <c r="P107" s="212">
        <f>+P15+P23+P31+P35+P39+P43+P47+P51+P59+P63+P71+P75+P79+P83+P87+P91+P95+P99+P103</f>
        <v>34540371</v>
      </c>
      <c r="Q107" s="212">
        <f>+Q15+Q23+Q31+Q35+Q39+Q43+Q47+Q51+Q59+Q63+Q71+Q75+Q79+Q83+Q87+Q91+Q95+Q99+Q103</f>
        <v>2116518423</v>
      </c>
    </row>
    <row r="108" spans="1:17" ht="12.75" thickBot="1" x14ac:dyDescent="0.25">
      <c r="A108" s="15"/>
      <c r="B108" s="42" t="s">
        <v>375</v>
      </c>
      <c r="C108" s="55"/>
      <c r="D108" s="224">
        <f t="shared" ref="D108" si="88">+(D107-D106)*100/D107</f>
        <v>-1.0832143781900392</v>
      </c>
      <c r="E108" s="224">
        <f t="shared" ref="E108" si="89">+(E107-E106)*100/E107</f>
        <v>98.728481135030492</v>
      </c>
      <c r="F108" s="224">
        <f t="shared" ref="F108" si="90">+(F107-F106)*100/F107</f>
        <v>4.6733551358295564</v>
      </c>
      <c r="G108" s="224"/>
      <c r="H108" s="224">
        <f t="shared" ref="H108" si="91">+(H107-H106)*100/H107</f>
        <v>69.975061191101034</v>
      </c>
      <c r="I108" s="224">
        <f t="shared" ref="I108" si="92">+(I107-I106)*100/I107</f>
        <v>11.721306453657027</v>
      </c>
      <c r="J108" s="224"/>
      <c r="K108" s="224"/>
      <c r="L108" s="224">
        <f t="shared" ref="L108" si="93">+(L107-L106)*100/L107</f>
        <v>16.190106211117126</v>
      </c>
      <c r="M108" s="224"/>
      <c r="N108" s="224">
        <f t="shared" ref="N108" si="94">+(N107-N106)*100/N107</f>
        <v>27.816700563752001</v>
      </c>
      <c r="O108" s="224">
        <f t="shared" ref="O108" si="95">+(O107-O106)*100/O107</f>
        <v>100</v>
      </c>
      <c r="P108" s="224">
        <f t="shared" ref="P108" si="96">+(P107-P106)*100/P107</f>
        <v>100</v>
      </c>
      <c r="Q108" s="224">
        <f t="shared" ref="Q108" si="97">+(Q107-Q106)*100/Q107</f>
        <v>8.203397433880971</v>
      </c>
    </row>
  </sheetData>
  <mergeCells count="5">
    <mergeCell ref="A3:A4"/>
    <mergeCell ref="C3:I3"/>
    <mergeCell ref="J3:N3"/>
    <mergeCell ref="O3:P3"/>
    <mergeCell ref="B3:B4"/>
  </mergeCells>
  <phoneticPr fontId="0" type="noConversion"/>
  <printOptions horizontalCentered="1"/>
  <pageMargins left="0.25" right="0.25" top="0.75" bottom="0.75" header="0.3" footer="0.3"/>
  <pageSetup paperSize="9" scale="50" orientation="portrait"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16</vt:i4>
      </vt:variant>
    </vt:vector>
  </HeadingPairs>
  <TitlesOfParts>
    <vt:vector size="37"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 </vt:lpstr>
      <vt:lpstr>F-16</vt:lpstr>
      <vt:lpstr>F-17</vt:lpstr>
      <vt:lpstr>F-18</vt:lpstr>
      <vt:lpstr>Hoja2</vt:lpstr>
      <vt:lpstr>Hoja1</vt:lpstr>
      <vt:lpstr>'F-01'!Área_de_impresión</vt:lpstr>
      <vt:lpstr>'F-06'!Área_de_impresión</vt:lpstr>
      <vt:lpstr>'F-07'!Área_de_impresión</vt:lpstr>
      <vt:lpstr>'F-08'!Área_de_impresión</vt:lpstr>
      <vt:lpstr>'F-09'!Área_de_impresión</vt:lpstr>
      <vt:lpstr>'F-10'!Área_de_impresión</vt:lpstr>
      <vt:lpstr>'F-13'!Área_de_impresión</vt:lpstr>
      <vt:lpstr>'F-14'!Área_de_impresión</vt:lpstr>
      <vt:lpstr>'F-15 '!Área_de_impresión</vt:lpstr>
      <vt:lpstr>'F-17'!Área_de_impresión</vt:lpstr>
      <vt:lpstr>'F-18'!Área_de_impresión</vt:lpstr>
      <vt:lpstr>Índice!Área_de_impresión</vt:lpstr>
      <vt:lpstr>'F-01'!Títulos_a_imprimir</vt:lpstr>
      <vt:lpstr>'F-04'!Títulos_a_imprimir</vt:lpstr>
      <vt:lpstr>'F-06'!Títulos_a_imprimir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2021-10-12T21:56:33Z</cp:lastPrinted>
  <dcterms:created xsi:type="dcterms:W3CDTF">1998-08-20T20:27:58Z</dcterms:created>
  <dcterms:modified xsi:type="dcterms:W3CDTF">2021-10-13T03:01:22Z</dcterms:modified>
</cp:coreProperties>
</file>